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fileSharing readOnlyRecommended="1" userName="Microsoft Office User" algorithmName="SHA-512" hashValue="zGHw2i+A1SKZHzmQoPngU6mI9wXjgG+Iw1QaYudMdb74BRv5L3eyb4gow+/JZa8Hb0XNTGu6arJjXicrPkMkdw==" saltValue="jiRaa+AiADZgHJJru2NogQ==" spinCount="10000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ostap/Documents/ILO/Strengthen/Latest/"/>
    </mc:Choice>
  </mc:AlternateContent>
  <xr:revisionPtr revIDLastSave="0" documentId="13_ncr:1_{E95D30B9-F4A6-6F46-B8CE-D863C3ACBD58}" xr6:coauthVersionLast="45" xr6:coauthVersionMax="45" xr10:uidLastSave="{00000000-0000-0000-0000-000000000000}"/>
  <bookViews>
    <workbookView xWindow="0" yWindow="460" windowWidth="19200" windowHeight="168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35" i="1" l="1"/>
  <c r="W35" i="1"/>
  <c r="U35" i="1"/>
  <c r="U34" i="1"/>
  <c r="T37" i="1"/>
  <c r="T36" i="1"/>
  <c r="U36" i="1" s="1"/>
  <c r="S37" i="1"/>
  <c r="U37" i="1" s="1"/>
  <c r="S36" i="1"/>
  <c r="R35" i="1"/>
  <c r="Q35" i="1"/>
  <c r="Y68" i="1" l="1"/>
  <c r="Y59" i="1"/>
  <c r="W68" i="1"/>
  <c r="W59" i="1"/>
  <c r="U68" i="1"/>
  <c r="U59" i="1"/>
  <c r="J30" i="1" l="1"/>
  <c r="J29" i="1"/>
  <c r="J28" i="1"/>
  <c r="J27" i="1"/>
  <c r="J26" i="1"/>
  <c r="J25" i="1"/>
  <c r="J24" i="1"/>
  <c r="J23" i="1"/>
  <c r="J22" i="1"/>
  <c r="J21" i="1"/>
  <c r="J20" i="1"/>
  <c r="J19" i="1"/>
  <c r="J18" i="1"/>
  <c r="J11" i="1"/>
  <c r="J17" i="1"/>
  <c r="J16" i="1"/>
  <c r="J15" i="1"/>
  <c r="J14" i="1"/>
  <c r="J58" i="1"/>
  <c r="J57" i="1"/>
  <c r="J56" i="1"/>
  <c r="J55" i="1"/>
  <c r="J54" i="1"/>
  <c r="J53" i="1"/>
  <c r="J52" i="1"/>
  <c r="J51" i="1"/>
  <c r="J50" i="1"/>
  <c r="K48" i="1" l="1"/>
  <c r="U48" i="1" l="1"/>
  <c r="W48" i="1"/>
  <c r="Y48" i="1"/>
  <c r="K46" i="1"/>
  <c r="R45" i="1"/>
  <c r="R44" i="1"/>
  <c r="R62" i="1"/>
  <c r="R61" i="1"/>
  <c r="R43" i="1"/>
  <c r="R42" i="1"/>
  <c r="R49" i="1"/>
  <c r="R48" i="1"/>
  <c r="R47" i="1"/>
  <c r="R46" i="1"/>
  <c r="R60" i="1"/>
  <c r="R59" i="1"/>
  <c r="R67" i="1"/>
  <c r="R68" i="1"/>
  <c r="R39" i="1"/>
  <c r="R38" i="1"/>
  <c r="R41" i="1"/>
  <c r="R40" i="1"/>
  <c r="Y46" i="1" l="1"/>
  <c r="U46" i="1"/>
  <c r="W46" i="1"/>
  <c r="K41" i="1"/>
  <c r="K38" i="1"/>
  <c r="K39" i="1"/>
  <c r="Q63" i="1"/>
  <c r="Q64" i="1"/>
  <c r="Q65" i="1"/>
  <c r="Q66" i="1"/>
  <c r="Q68" i="1"/>
  <c r="K67" i="1"/>
  <c r="Q59" i="1"/>
  <c r="K60" i="1"/>
  <c r="S50" i="1"/>
  <c r="L50" i="1"/>
  <c r="S51" i="1"/>
  <c r="N51" i="1"/>
  <c r="S52" i="1"/>
  <c r="L52" i="1"/>
  <c r="S53" i="1"/>
  <c r="S54" i="1"/>
  <c r="N54" i="1"/>
  <c r="S55" i="1"/>
  <c r="N55" i="1"/>
  <c r="S56" i="1"/>
  <c r="L56" i="1"/>
  <c r="S57" i="1"/>
  <c r="S58" i="1"/>
  <c r="N58" i="1"/>
  <c r="J12" i="1"/>
  <c r="K12" i="1" s="1"/>
  <c r="J13" i="1"/>
  <c r="K13" i="1" s="1"/>
  <c r="Q13" i="1" s="1"/>
  <c r="K14" i="1"/>
  <c r="K15" i="1"/>
  <c r="Q15" i="1" s="1"/>
  <c r="S16" i="1"/>
  <c r="N16" i="1"/>
  <c r="S17" i="1"/>
  <c r="K11" i="1"/>
  <c r="S7" i="1"/>
  <c r="J7" i="1"/>
  <c r="M7" i="1" s="1"/>
  <c r="S8" i="1"/>
  <c r="J8" i="1"/>
  <c r="M8" i="1" s="1"/>
  <c r="S9" i="1"/>
  <c r="J9" i="1"/>
  <c r="N9" i="1" s="1"/>
  <c r="Q46" i="1"/>
  <c r="K47" i="1"/>
  <c r="Q48" i="1"/>
  <c r="K49" i="1"/>
  <c r="K42" i="1"/>
  <c r="K43" i="1"/>
  <c r="K61" i="1"/>
  <c r="K62" i="1"/>
  <c r="N18" i="1"/>
  <c r="N19" i="1"/>
  <c r="N21" i="1"/>
  <c r="N24" i="1"/>
  <c r="K26" i="1"/>
  <c r="Q26" i="1" s="1"/>
  <c r="K27" i="1"/>
  <c r="K28" i="1"/>
  <c r="K29" i="1"/>
  <c r="K30" i="1"/>
  <c r="Q30" i="1" s="1"/>
  <c r="K44" i="1"/>
  <c r="K45" i="1"/>
  <c r="K31" i="1"/>
  <c r="K32" i="1"/>
  <c r="Q32" i="1" s="1"/>
  <c r="K33" i="1"/>
  <c r="K34" i="1"/>
  <c r="Q34" i="1" s="1"/>
  <c r="K40" i="1"/>
  <c r="T12" i="1"/>
  <c r="V14" i="1"/>
  <c r="V15" i="1"/>
  <c r="V11" i="1"/>
  <c r="V12" i="1"/>
  <c r="V13" i="1"/>
  <c r="V10" i="1"/>
  <c r="M31" i="1"/>
  <c r="M32" i="1"/>
  <c r="M33" i="1"/>
  <c r="M34" i="1"/>
  <c r="O40" i="1"/>
  <c r="O41" i="1"/>
  <c r="O38" i="1"/>
  <c r="O39" i="1"/>
  <c r="O68" i="1"/>
  <c r="O67" i="1"/>
  <c r="O59" i="1"/>
  <c r="O60" i="1"/>
  <c r="O46" i="1"/>
  <c r="O47" i="1"/>
  <c r="O48" i="1"/>
  <c r="O49" i="1"/>
  <c r="O42" i="1"/>
  <c r="O43" i="1"/>
  <c r="O61" i="1"/>
  <c r="O62" i="1"/>
  <c r="O44" i="1"/>
  <c r="O45" i="1"/>
  <c r="T14" i="1"/>
  <c r="T15" i="1"/>
  <c r="T11" i="1"/>
  <c r="T13" i="1"/>
  <c r="T10" i="1"/>
  <c r="L31" i="1"/>
  <c r="R31" i="1" s="1"/>
  <c r="L32" i="1"/>
  <c r="R32" i="1" s="1"/>
  <c r="L33" i="1"/>
  <c r="R33" i="1" s="1"/>
  <c r="L34" i="1"/>
  <c r="R34" i="1" s="1"/>
  <c r="P38" i="1"/>
  <c r="P68" i="1"/>
  <c r="P59" i="1"/>
  <c r="P46" i="1"/>
  <c r="P48" i="1"/>
  <c r="P61" i="1"/>
  <c r="X14" i="1"/>
  <c r="X15" i="1"/>
  <c r="X11" i="1"/>
  <c r="X12" i="1"/>
  <c r="N12" i="1" s="1"/>
  <c r="X13" i="1"/>
  <c r="X10" i="1"/>
  <c r="N8" i="1"/>
  <c r="X62" i="1"/>
  <c r="X43" i="1"/>
  <c r="X45" i="1"/>
  <c r="X39" i="1"/>
  <c r="X41" i="1"/>
  <c r="X49" i="1"/>
  <c r="X47" i="1"/>
  <c r="X60" i="1"/>
  <c r="X67" i="1"/>
  <c r="V62" i="1"/>
  <c r="V43" i="1"/>
  <c r="V45" i="1"/>
  <c r="V39" i="1"/>
  <c r="V41" i="1"/>
  <c r="V49" i="1"/>
  <c r="V47" i="1"/>
  <c r="V60" i="1"/>
  <c r="V67" i="1"/>
  <c r="T62" i="1"/>
  <c r="T43" i="1"/>
  <c r="T45" i="1"/>
  <c r="T39" i="1"/>
  <c r="T41" i="1"/>
  <c r="T49" i="1"/>
  <c r="T47" i="1"/>
  <c r="T60" i="1"/>
  <c r="T67" i="1"/>
  <c r="X38" i="1"/>
  <c r="V38" i="1"/>
  <c r="T38" i="1"/>
  <c r="X61" i="1"/>
  <c r="X42" i="1"/>
  <c r="X44" i="1"/>
  <c r="X40" i="1"/>
  <c r="X48" i="1"/>
  <c r="S48" i="1"/>
  <c r="X46" i="1"/>
  <c r="S46" i="1"/>
  <c r="V61" i="1"/>
  <c r="V42" i="1"/>
  <c r="V44" i="1"/>
  <c r="V40" i="1"/>
  <c r="V48" i="1"/>
  <c r="V46" i="1"/>
  <c r="T61" i="1"/>
  <c r="T42" i="1"/>
  <c r="T44" i="1"/>
  <c r="T40" i="1"/>
  <c r="T48" i="1"/>
  <c r="T46" i="1"/>
  <c r="X59" i="1"/>
  <c r="S59" i="1"/>
  <c r="V59" i="1"/>
  <c r="T59" i="1"/>
  <c r="X68" i="1"/>
  <c r="S68" i="1"/>
  <c r="V68" i="1"/>
  <c r="T68" i="1"/>
  <c r="F76" i="1"/>
  <c r="S38" i="1"/>
  <c r="S47" i="1"/>
  <c r="S40" i="1" l="1"/>
  <c r="U40" i="1"/>
  <c r="W40" i="1"/>
  <c r="Y40" i="1"/>
  <c r="S62" i="1"/>
  <c r="Y62" i="1"/>
  <c r="U62" i="1"/>
  <c r="W62" i="1"/>
  <c r="S49" i="1"/>
  <c r="W49" i="1"/>
  <c r="Y49" i="1"/>
  <c r="U49" i="1"/>
  <c r="R52" i="1"/>
  <c r="R50" i="1"/>
  <c r="Q67" i="1"/>
  <c r="U67" i="1"/>
  <c r="W67" i="1"/>
  <c r="Y67" i="1"/>
  <c r="Q41" i="1"/>
  <c r="W41" i="1"/>
  <c r="Y41" i="1"/>
  <c r="U41" i="1"/>
  <c r="Q45" i="1"/>
  <c r="W45" i="1"/>
  <c r="Y45" i="1"/>
  <c r="U45" i="1"/>
  <c r="Q61" i="1"/>
  <c r="W61" i="1"/>
  <c r="Y61" i="1"/>
  <c r="U61" i="1"/>
  <c r="R56" i="1"/>
  <c r="Q44" i="1"/>
  <c r="U44" i="1"/>
  <c r="W44" i="1"/>
  <c r="Y44" i="1"/>
  <c r="U43" i="1"/>
  <c r="W43" i="1"/>
  <c r="Y43" i="1"/>
  <c r="Q47" i="1"/>
  <c r="U47" i="1"/>
  <c r="W47" i="1"/>
  <c r="Y47" i="1"/>
  <c r="Q60" i="1"/>
  <c r="U60" i="1"/>
  <c r="W60" i="1"/>
  <c r="Y60" i="1"/>
  <c r="Q39" i="1"/>
  <c r="U39" i="1"/>
  <c r="W39" i="1"/>
  <c r="Y39" i="1"/>
  <c r="M12" i="1"/>
  <c r="L12" i="1"/>
  <c r="R12" i="1" s="1"/>
  <c r="Q42" i="1"/>
  <c r="Y42" i="1"/>
  <c r="U42" i="1"/>
  <c r="W42" i="1"/>
  <c r="Q38" i="1"/>
  <c r="Y38" i="1"/>
  <c r="U38" i="1"/>
  <c r="W38" i="1"/>
  <c r="J10" i="1"/>
  <c r="K10" i="1" s="1"/>
  <c r="Q10" i="1" s="1"/>
  <c r="M58" i="1"/>
  <c r="L9" i="1"/>
  <c r="R9" i="1" s="1"/>
  <c r="M9" i="1"/>
  <c r="S67" i="1"/>
  <c r="N7" i="1"/>
  <c r="N15" i="1"/>
  <c r="P47" i="1"/>
  <c r="L7" i="1"/>
  <c r="R7" i="1" s="1"/>
  <c r="L54" i="1"/>
  <c r="M54" i="1"/>
  <c r="M15" i="1"/>
  <c r="M50" i="1"/>
  <c r="P41" i="1"/>
  <c r="L58" i="1"/>
  <c r="S42" i="1"/>
  <c r="S45" i="1"/>
  <c r="L14" i="1"/>
  <c r="R14" i="1" s="1"/>
  <c r="P42" i="1"/>
  <c r="S60" i="1"/>
  <c r="N11" i="1"/>
  <c r="P39" i="1"/>
  <c r="L8" i="1"/>
  <c r="R8" i="1" s="1"/>
  <c r="L11" i="1"/>
  <c r="R11" i="1" s="1"/>
  <c r="M13" i="1"/>
  <c r="K57" i="1"/>
  <c r="Q57" i="1" s="1"/>
  <c r="K55" i="1"/>
  <c r="Y55" i="1" s="1"/>
  <c r="S39" i="1"/>
  <c r="P60" i="1"/>
  <c r="S44" i="1"/>
  <c r="N13" i="1"/>
  <c r="P44" i="1"/>
  <c r="M11" i="1"/>
  <c r="S61" i="1"/>
  <c r="N14" i="1"/>
  <c r="M24" i="1"/>
  <c r="M18" i="1"/>
  <c r="K8" i="1"/>
  <c r="Q8" i="1" s="1"/>
  <c r="S41" i="1"/>
  <c r="P45" i="1"/>
  <c r="M14" i="1"/>
  <c r="M19" i="1"/>
  <c r="K53" i="1"/>
  <c r="Q53" i="1" s="1"/>
  <c r="Q27" i="1"/>
  <c r="Q14" i="1"/>
  <c r="Q12" i="1"/>
  <c r="L13" i="1"/>
  <c r="R13" i="1" s="1"/>
  <c r="L15" i="1"/>
  <c r="R15" i="1" s="1"/>
  <c r="K17" i="1"/>
  <c r="M21" i="1"/>
  <c r="K9" i="1"/>
  <c r="P67" i="1"/>
  <c r="K7" i="1"/>
  <c r="Q7" i="1" s="1"/>
  <c r="Q28" i="1"/>
  <c r="N56" i="1"/>
  <c r="M56" i="1"/>
  <c r="N52" i="1"/>
  <c r="M52" i="1"/>
  <c r="K50" i="1"/>
  <c r="U50" i="1" s="1"/>
  <c r="N50" i="1"/>
  <c r="Q43" i="1"/>
  <c r="P43" i="1"/>
  <c r="S43" i="1"/>
  <c r="Q40" i="1"/>
  <c r="P40" i="1"/>
  <c r="Q31" i="1"/>
  <c r="Q62" i="1"/>
  <c r="P62" i="1"/>
  <c r="Q49" i="1"/>
  <c r="P49" i="1"/>
  <c r="Q11" i="1"/>
  <c r="N17" i="1"/>
  <c r="M17" i="1"/>
  <c r="L17" i="1"/>
  <c r="R17" i="1" s="1"/>
  <c r="K58" i="1"/>
  <c r="Y58" i="1" s="1"/>
  <c r="K56" i="1"/>
  <c r="U56" i="1" s="1"/>
  <c r="K54" i="1"/>
  <c r="Y54" i="1" s="1"/>
  <c r="K52" i="1"/>
  <c r="U52" i="1" s="1"/>
  <c r="Q33" i="1"/>
  <c r="K16" i="1"/>
  <c r="M16" i="1"/>
  <c r="L16" i="1"/>
  <c r="R16" i="1" s="1"/>
  <c r="Q55" i="1"/>
  <c r="Q29" i="1"/>
  <c r="L25" i="1"/>
  <c r="M25" i="1"/>
  <c r="N25" i="1"/>
  <c r="L23" i="1"/>
  <c r="M23" i="1"/>
  <c r="N23" i="1"/>
  <c r="L22" i="1"/>
  <c r="M22" i="1"/>
  <c r="N22" i="1"/>
  <c r="L20" i="1"/>
  <c r="M20" i="1"/>
  <c r="N20" i="1"/>
  <c r="L57" i="1"/>
  <c r="N57" i="1"/>
  <c r="Y57" i="1" s="1"/>
  <c r="M57" i="1"/>
  <c r="W57" i="1" s="1"/>
  <c r="M55" i="1"/>
  <c r="L55" i="1"/>
  <c r="L53" i="1"/>
  <c r="N53" i="1"/>
  <c r="M53" i="1"/>
  <c r="K51" i="1"/>
  <c r="Y51" i="1" s="1"/>
  <c r="M51" i="1"/>
  <c r="W51" i="1" s="1"/>
  <c r="L51" i="1"/>
  <c r="L24" i="1"/>
  <c r="L21" i="1"/>
  <c r="L19" i="1"/>
  <c r="L18" i="1"/>
  <c r="W55" i="1" l="1"/>
  <c r="Y50" i="1"/>
  <c r="W58" i="1"/>
  <c r="W54" i="1"/>
  <c r="R53" i="1"/>
  <c r="U53" i="1"/>
  <c r="R20" i="1"/>
  <c r="W52" i="1"/>
  <c r="R21" i="1"/>
  <c r="R55" i="1"/>
  <c r="U55" i="1"/>
  <c r="R57" i="1"/>
  <c r="U57" i="1"/>
  <c r="Y52" i="1"/>
  <c r="O50" i="1"/>
  <c r="W50" i="1"/>
  <c r="R24" i="1"/>
  <c r="W53" i="1"/>
  <c r="R23" i="1"/>
  <c r="W56" i="1"/>
  <c r="L10" i="1"/>
  <c r="R10" i="1" s="1"/>
  <c r="R19" i="1"/>
  <c r="R25" i="1"/>
  <c r="R54" i="1"/>
  <c r="U54" i="1"/>
  <c r="R18" i="1"/>
  <c r="R51" i="1"/>
  <c r="U51" i="1"/>
  <c r="Y53" i="1"/>
  <c r="R22" i="1"/>
  <c r="Y56" i="1"/>
  <c r="M10" i="1"/>
  <c r="M70" i="1" s="1"/>
  <c r="R58" i="1"/>
  <c r="U58" i="1"/>
  <c r="N10" i="1"/>
  <c r="N69" i="1" s="1"/>
  <c r="O54" i="1"/>
  <c r="O58" i="1"/>
  <c r="P57" i="1"/>
  <c r="O56" i="1"/>
  <c r="Q9" i="1"/>
  <c r="Q17" i="1"/>
  <c r="O52" i="1"/>
  <c r="O51" i="1"/>
  <c r="P58" i="1"/>
  <c r="Q58" i="1"/>
  <c r="K21" i="1"/>
  <c r="Y21" i="1" s="1"/>
  <c r="T21" i="1"/>
  <c r="O21" i="1"/>
  <c r="O53" i="1"/>
  <c r="O25" i="1"/>
  <c r="K25" i="1"/>
  <c r="W25" i="1" s="1"/>
  <c r="T25" i="1"/>
  <c r="Q52" i="1"/>
  <c r="P52" i="1"/>
  <c r="P50" i="1"/>
  <c r="Q50" i="1"/>
  <c r="O20" i="1"/>
  <c r="T20" i="1"/>
  <c r="K20" i="1"/>
  <c r="Y20" i="1" s="1"/>
  <c r="Q51" i="1"/>
  <c r="P51" i="1"/>
  <c r="O55" i="1"/>
  <c r="O57" i="1"/>
  <c r="O23" i="1"/>
  <c r="T23" i="1"/>
  <c r="K23" i="1"/>
  <c r="U23" i="1" s="1"/>
  <c r="P53" i="1"/>
  <c r="P55" i="1"/>
  <c r="Q16" i="1"/>
  <c r="P54" i="1"/>
  <c r="Q54" i="1"/>
  <c r="K19" i="1"/>
  <c r="Y19" i="1" s="1"/>
  <c r="O19" i="1"/>
  <c r="T19" i="1"/>
  <c r="K18" i="1"/>
  <c r="Y18" i="1" s="1"/>
  <c r="O18" i="1"/>
  <c r="T18" i="1"/>
  <c r="K24" i="1"/>
  <c r="Y24" i="1" s="1"/>
  <c r="T24" i="1"/>
  <c r="O24" i="1"/>
  <c r="O22" i="1"/>
  <c r="K22" i="1"/>
  <c r="W22" i="1" s="1"/>
  <c r="T22" i="1"/>
  <c r="Q56" i="1"/>
  <c r="P56" i="1"/>
  <c r="R70" i="1" l="1"/>
  <c r="W23" i="1"/>
  <c r="L70" i="1"/>
  <c r="Y23" i="1"/>
  <c r="U20" i="1"/>
  <c r="W19" i="1"/>
  <c r="L69" i="1"/>
  <c r="N71" i="1"/>
  <c r="W21" i="1"/>
  <c r="W18" i="1"/>
  <c r="R69" i="1"/>
  <c r="U22" i="1"/>
  <c r="Y22" i="1"/>
  <c r="W24" i="1"/>
  <c r="L71" i="1"/>
  <c r="N70" i="1"/>
  <c r="R71" i="1"/>
  <c r="W20" i="1"/>
  <c r="U18" i="1"/>
  <c r="U25" i="1"/>
  <c r="U19" i="1"/>
  <c r="U21" i="1"/>
  <c r="U24" i="1"/>
  <c r="M69" i="1"/>
  <c r="M71" i="1"/>
  <c r="Y25" i="1"/>
  <c r="K69" i="1"/>
  <c r="O71" i="1"/>
  <c r="K71" i="1"/>
  <c r="K70" i="1"/>
  <c r="Q21" i="1"/>
  <c r="P21" i="1"/>
  <c r="P19" i="1"/>
  <c r="Q19" i="1"/>
  <c r="Q23" i="1"/>
  <c r="P23" i="1"/>
  <c r="Q22" i="1"/>
  <c r="P22" i="1"/>
  <c r="Q24" i="1"/>
  <c r="P24" i="1"/>
  <c r="Q20" i="1"/>
  <c r="P20" i="1"/>
  <c r="O69" i="1"/>
  <c r="Q18" i="1"/>
  <c r="P18" i="1"/>
  <c r="Q25" i="1"/>
  <c r="P25" i="1"/>
  <c r="O70" i="1"/>
  <c r="Y70" i="1" l="1"/>
  <c r="Y71" i="1"/>
  <c r="W70" i="1"/>
  <c r="Y69" i="1"/>
  <c r="W71" i="1"/>
  <c r="U69" i="1"/>
  <c r="U70" i="1"/>
  <c r="U71" i="1"/>
  <c r="W69" i="1"/>
  <c r="Q70" i="1"/>
  <c r="Q69" i="1"/>
  <c r="Q71" i="1"/>
  <c r="P70" i="1"/>
  <c r="P71" i="1"/>
  <c r="P69" i="1"/>
</calcChain>
</file>

<file path=xl/sharedStrings.xml><?xml version="1.0" encoding="utf-8"?>
<sst xmlns="http://schemas.openxmlformats.org/spreadsheetml/2006/main" count="548" uniqueCount="143">
  <si>
    <t>ILO Data Guide for Infrastructure Employment Impact Assessment</t>
  </si>
  <si>
    <t>Country</t>
  </si>
  <si>
    <t>Project / Programme</t>
  </si>
  <si>
    <t>Sector / Infrastructure type</t>
  </si>
  <si>
    <t>Morocco</t>
  </si>
  <si>
    <t>I-O</t>
  </si>
  <si>
    <t>PNRR 2</t>
  </si>
  <si>
    <t>Solar Project</t>
  </si>
  <si>
    <t>Sanitation Oujda</t>
  </si>
  <si>
    <t>Sanitation Sebou</t>
  </si>
  <si>
    <t>Type</t>
  </si>
  <si>
    <t>Jordan</t>
  </si>
  <si>
    <t>Transportation</t>
  </si>
  <si>
    <t>Energy</t>
  </si>
  <si>
    <t>Sanitation</t>
  </si>
  <si>
    <t>Tunisia</t>
  </si>
  <si>
    <t>Priority Roads</t>
  </si>
  <si>
    <t>Sousee Power station</t>
  </si>
  <si>
    <t>Amman Ring Road</t>
  </si>
  <si>
    <t>Tafila Wind Park</t>
  </si>
  <si>
    <t>Egypt</t>
  </si>
  <si>
    <t>Giza Power Station</t>
  </si>
  <si>
    <t>Power Transmission Project</t>
  </si>
  <si>
    <t>EPAP 2</t>
  </si>
  <si>
    <t>Environment</t>
  </si>
  <si>
    <t>Cost / Investment (original currency, millions)</t>
  </si>
  <si>
    <t>Exchange rates</t>
  </si>
  <si>
    <t>Euro</t>
  </si>
  <si>
    <t>USD</t>
  </si>
  <si>
    <t>JOD</t>
  </si>
  <si>
    <t>Global region</t>
  </si>
  <si>
    <t>Technology</t>
  </si>
  <si>
    <t>Indonesia</t>
  </si>
  <si>
    <t>Infrastructure</t>
  </si>
  <si>
    <t>RP</t>
  </si>
  <si>
    <r>
      <t>Cost / Investment (USD,</t>
    </r>
    <r>
      <rPr>
        <sz val="11"/>
        <color theme="1"/>
        <rFont val="Calibri"/>
        <family val="2"/>
      </rPr>
      <t xml:space="preserve"> millions)</t>
    </r>
  </si>
  <si>
    <t>DySAM</t>
  </si>
  <si>
    <t>Simulation</t>
  </si>
  <si>
    <t>School buildings</t>
  </si>
  <si>
    <t>Water</t>
  </si>
  <si>
    <t>USA</t>
  </si>
  <si>
    <t xml:space="preserve">USA </t>
  </si>
  <si>
    <t>Average</t>
  </si>
  <si>
    <t>Construction</t>
  </si>
  <si>
    <t>Japan</t>
  </si>
  <si>
    <t>Hungary</t>
  </si>
  <si>
    <t>Latvia</t>
  </si>
  <si>
    <t>Turkey</t>
  </si>
  <si>
    <t>Taiwan</t>
  </si>
  <si>
    <t>Lithuania</t>
  </si>
  <si>
    <t>Poland</t>
  </si>
  <si>
    <t>Greece</t>
  </si>
  <si>
    <t>Liberia</t>
  </si>
  <si>
    <t>Employmemnt Intensive</t>
  </si>
  <si>
    <t>Conventional Approach</t>
  </si>
  <si>
    <t>Buildings</t>
  </si>
  <si>
    <t>India (Gujarat)</t>
  </si>
  <si>
    <t>Other</t>
  </si>
  <si>
    <t>India (West Bengal)</t>
  </si>
  <si>
    <t>Ireland</t>
  </si>
  <si>
    <t>Indonesian RP</t>
  </si>
  <si>
    <t>2013 (2009)</t>
  </si>
  <si>
    <t>2015 (2009-2010)</t>
  </si>
  <si>
    <t>Year of Study (Year of data inputs)</t>
  </si>
  <si>
    <t>2011 (2008)</t>
  </si>
  <si>
    <t>2014 (1999-2005)</t>
  </si>
  <si>
    <t>2009 (Unclear)</t>
  </si>
  <si>
    <t>2015 (2011)</t>
  </si>
  <si>
    <t>2014 (2010)</t>
  </si>
  <si>
    <t>2014 (2011)</t>
  </si>
  <si>
    <t>2014 (2003-2012)</t>
  </si>
  <si>
    <t>2011 (2000-2008)</t>
  </si>
  <si>
    <t>Labour Intensive</t>
  </si>
  <si>
    <t>Capital Intensive</t>
  </si>
  <si>
    <t>Original Currency</t>
  </si>
  <si>
    <t>Total Number of Direct Jobs</t>
  </si>
  <si>
    <t>Total Number of Indirect Jobs</t>
  </si>
  <si>
    <t>Total Number of Induced Jobs</t>
  </si>
  <si>
    <t>Direct % - (Direct Jobs/ Total JobsJ)</t>
  </si>
  <si>
    <t>Induced % - (Induced Jobs/Total Jobs}</t>
  </si>
  <si>
    <t>Indirect % - (Indirect Jobs/ Total Jobs}</t>
  </si>
  <si>
    <t>High Technology</t>
  </si>
  <si>
    <t>Lower Technology</t>
  </si>
  <si>
    <t>No information</t>
  </si>
  <si>
    <t>Fiscal Stimulus Package (Varied Projects)</t>
  </si>
  <si>
    <t>T1 Multiplier (Direct Jobs + Indirect Jobs]/ Direct Jobs)</t>
  </si>
  <si>
    <t>T2 Multiplier (Direct Jobs + Indirect Jobs + Induced Jobs]/ Direct Jobs)</t>
  </si>
  <si>
    <t>Simulation - Construction: Roads</t>
  </si>
  <si>
    <t>Simulation - Construction: Irrigation</t>
  </si>
  <si>
    <t>Simulation - Construction: Other</t>
  </si>
  <si>
    <t>Simulation - Employment Intensive Approach to Infrastructure</t>
  </si>
  <si>
    <t>Simulation - Conventional Approach to Infrastructure</t>
  </si>
  <si>
    <t>Simulation - Roads (Construction)</t>
  </si>
  <si>
    <t>Simulation - Roads (Improvements)</t>
  </si>
  <si>
    <t>Simulation - Rail</t>
  </si>
  <si>
    <t>Simulation - School</t>
  </si>
  <si>
    <t>Simulation - Hospital</t>
  </si>
  <si>
    <t>Simulation - Social Housing</t>
  </si>
  <si>
    <t>Simulation - Drinking/Wastewater Treatment</t>
  </si>
  <si>
    <t>Simulation - High Volatage Power Line</t>
  </si>
  <si>
    <t>Simulation - Gas Power Station</t>
  </si>
  <si>
    <t>Simulation - Irrigation Canal</t>
  </si>
  <si>
    <t>Simulation - Highways/Urban Roads</t>
  </si>
  <si>
    <t>Simulation - Rural Roads</t>
  </si>
  <si>
    <t>Simulation - Other</t>
  </si>
  <si>
    <t>Programme or project level employment information</t>
  </si>
  <si>
    <t>Country and programme or project information</t>
  </si>
  <si>
    <t>Recommended key indicators</t>
  </si>
  <si>
    <t>Max</t>
  </si>
  <si>
    <t>Min</t>
  </si>
  <si>
    <t>Total FTE year jobs - (Direct Jobs + Indirect Jobs + Induced Jobs)</t>
  </si>
  <si>
    <t>UMIC</t>
  </si>
  <si>
    <t>HIC:Non-OECD</t>
  </si>
  <si>
    <t>HIC:OECD</t>
  </si>
  <si>
    <t>MENA (LMIC)</t>
  </si>
  <si>
    <t>MENA (HMIC)</t>
  </si>
  <si>
    <t>South Asia (LMIC)</t>
  </si>
  <si>
    <t>South East Asia (LMIC)</t>
  </si>
  <si>
    <t>South East Asia (HIC:Non-OECD)</t>
  </si>
  <si>
    <t>Sub Saharan Africa (LIC)</t>
  </si>
  <si>
    <t>Irrigation</t>
  </si>
  <si>
    <t>Investment cost per FTE year of employment created (USD) - Direct, indirect and induced</t>
  </si>
  <si>
    <t>Investment cost per FTE year of employment created (USD) - Direct only</t>
  </si>
  <si>
    <t>Placeholder 1 country currency</t>
  </si>
  <si>
    <t>Placeholder 1</t>
  </si>
  <si>
    <t>Placeholder 2</t>
  </si>
  <si>
    <t>Region number</t>
  </si>
  <si>
    <t>ILO Indicator Guide for Infrastructure Employment Impact Assessment</t>
  </si>
  <si>
    <t>Macro studies summary table and placeholders for adding cases</t>
  </si>
  <si>
    <t>Ghana</t>
  </si>
  <si>
    <t>Housing</t>
  </si>
  <si>
    <t>Concentional</t>
  </si>
  <si>
    <t>GHC</t>
  </si>
  <si>
    <t>Rwanda</t>
  </si>
  <si>
    <t>Feeder Roads</t>
  </si>
  <si>
    <t>2017 (2019)</t>
  </si>
  <si>
    <t>2015 (2019)</t>
  </si>
  <si>
    <t>SAM</t>
  </si>
  <si>
    <t>Total FTE per million USD of investment (Total Jobs/ Cost of investment (m USD)</t>
  </si>
  <si>
    <t>Direct FTE per million USD of investment (Direct Jobs/ Cost of investment (m USD)</t>
  </si>
  <si>
    <t>Indirect FTE per million USD of investment (Indirect Jobs/ Cost of investment (m USD)</t>
  </si>
  <si>
    <t>Induced FTE per million USD of investment (Induced Jobs/ Cost of investment (m USD)</t>
  </si>
  <si>
    <t xml:space="preserve"> Social Housing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</si>
</sst>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%"/>
    <numFmt numFmtId="166" formatCode="0.00000"/>
    <numFmt numFmtId="167" formatCode="0.0000"/>
    <numFmt numFmtId="168" formatCode="#,##0.0"/>
    <numFmt numFmtId="169" formatCode="0.000"/>
  </numFmts>
  <fonts count="16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9.5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6A2"/>
        <bgColor indexed="64"/>
      </patternFill>
    </fill>
    <fill>
      <patternFill patternType="solid">
        <fgColor rgb="FFC6E6A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BBE3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EC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21586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1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center" wrapText="1"/>
    </xf>
    <xf numFmtId="4" fontId="0" fillId="0" borderId="0" xfId="0" applyNumberFormat="1" applyBorder="1" applyAlignment="1">
      <alignment vertical="top" wrapText="1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3" borderId="1" xfId="0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164" fontId="0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right" vertical="top"/>
    </xf>
    <xf numFmtId="0" fontId="0" fillId="6" borderId="1" xfId="0" applyFill="1" applyBorder="1" applyAlignment="1">
      <alignment vertical="top" wrapText="1"/>
    </xf>
    <xf numFmtId="0" fontId="0" fillId="6" borderId="1" xfId="0" applyFill="1" applyBorder="1" applyAlignment="1">
      <alignment vertical="top"/>
    </xf>
    <xf numFmtId="0" fontId="10" fillId="7" borderId="1" xfId="0" applyFont="1" applyFill="1" applyBorder="1" applyAlignment="1">
      <alignment vertical="top"/>
    </xf>
    <xf numFmtId="0" fontId="10" fillId="6" borderId="1" xfId="0" applyFont="1" applyFill="1" applyBorder="1" applyAlignment="1">
      <alignment vertical="top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7" fontId="0" fillId="4" borderId="1" xfId="0" applyNumberFormat="1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top" wrapText="1"/>
    </xf>
    <xf numFmtId="0" fontId="0" fillId="4" borderId="6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0" fontId="0" fillId="4" borderId="8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 wrapText="1"/>
    </xf>
    <xf numFmtId="164" fontId="0" fillId="3" borderId="1" xfId="0" applyNumberFormat="1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horizontal="right" vertical="center" wrapText="1"/>
    </xf>
    <xf numFmtId="164" fontId="0" fillId="3" borderId="1" xfId="0" applyNumberFormat="1" applyFont="1" applyFill="1" applyBorder="1" applyAlignment="1">
      <alignment vertical="top"/>
    </xf>
    <xf numFmtId="2" fontId="0" fillId="3" borderId="1" xfId="0" applyNumberFormat="1" applyFont="1" applyFill="1" applyBorder="1" applyAlignment="1">
      <alignment horizontal="right" vertical="center" wrapText="1"/>
    </xf>
    <xf numFmtId="2" fontId="0" fillId="3" borderId="1" xfId="0" applyNumberFormat="1" applyFont="1" applyFill="1" applyBorder="1" applyAlignment="1">
      <alignment horizontal="right" vertical="top" wrapText="1"/>
    </xf>
    <xf numFmtId="3" fontId="0" fillId="6" borderId="1" xfId="0" applyNumberFormat="1" applyFont="1" applyFill="1" applyBorder="1" applyAlignment="1">
      <alignment vertical="top" wrapText="1"/>
    </xf>
    <xf numFmtId="1" fontId="0" fillId="6" borderId="1" xfId="0" applyNumberFormat="1" applyFont="1" applyFill="1" applyBorder="1" applyAlignment="1">
      <alignment vertical="top" wrapText="1"/>
    </xf>
    <xf numFmtId="165" fontId="0" fillId="6" borderId="1" xfId="0" applyNumberFormat="1" applyFont="1" applyFill="1" applyBorder="1" applyAlignment="1">
      <alignment vertical="top" wrapText="1"/>
    </xf>
    <xf numFmtId="1" fontId="0" fillId="6" borderId="1" xfId="0" applyNumberFormat="1" applyFont="1" applyFill="1" applyBorder="1" applyAlignment="1">
      <alignment vertical="top"/>
    </xf>
    <xf numFmtId="1" fontId="0" fillId="3" borderId="1" xfId="0" applyNumberFormat="1" applyFont="1" applyFill="1" applyBorder="1" applyAlignment="1">
      <alignment vertical="top"/>
    </xf>
    <xf numFmtId="0" fontId="0" fillId="6" borderId="1" xfId="0" applyFont="1" applyFill="1" applyBorder="1" applyAlignment="1">
      <alignment vertical="top" wrapText="1"/>
    </xf>
    <xf numFmtId="164" fontId="0" fillId="3" borderId="1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justify" vertical="center" wrapText="1"/>
    </xf>
    <xf numFmtId="164" fontId="0" fillId="6" borderId="1" xfId="0" applyNumberFormat="1" applyFont="1" applyFill="1" applyBorder="1" applyAlignment="1">
      <alignment vertical="top" wrapText="1"/>
    </xf>
    <xf numFmtId="0" fontId="0" fillId="6" borderId="1" xfId="0" applyFont="1" applyFill="1" applyBorder="1" applyAlignment="1">
      <alignment vertical="top"/>
    </xf>
    <xf numFmtId="0" fontId="0" fillId="3" borderId="1" xfId="0" applyFont="1" applyFill="1" applyBorder="1" applyAlignment="1">
      <alignment horizontal="right" vertical="top"/>
    </xf>
    <xf numFmtId="0" fontId="0" fillId="4" borderId="2" xfId="0" applyFont="1" applyFill="1" applyBorder="1" applyAlignment="1">
      <alignment vertical="top" wrapText="1"/>
    </xf>
    <xf numFmtId="0" fontId="0" fillId="4" borderId="5" xfId="0" applyFont="1" applyFill="1" applyBorder="1" applyAlignment="1">
      <alignment vertical="top" wrapText="1"/>
    </xf>
    <xf numFmtId="3" fontId="0" fillId="6" borderId="0" xfId="0" applyNumberFormat="1" applyFont="1" applyFill="1" applyBorder="1" applyAlignment="1">
      <alignment vertical="top" wrapText="1"/>
    </xf>
    <xf numFmtId="1" fontId="0" fillId="6" borderId="0" xfId="0" applyNumberFormat="1" applyFont="1" applyFill="1" applyBorder="1" applyAlignment="1">
      <alignment vertical="top" wrapText="1"/>
    </xf>
    <xf numFmtId="0" fontId="0" fillId="4" borderId="7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vertical="top" wrapText="1"/>
    </xf>
    <xf numFmtId="0" fontId="0" fillId="8" borderId="1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3" fontId="0" fillId="0" borderId="0" xfId="0" applyNumberFormat="1" applyFont="1" applyBorder="1" applyAlignment="1">
      <alignment vertical="top" wrapText="1"/>
    </xf>
    <xf numFmtId="0" fontId="0" fillId="2" borderId="1" xfId="0" applyFont="1" applyFill="1" applyBorder="1" applyAlignment="1">
      <alignment horizontal="right" vertical="top" wrapText="1"/>
    </xf>
    <xf numFmtId="2" fontId="0" fillId="2" borderId="1" xfId="0" applyNumberFormat="1" applyFont="1" applyFill="1" applyBorder="1" applyAlignment="1">
      <alignment horizontal="left" vertical="top" wrapText="1"/>
    </xf>
    <xf numFmtId="2" fontId="0" fillId="2" borderId="1" xfId="0" applyNumberFormat="1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9" borderId="0" xfId="0" applyFont="1" applyFill="1" applyBorder="1" applyAlignment="1">
      <alignment vertical="top" wrapText="1"/>
    </xf>
    <xf numFmtId="2" fontId="0" fillId="9" borderId="0" xfId="0" applyNumberFormat="1" applyFont="1" applyFill="1" applyBorder="1" applyAlignment="1">
      <alignment vertical="top" wrapText="1"/>
    </xf>
    <xf numFmtId="0" fontId="0" fillId="2" borderId="6" xfId="0" applyFont="1" applyFill="1" applyBorder="1" applyAlignment="1">
      <alignment horizontal="right" vertical="top" wrapText="1"/>
    </xf>
    <xf numFmtId="2" fontId="0" fillId="2" borderId="6" xfId="0" applyNumberFormat="1" applyFont="1" applyFill="1" applyBorder="1" applyAlignment="1">
      <alignment horizontal="left" vertical="top" wrapText="1"/>
    </xf>
    <xf numFmtId="166" fontId="0" fillId="2" borderId="6" xfId="0" applyNumberFormat="1" applyFont="1" applyFill="1" applyBorder="1" applyAlignment="1">
      <alignment vertical="top" wrapText="1"/>
    </xf>
    <xf numFmtId="2" fontId="0" fillId="2" borderId="6" xfId="0" applyNumberFormat="1" applyFont="1" applyFill="1" applyBorder="1" applyAlignment="1">
      <alignment vertical="top" wrapText="1"/>
    </xf>
    <xf numFmtId="2" fontId="12" fillId="11" borderId="11" xfId="0" applyNumberFormat="1" applyFont="1" applyFill="1" applyBorder="1" applyAlignment="1">
      <alignment horizontal="left" vertical="top" wrapText="1"/>
    </xf>
    <xf numFmtId="2" fontId="12" fillId="11" borderId="11" xfId="0" applyNumberFormat="1" applyFont="1" applyFill="1" applyBorder="1" applyAlignment="1">
      <alignment vertical="top" wrapText="1"/>
    </xf>
    <xf numFmtId="0" fontId="12" fillId="11" borderId="12" xfId="0" applyFont="1" applyFill="1" applyBorder="1" applyAlignment="1">
      <alignment vertical="top" wrapText="1"/>
    </xf>
    <xf numFmtId="168" fontId="0" fillId="10" borderId="7" xfId="0" applyNumberFormat="1" applyFont="1" applyFill="1" applyBorder="1" applyAlignment="1">
      <alignment vertical="top" wrapText="1"/>
    </xf>
    <xf numFmtId="168" fontId="0" fillId="10" borderId="1" xfId="0" applyNumberFormat="1" applyFont="1" applyFill="1" applyBorder="1" applyAlignment="1">
      <alignment vertical="top" wrapText="1"/>
    </xf>
    <xf numFmtId="168" fontId="0" fillId="10" borderId="6" xfId="0" applyNumberFormat="1" applyFont="1" applyFill="1" applyBorder="1" applyAlignment="1">
      <alignment vertical="top" wrapText="1"/>
    </xf>
    <xf numFmtId="3" fontId="0" fillId="10" borderId="7" xfId="0" applyNumberFormat="1" applyFont="1" applyFill="1" applyBorder="1" applyAlignment="1">
      <alignment vertical="top" wrapText="1"/>
    </xf>
    <xf numFmtId="3" fontId="0" fillId="10" borderId="1" xfId="0" applyNumberFormat="1" applyFont="1" applyFill="1" applyBorder="1" applyAlignment="1">
      <alignment vertical="top" wrapText="1"/>
    </xf>
    <xf numFmtId="3" fontId="0" fillId="10" borderId="6" xfId="0" applyNumberFormat="1" applyFont="1" applyFill="1" applyBorder="1" applyAlignment="1">
      <alignment vertical="top" wrapText="1"/>
    </xf>
    <xf numFmtId="3" fontId="0" fillId="3" borderId="1" xfId="0" applyNumberFormat="1" applyFont="1" applyFill="1" applyBorder="1" applyAlignment="1">
      <alignment horizontal="right" vertical="top" wrapText="1"/>
    </xf>
    <xf numFmtId="164" fontId="0" fillId="6" borderId="1" xfId="0" applyNumberFormat="1" applyFont="1" applyFill="1" applyBorder="1" applyAlignment="1">
      <alignment vertical="top"/>
    </xf>
    <xf numFmtId="0" fontId="12" fillId="11" borderId="13" xfId="0" applyFont="1" applyFill="1" applyBorder="1" applyAlignment="1">
      <alignment horizontal="right" vertical="top" wrapText="1"/>
    </xf>
    <xf numFmtId="0" fontId="0" fillId="11" borderId="1" xfId="0" applyFont="1" applyFill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10" fillId="4" borderId="6" xfId="0" applyFont="1" applyFill="1" applyBorder="1" applyAlignment="1">
      <alignment horizontal="right" vertical="top"/>
    </xf>
    <xf numFmtId="0" fontId="7" fillId="4" borderId="1" xfId="0" applyFont="1" applyFill="1" applyBorder="1" applyAlignment="1">
      <alignment vertical="top"/>
    </xf>
    <xf numFmtId="169" fontId="0" fillId="6" borderId="1" xfId="0" applyNumberFormat="1" applyFont="1" applyFill="1" applyBorder="1" applyAlignment="1">
      <alignment vertical="top" wrapText="1"/>
    </xf>
    <xf numFmtId="169" fontId="0" fillId="6" borderId="1" xfId="0" applyNumberFormat="1" applyFont="1" applyFill="1" applyBorder="1" applyAlignment="1">
      <alignment vertical="top"/>
    </xf>
    <xf numFmtId="164" fontId="0" fillId="12" borderId="7" xfId="0" applyNumberFormat="1" applyFont="1" applyFill="1" applyBorder="1" applyAlignment="1">
      <alignment vertical="top" wrapText="1"/>
    </xf>
    <xf numFmtId="164" fontId="0" fillId="12" borderId="1" xfId="0" applyNumberFormat="1" applyFont="1" applyFill="1" applyBorder="1" applyAlignment="1">
      <alignment vertical="top" wrapText="1"/>
    </xf>
    <xf numFmtId="164" fontId="0" fillId="12" borderId="6" xfId="0" applyNumberFormat="1" applyFont="1" applyFill="1" applyBorder="1" applyAlignment="1">
      <alignment vertical="top" wrapText="1"/>
    </xf>
    <xf numFmtId="0" fontId="0" fillId="12" borderId="1" xfId="0" applyFont="1" applyFill="1" applyBorder="1" applyAlignment="1">
      <alignment vertical="top" wrapText="1"/>
    </xf>
    <xf numFmtId="0" fontId="0" fillId="12" borderId="6" xfId="0" applyFont="1" applyFill="1" applyBorder="1" applyAlignment="1">
      <alignment vertical="top" wrapText="1"/>
    </xf>
    <xf numFmtId="0" fontId="0" fillId="4" borderId="0" xfId="0" applyFill="1" applyBorder="1" applyAlignment="1">
      <alignment vertical="top"/>
    </xf>
    <xf numFmtId="2" fontId="15" fillId="6" borderId="1" xfId="411" applyNumberFormat="1" applyFont="1" applyFill="1" applyBorder="1" applyAlignment="1">
      <alignment vertical="top"/>
    </xf>
    <xf numFmtId="0" fontId="1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 wrapText="1"/>
    </xf>
  </cellXfs>
  <cellStyles count="4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Normal" xfId="0" builtinId="0"/>
    <cellStyle name="Per cent" xfId="411" builtinId="5"/>
  </cellStyles>
  <dxfs count="0"/>
  <tableStyles count="0" defaultTableStyle="TableStyleMedium2" defaultPivotStyle="PivotStyleLight16"/>
  <colors>
    <mruColors>
      <color rgb="FFDFF1CB"/>
      <color rgb="FFC6E6A2"/>
      <color rgb="FFF2EC00"/>
      <color rgb="FFDBD600"/>
      <color rgb="FFFFFF9B"/>
      <color rgb="FFA7D971"/>
      <color rgb="FFA6D8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04"/>
  <sheetViews>
    <sheetView tabSelected="1" topLeftCell="A2" zoomScale="80" zoomScaleNormal="80" zoomScalePageLayoutView="80" workbookViewId="0">
      <selection activeCell="B79" sqref="B79"/>
    </sheetView>
  </sheetViews>
  <sheetFormatPr baseColWidth="10" defaultColWidth="8.83203125" defaultRowHeight="15" x14ac:dyDescent="0.2"/>
  <cols>
    <col min="1" max="1" width="8.83203125" style="1"/>
    <col min="2" max="2" width="30.1640625" style="1" customWidth="1"/>
    <col min="3" max="3" width="18" style="4" customWidth="1"/>
    <col min="4" max="4" width="27.83203125" style="4" customWidth="1"/>
    <col min="5" max="6" width="22.5" style="4" customWidth="1"/>
    <col min="7" max="8" width="23.5" style="4" customWidth="1"/>
    <col min="9" max="9" width="15.83203125" style="4" customWidth="1"/>
    <col min="10" max="10" width="19" style="4" customWidth="1"/>
    <col min="11" max="16" width="23.5" style="4" customWidth="1"/>
    <col min="17" max="17" width="24.5" style="4" customWidth="1"/>
    <col min="18" max="18" width="23.5" style="4" customWidth="1"/>
    <col min="19" max="19" width="16" style="4" customWidth="1"/>
    <col min="20" max="21" width="12" style="4" customWidth="1"/>
    <col min="22" max="22" width="12.1640625" style="4" customWidth="1"/>
    <col min="23" max="23" width="11.5" style="4" bestFit="1" customWidth="1"/>
    <col min="24" max="24" width="8.83203125" style="4"/>
    <col min="25" max="25" width="16.5" style="4" customWidth="1"/>
    <col min="26" max="26" width="13.6640625" style="4" customWidth="1"/>
    <col min="27" max="27" width="12" style="4" customWidth="1"/>
    <col min="28" max="29" width="11.5" style="4" customWidth="1"/>
    <col min="30" max="30" width="14.5" style="4" customWidth="1"/>
    <col min="31" max="31" width="45.5" style="4" bestFit="1" customWidth="1"/>
    <col min="32" max="32" width="14.83203125" style="4" customWidth="1"/>
    <col min="33" max="33" width="21.5" style="4" customWidth="1"/>
    <col min="34" max="34" width="17.5" style="4" customWidth="1"/>
    <col min="35" max="38" width="15.5" style="5" customWidth="1"/>
    <col min="39" max="43" width="8.83203125" style="5"/>
    <col min="44" max="16384" width="8.83203125" style="1"/>
  </cols>
  <sheetData>
    <row r="1" spans="1:43" ht="15.5" hidden="1" customHeight="1" x14ac:dyDescent="0.2">
      <c r="C1" s="2"/>
      <c r="D1" s="117" t="s">
        <v>0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2"/>
      <c r="Z1" s="2"/>
      <c r="AA1" s="2"/>
      <c r="AB1" s="2"/>
      <c r="AC1" s="2"/>
      <c r="AD1" s="2"/>
      <c r="AE1" s="2"/>
      <c r="AF1" s="2"/>
      <c r="AG1" s="2"/>
      <c r="AH1" s="2"/>
      <c r="AI1" s="1"/>
      <c r="AJ1" s="1"/>
      <c r="AK1" s="1"/>
      <c r="AL1" s="1"/>
      <c r="AM1" s="1"/>
      <c r="AN1" s="1"/>
      <c r="AO1" s="1"/>
      <c r="AP1" s="1"/>
      <c r="AQ1" s="1"/>
    </row>
    <row r="2" spans="1:43" ht="22.5" customHeight="1" x14ac:dyDescent="0.2">
      <c r="B2" s="119" t="s">
        <v>127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8"/>
      <c r="O2" s="18"/>
      <c r="P2" s="18"/>
      <c r="Q2" s="34"/>
      <c r="R2" s="84"/>
      <c r="S2" s="18"/>
      <c r="T2" s="18"/>
      <c r="U2" s="18"/>
      <c r="V2" s="18"/>
      <c r="W2" s="18"/>
      <c r="X2" s="18"/>
      <c r="Z2" s="2"/>
      <c r="AA2" s="2"/>
      <c r="AB2" s="2"/>
      <c r="AC2" s="2"/>
      <c r="AD2" s="2"/>
      <c r="AE2" s="2"/>
      <c r="AF2" s="2"/>
      <c r="AG2" s="2"/>
      <c r="AH2" s="2"/>
      <c r="AI2" s="1"/>
      <c r="AJ2" s="1"/>
      <c r="AK2" s="1"/>
      <c r="AL2" s="1"/>
      <c r="AM2" s="1"/>
      <c r="AN2" s="1"/>
      <c r="AO2" s="1"/>
      <c r="AP2" s="1"/>
      <c r="AQ2" s="1"/>
    </row>
    <row r="3" spans="1:43" ht="20" customHeight="1" x14ac:dyDescent="0.2">
      <c r="B3" s="120" t="s">
        <v>128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9"/>
      <c r="O3" s="19"/>
      <c r="P3" s="19"/>
      <c r="Q3" s="35"/>
      <c r="R3" s="85"/>
      <c r="S3" s="3"/>
      <c r="T3" s="3"/>
      <c r="U3" s="3"/>
      <c r="V3" s="3"/>
      <c r="W3" s="3"/>
      <c r="X3" s="2"/>
      <c r="Z3" s="2"/>
      <c r="AA3" s="2"/>
      <c r="AB3" s="2"/>
      <c r="AC3" s="2"/>
      <c r="AD3" s="2"/>
      <c r="AE3" s="2"/>
      <c r="AF3" s="2"/>
      <c r="AG3" s="2"/>
      <c r="AH3" s="2"/>
      <c r="AI3" s="1"/>
      <c r="AJ3" s="1"/>
      <c r="AK3" s="1"/>
      <c r="AL3" s="1"/>
      <c r="AM3" s="1"/>
      <c r="AN3" s="1"/>
      <c r="AO3" s="1"/>
      <c r="AP3" s="1"/>
      <c r="AQ3" s="1"/>
    </row>
    <row r="4" spans="1:43" x14ac:dyDescent="0.2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I4" s="1"/>
      <c r="AJ4" s="1"/>
      <c r="AK4" s="1"/>
      <c r="AL4" s="1"/>
      <c r="AM4" s="1"/>
      <c r="AN4" s="1"/>
      <c r="AO4" s="1"/>
      <c r="AP4" s="1"/>
      <c r="AQ4" s="1"/>
    </row>
    <row r="5" spans="1:43" s="8" customFormat="1" ht="14.5" customHeight="1" x14ac:dyDescent="0.2">
      <c r="A5" s="107"/>
      <c r="B5" s="121" t="s">
        <v>106</v>
      </c>
      <c r="C5" s="122"/>
      <c r="D5" s="122"/>
      <c r="E5" s="122"/>
      <c r="F5" s="122"/>
      <c r="G5" s="122"/>
      <c r="H5" s="122"/>
      <c r="I5" s="122"/>
      <c r="J5" s="123"/>
      <c r="K5" s="124" t="s">
        <v>107</v>
      </c>
      <c r="L5" s="125"/>
      <c r="M5" s="125"/>
      <c r="N5" s="125"/>
      <c r="O5" s="125"/>
      <c r="P5" s="125"/>
      <c r="Q5" s="125"/>
      <c r="R5" s="126"/>
      <c r="S5" s="127" t="s">
        <v>105</v>
      </c>
      <c r="T5" s="128"/>
      <c r="U5" s="128"/>
      <c r="V5" s="128"/>
      <c r="W5" s="128"/>
      <c r="X5" s="128"/>
      <c r="Y5" s="128"/>
      <c r="Z5" s="128"/>
      <c r="AA5" s="17"/>
      <c r="AB5" s="17"/>
      <c r="AC5" s="118"/>
      <c r="AD5" s="118"/>
      <c r="AE5" s="7"/>
      <c r="AF5" s="7"/>
      <c r="AG5" s="6"/>
      <c r="AH5" s="7"/>
      <c r="AI5" s="7"/>
      <c r="AJ5" s="7"/>
      <c r="AK5" s="7"/>
      <c r="AL5" s="7"/>
      <c r="AM5" s="7"/>
      <c r="AN5" s="7"/>
      <c r="AO5" s="7"/>
      <c r="AP5" s="7"/>
    </row>
    <row r="6" spans="1:43" ht="80" x14ac:dyDescent="0.2">
      <c r="A6" s="23" t="s">
        <v>126</v>
      </c>
      <c r="B6" s="22" t="s">
        <v>30</v>
      </c>
      <c r="C6" s="23" t="s">
        <v>1</v>
      </c>
      <c r="D6" s="23" t="s">
        <v>2</v>
      </c>
      <c r="E6" s="23" t="s">
        <v>3</v>
      </c>
      <c r="F6" s="23" t="s">
        <v>31</v>
      </c>
      <c r="G6" s="23" t="s">
        <v>63</v>
      </c>
      <c r="H6" s="23" t="s">
        <v>25</v>
      </c>
      <c r="I6" s="23" t="s">
        <v>74</v>
      </c>
      <c r="J6" s="23" t="s">
        <v>35</v>
      </c>
      <c r="K6" s="20" t="s">
        <v>138</v>
      </c>
      <c r="L6" s="20" t="s">
        <v>139</v>
      </c>
      <c r="M6" s="20" t="s">
        <v>140</v>
      </c>
      <c r="N6" s="20" t="s">
        <v>141</v>
      </c>
      <c r="O6" s="21" t="s">
        <v>85</v>
      </c>
      <c r="P6" s="21" t="s">
        <v>86</v>
      </c>
      <c r="Q6" s="21" t="s">
        <v>121</v>
      </c>
      <c r="R6" s="21" t="s">
        <v>122</v>
      </c>
      <c r="S6" s="30" t="s">
        <v>110</v>
      </c>
      <c r="T6" s="30" t="s">
        <v>75</v>
      </c>
      <c r="U6" s="30" t="s">
        <v>78</v>
      </c>
      <c r="V6" s="30" t="s">
        <v>76</v>
      </c>
      <c r="W6" s="30" t="s">
        <v>80</v>
      </c>
      <c r="X6" s="30" t="s">
        <v>77</v>
      </c>
      <c r="Y6" s="30" t="s">
        <v>79</v>
      </c>
      <c r="Z6" s="31" t="s">
        <v>10</v>
      </c>
      <c r="AA6" s="5"/>
      <c r="AB6" s="5"/>
      <c r="AC6" s="5"/>
      <c r="AD6" s="5"/>
      <c r="AE6" s="5"/>
      <c r="AF6" s="5"/>
      <c r="AG6" s="5"/>
      <c r="AH6" s="5"/>
      <c r="AK6" s="1"/>
      <c r="AL6" s="1"/>
      <c r="AM6" s="1"/>
      <c r="AN6" s="1"/>
      <c r="AO6" s="1"/>
      <c r="AP6" s="1"/>
      <c r="AQ6" s="1"/>
    </row>
    <row r="7" spans="1:43" ht="16" x14ac:dyDescent="0.2">
      <c r="A7" s="22">
        <v>1</v>
      </c>
      <c r="B7" s="44" t="s">
        <v>114</v>
      </c>
      <c r="C7" s="45" t="s">
        <v>20</v>
      </c>
      <c r="D7" s="45" t="s">
        <v>21</v>
      </c>
      <c r="E7" s="45" t="s">
        <v>13</v>
      </c>
      <c r="F7" s="45" t="s">
        <v>81</v>
      </c>
      <c r="G7" s="45" t="s">
        <v>67</v>
      </c>
      <c r="H7" s="27">
        <v>2200</v>
      </c>
      <c r="I7" s="28" t="s">
        <v>28</v>
      </c>
      <c r="J7" s="27">
        <f>H7</f>
        <v>2200</v>
      </c>
      <c r="K7" s="57">
        <f t="shared" ref="K7:K17" si="0">S7/J7</f>
        <v>30.503181818181819</v>
      </c>
      <c r="L7" s="57">
        <f t="shared" ref="L7:L17" si="1">T7/J7</f>
        <v>5.1077272727272724</v>
      </c>
      <c r="M7" s="57">
        <f t="shared" ref="M7:M17" si="2">V7/J7</f>
        <v>20.273181818181818</v>
      </c>
      <c r="N7" s="55">
        <f t="shared" ref="N7:N17" si="3">X7/J7</f>
        <v>5.1222727272727271</v>
      </c>
      <c r="O7" s="58">
        <v>4.97</v>
      </c>
      <c r="P7" s="58">
        <v>5.97</v>
      </c>
      <c r="Q7" s="101">
        <f t="shared" ref="Q7:Q25" si="4">1000000/K7</f>
        <v>32783.465212272939</v>
      </c>
      <c r="R7" s="101">
        <f t="shared" ref="R7:R25" si="5">1000000/L7</f>
        <v>195781.79229331674</v>
      </c>
      <c r="S7" s="56">
        <f>T7+V7+X7</f>
        <v>67107</v>
      </c>
      <c r="T7" s="52">
        <v>11237</v>
      </c>
      <c r="U7" s="60">
        <v>17</v>
      </c>
      <c r="V7" s="52">
        <v>44601</v>
      </c>
      <c r="W7" s="60">
        <v>66</v>
      </c>
      <c r="X7" s="54">
        <v>11269</v>
      </c>
      <c r="Y7" s="102">
        <v>17</v>
      </c>
      <c r="Z7" s="61" t="s">
        <v>5</v>
      </c>
      <c r="AB7" s="5"/>
      <c r="AC7" s="5"/>
      <c r="AD7" s="5"/>
      <c r="AE7" s="5"/>
      <c r="AF7" s="5"/>
      <c r="AG7" s="5"/>
      <c r="AH7" s="5"/>
      <c r="AK7" s="1"/>
      <c r="AL7" s="1"/>
      <c r="AM7" s="1"/>
      <c r="AN7" s="1"/>
      <c r="AO7" s="1"/>
      <c r="AP7" s="1"/>
      <c r="AQ7" s="1"/>
    </row>
    <row r="8" spans="1:43" ht="16" x14ac:dyDescent="0.2">
      <c r="A8" s="22">
        <v>1</v>
      </c>
      <c r="B8" s="44" t="s">
        <v>114</v>
      </c>
      <c r="C8" s="45" t="s">
        <v>20</v>
      </c>
      <c r="D8" s="45" t="s">
        <v>22</v>
      </c>
      <c r="E8" s="45" t="s">
        <v>13</v>
      </c>
      <c r="F8" s="45" t="s">
        <v>81</v>
      </c>
      <c r="G8" s="45" t="s">
        <v>67</v>
      </c>
      <c r="H8" s="27">
        <v>700</v>
      </c>
      <c r="I8" s="28" t="s">
        <v>28</v>
      </c>
      <c r="J8" s="27">
        <f>H8</f>
        <v>700</v>
      </c>
      <c r="K8" s="57">
        <f t="shared" si="0"/>
        <v>4.9614285714285717</v>
      </c>
      <c r="L8" s="57">
        <f t="shared" si="1"/>
        <v>0.93142857142857138</v>
      </c>
      <c r="M8" s="57">
        <f t="shared" si="2"/>
        <v>2.9714285714285715</v>
      </c>
      <c r="N8" s="55">
        <f t="shared" si="3"/>
        <v>1.0585714285714285</v>
      </c>
      <c r="O8" s="62">
        <v>4.1900000000000004</v>
      </c>
      <c r="P8" s="58">
        <v>5.32</v>
      </c>
      <c r="Q8" s="101">
        <f t="shared" si="4"/>
        <v>201554.85171321622</v>
      </c>
      <c r="R8" s="101">
        <f t="shared" si="5"/>
        <v>1073619.6319018404</v>
      </c>
      <c r="S8" s="56">
        <f>T8+V8+X8</f>
        <v>3473</v>
      </c>
      <c r="T8" s="52">
        <v>652</v>
      </c>
      <c r="U8" s="60">
        <v>19</v>
      </c>
      <c r="V8" s="52">
        <v>2080</v>
      </c>
      <c r="W8" s="60">
        <v>60</v>
      </c>
      <c r="X8" s="54">
        <v>741</v>
      </c>
      <c r="Y8" s="102">
        <v>21</v>
      </c>
      <c r="Z8" s="61" t="s">
        <v>5</v>
      </c>
      <c r="AA8" s="5"/>
      <c r="AB8" s="5"/>
      <c r="AC8" s="5"/>
      <c r="AD8" s="5"/>
      <c r="AE8" s="5"/>
      <c r="AF8" s="5"/>
      <c r="AG8" s="5"/>
      <c r="AH8" s="5"/>
      <c r="AK8" s="1"/>
      <c r="AL8" s="1"/>
      <c r="AM8" s="1"/>
      <c r="AN8" s="1"/>
      <c r="AO8" s="1"/>
      <c r="AP8" s="1"/>
      <c r="AQ8" s="1"/>
    </row>
    <row r="9" spans="1:43" ht="16" x14ac:dyDescent="0.2">
      <c r="A9" s="22">
        <v>1</v>
      </c>
      <c r="B9" s="44" t="s">
        <v>114</v>
      </c>
      <c r="C9" s="45" t="s">
        <v>20</v>
      </c>
      <c r="D9" s="45" t="s">
        <v>23</v>
      </c>
      <c r="E9" s="45" t="s">
        <v>24</v>
      </c>
      <c r="F9" s="45" t="s">
        <v>81</v>
      </c>
      <c r="G9" s="45" t="s">
        <v>67</v>
      </c>
      <c r="H9" s="27">
        <v>150</v>
      </c>
      <c r="I9" s="28" t="s">
        <v>28</v>
      </c>
      <c r="J9" s="27">
        <f>H9</f>
        <v>150</v>
      </c>
      <c r="K9" s="57">
        <f t="shared" si="0"/>
        <v>40.880000000000003</v>
      </c>
      <c r="L9" s="57">
        <f t="shared" si="1"/>
        <v>7.68</v>
      </c>
      <c r="M9" s="57">
        <f t="shared" si="2"/>
        <v>24.48</v>
      </c>
      <c r="N9" s="55">
        <f t="shared" si="3"/>
        <v>8.7200000000000006</v>
      </c>
      <c r="O9" s="58">
        <v>4.18</v>
      </c>
      <c r="P9" s="58">
        <v>5.32</v>
      </c>
      <c r="Q9" s="101">
        <f t="shared" si="4"/>
        <v>24461.83953033268</v>
      </c>
      <c r="R9" s="101">
        <f t="shared" si="5"/>
        <v>130208.33333333334</v>
      </c>
      <c r="S9" s="56">
        <f>T9+V9+X9</f>
        <v>6132</v>
      </c>
      <c r="T9" s="52">
        <v>1152</v>
      </c>
      <c r="U9" s="60">
        <v>19</v>
      </c>
      <c r="V9" s="52">
        <v>3672</v>
      </c>
      <c r="W9" s="60">
        <v>60</v>
      </c>
      <c r="X9" s="54">
        <v>1308</v>
      </c>
      <c r="Y9" s="102">
        <v>21</v>
      </c>
      <c r="Z9" s="61" t="s">
        <v>5</v>
      </c>
      <c r="AA9" s="5"/>
      <c r="AB9" s="5"/>
      <c r="AC9" s="5"/>
      <c r="AD9" s="5"/>
      <c r="AE9" s="5"/>
      <c r="AF9" s="5"/>
      <c r="AG9" s="5"/>
      <c r="AH9" s="5"/>
      <c r="AK9" s="1"/>
      <c r="AL9" s="1"/>
      <c r="AM9" s="1"/>
      <c r="AN9" s="1"/>
      <c r="AO9" s="1"/>
      <c r="AP9" s="1"/>
      <c r="AQ9" s="1"/>
    </row>
    <row r="10" spans="1:43" ht="16" x14ac:dyDescent="0.2">
      <c r="A10" s="22">
        <v>1</v>
      </c>
      <c r="B10" s="44" t="s">
        <v>115</v>
      </c>
      <c r="C10" s="45" t="s">
        <v>11</v>
      </c>
      <c r="D10" s="45" t="s">
        <v>18</v>
      </c>
      <c r="E10" s="45" t="s">
        <v>12</v>
      </c>
      <c r="F10" s="45" t="s">
        <v>81</v>
      </c>
      <c r="G10" s="45" t="s">
        <v>68</v>
      </c>
      <c r="H10" s="27">
        <v>160</v>
      </c>
      <c r="I10" s="28" t="s">
        <v>29</v>
      </c>
      <c r="J10" s="27">
        <f>(H10/F$76)</f>
        <v>223.58974358974362</v>
      </c>
      <c r="K10" s="57">
        <f t="shared" si="0"/>
        <v>46.187270642201831</v>
      </c>
      <c r="L10" s="57">
        <f t="shared" si="1"/>
        <v>17.089290137614675</v>
      </c>
      <c r="M10" s="57">
        <f t="shared" si="2"/>
        <v>15.241799311926604</v>
      </c>
      <c r="N10" s="55">
        <f t="shared" si="3"/>
        <v>13.856181192660548</v>
      </c>
      <c r="O10" s="58">
        <v>1.87</v>
      </c>
      <c r="P10" s="58">
        <v>2.67</v>
      </c>
      <c r="Q10" s="101">
        <f t="shared" si="4"/>
        <v>21650.987081412182</v>
      </c>
      <c r="R10" s="101">
        <f t="shared" si="5"/>
        <v>58516.181301114011</v>
      </c>
      <c r="S10" s="56">
        <v>10327</v>
      </c>
      <c r="T10" s="52">
        <f t="shared" ref="T10:T15" si="6">S10*(U10/100)</f>
        <v>3820.99</v>
      </c>
      <c r="U10" s="60">
        <v>37</v>
      </c>
      <c r="V10" s="52">
        <f t="shared" ref="V10:V15" si="7">S10*(W10/100)</f>
        <v>3407.9100000000003</v>
      </c>
      <c r="W10" s="60">
        <v>33</v>
      </c>
      <c r="X10" s="54">
        <f t="shared" ref="X10:X15" si="8">S10*(Y10/100)</f>
        <v>3098.1</v>
      </c>
      <c r="Y10" s="102">
        <v>30</v>
      </c>
      <c r="Z10" s="61" t="s">
        <v>5</v>
      </c>
      <c r="AA10" s="5"/>
      <c r="AB10" s="5"/>
      <c r="AC10" s="5"/>
      <c r="AD10" s="5"/>
      <c r="AE10" s="5"/>
      <c r="AF10" s="5"/>
      <c r="AG10" s="5"/>
      <c r="AH10" s="5"/>
      <c r="AK10" s="1"/>
      <c r="AL10" s="1"/>
      <c r="AM10" s="1"/>
      <c r="AN10" s="1"/>
      <c r="AO10" s="1"/>
      <c r="AP10" s="1"/>
      <c r="AQ10" s="1"/>
    </row>
    <row r="11" spans="1:43" ht="16" x14ac:dyDescent="0.2">
      <c r="A11" s="22">
        <v>1</v>
      </c>
      <c r="B11" s="44" t="s">
        <v>115</v>
      </c>
      <c r="C11" s="45" t="s">
        <v>11</v>
      </c>
      <c r="D11" s="45" t="s">
        <v>19</v>
      </c>
      <c r="E11" s="45" t="s">
        <v>13</v>
      </c>
      <c r="F11" s="45" t="s">
        <v>81</v>
      </c>
      <c r="G11" s="45" t="s">
        <v>68</v>
      </c>
      <c r="H11" s="27">
        <v>230</v>
      </c>
      <c r="I11" s="28" t="s">
        <v>27</v>
      </c>
      <c r="J11" s="27">
        <f>H11*F$74</f>
        <v>250.70000000000002</v>
      </c>
      <c r="K11" s="57">
        <f t="shared" si="0"/>
        <v>52.377343438372556</v>
      </c>
      <c r="L11" s="57">
        <f t="shared" si="1"/>
        <v>21.474710809732748</v>
      </c>
      <c r="M11" s="57">
        <f t="shared" si="2"/>
        <v>18.855843637814118</v>
      </c>
      <c r="N11" s="55">
        <f t="shared" si="3"/>
        <v>12.046788990825688</v>
      </c>
      <c r="O11" s="58">
        <v>1.87</v>
      </c>
      <c r="P11" s="58">
        <v>2.42</v>
      </c>
      <c r="Q11" s="101">
        <f t="shared" si="4"/>
        <v>19092.224506892089</v>
      </c>
      <c r="R11" s="101">
        <f t="shared" si="5"/>
        <v>46566.401236322163</v>
      </c>
      <c r="S11" s="56">
        <v>13131</v>
      </c>
      <c r="T11" s="52">
        <f t="shared" si="6"/>
        <v>5383.71</v>
      </c>
      <c r="U11" s="60">
        <v>41</v>
      </c>
      <c r="V11" s="52">
        <f t="shared" si="7"/>
        <v>4727.16</v>
      </c>
      <c r="W11" s="60">
        <v>36</v>
      </c>
      <c r="X11" s="54">
        <f t="shared" si="8"/>
        <v>3020.13</v>
      </c>
      <c r="Y11" s="102">
        <v>23</v>
      </c>
      <c r="Z11" s="61" t="s">
        <v>5</v>
      </c>
      <c r="AA11" s="5"/>
      <c r="AB11" s="5"/>
      <c r="AC11" s="5"/>
      <c r="AD11" s="5"/>
      <c r="AE11" s="5"/>
      <c r="AF11" s="5"/>
      <c r="AG11" s="5"/>
      <c r="AH11" s="5"/>
      <c r="AK11" s="1"/>
      <c r="AL11" s="1"/>
      <c r="AM11" s="1"/>
      <c r="AN11" s="1"/>
      <c r="AO11" s="1"/>
      <c r="AP11" s="1"/>
      <c r="AQ11" s="1"/>
    </row>
    <row r="12" spans="1:43" ht="16" x14ac:dyDescent="0.2">
      <c r="A12" s="22">
        <v>1</v>
      </c>
      <c r="B12" s="44" t="s">
        <v>114</v>
      </c>
      <c r="C12" s="45" t="s">
        <v>4</v>
      </c>
      <c r="D12" s="45" t="s">
        <v>6</v>
      </c>
      <c r="E12" s="45" t="s">
        <v>12</v>
      </c>
      <c r="F12" s="45" t="s">
        <v>82</v>
      </c>
      <c r="G12" s="45" t="s">
        <v>70</v>
      </c>
      <c r="H12" s="27">
        <v>650</v>
      </c>
      <c r="I12" s="28" t="s">
        <v>28</v>
      </c>
      <c r="J12" s="27">
        <f>H12</f>
        <v>650</v>
      </c>
      <c r="K12" s="57">
        <f t="shared" si="0"/>
        <v>76.198461538461544</v>
      </c>
      <c r="L12" s="57">
        <f t="shared" si="1"/>
        <v>19.887798461538463</v>
      </c>
      <c r="M12" s="57">
        <f t="shared" si="2"/>
        <v>31.317567692307694</v>
      </c>
      <c r="N12" s="55">
        <f t="shared" si="3"/>
        <v>24.993095384615383</v>
      </c>
      <c r="O12" s="58">
        <v>2.58</v>
      </c>
      <c r="P12" s="58">
        <v>3.83</v>
      </c>
      <c r="Q12" s="101">
        <f t="shared" si="4"/>
        <v>13123.624543196915</v>
      </c>
      <c r="R12" s="101">
        <f t="shared" si="5"/>
        <v>50282.086372401973</v>
      </c>
      <c r="S12" s="56">
        <v>49529</v>
      </c>
      <c r="T12" s="52">
        <f t="shared" si="6"/>
        <v>12927.069000000001</v>
      </c>
      <c r="U12" s="60">
        <v>26.1</v>
      </c>
      <c r="V12" s="52">
        <f t="shared" si="7"/>
        <v>20356.419000000002</v>
      </c>
      <c r="W12" s="56">
        <v>41.1</v>
      </c>
      <c r="X12" s="54">
        <f t="shared" si="8"/>
        <v>16245.511999999999</v>
      </c>
      <c r="Y12" s="61">
        <v>32.799999999999997</v>
      </c>
      <c r="Z12" s="61" t="s">
        <v>5</v>
      </c>
      <c r="AA12" s="5"/>
      <c r="AB12" s="5"/>
      <c r="AC12" s="5"/>
      <c r="AD12" s="5"/>
      <c r="AE12" s="5"/>
      <c r="AF12" s="5"/>
      <c r="AG12" s="5"/>
      <c r="AH12" s="5"/>
      <c r="AK12" s="1"/>
      <c r="AL12" s="1"/>
      <c r="AM12" s="1"/>
      <c r="AN12" s="1"/>
      <c r="AO12" s="1"/>
      <c r="AP12" s="1"/>
      <c r="AQ12" s="1"/>
    </row>
    <row r="13" spans="1:43" ht="16" x14ac:dyDescent="0.2">
      <c r="A13" s="22">
        <v>1</v>
      </c>
      <c r="B13" s="44" t="s">
        <v>114</v>
      </c>
      <c r="C13" s="45" t="s">
        <v>4</v>
      </c>
      <c r="D13" s="45" t="s">
        <v>7</v>
      </c>
      <c r="E13" s="45" t="s">
        <v>13</v>
      </c>
      <c r="F13" s="45" t="s">
        <v>81</v>
      </c>
      <c r="G13" s="45" t="s">
        <v>70</v>
      </c>
      <c r="H13" s="27">
        <v>1000</v>
      </c>
      <c r="I13" s="28" t="s">
        <v>28</v>
      </c>
      <c r="J13" s="27">
        <f>H13</f>
        <v>1000</v>
      </c>
      <c r="K13" s="57">
        <f t="shared" si="0"/>
        <v>39.853999999999999</v>
      </c>
      <c r="L13" s="57">
        <f t="shared" si="1"/>
        <v>8.2099240000000009</v>
      </c>
      <c r="M13" s="57">
        <f t="shared" si="2"/>
        <v>27.977508</v>
      </c>
      <c r="N13" s="55">
        <f t="shared" si="3"/>
        <v>3.6665679999999998</v>
      </c>
      <c r="O13" s="58">
        <v>4.41</v>
      </c>
      <c r="P13" s="58">
        <v>4.8600000000000003</v>
      </c>
      <c r="Q13" s="101">
        <f t="shared" si="4"/>
        <v>25091.584282631607</v>
      </c>
      <c r="R13" s="101">
        <f t="shared" si="5"/>
        <v>121803.80719724079</v>
      </c>
      <c r="S13" s="56">
        <v>39854</v>
      </c>
      <c r="T13" s="52">
        <f t="shared" si="6"/>
        <v>8209.9240000000009</v>
      </c>
      <c r="U13" s="60">
        <v>20.6</v>
      </c>
      <c r="V13" s="52">
        <f t="shared" si="7"/>
        <v>27977.508000000002</v>
      </c>
      <c r="W13" s="56">
        <v>70.2</v>
      </c>
      <c r="X13" s="54">
        <f t="shared" si="8"/>
        <v>3666.5679999999998</v>
      </c>
      <c r="Y13" s="61">
        <v>9.1999999999999993</v>
      </c>
      <c r="Z13" s="61" t="s">
        <v>5</v>
      </c>
      <c r="AA13" s="5"/>
      <c r="AB13" s="5"/>
      <c r="AC13" s="5"/>
      <c r="AD13" s="5"/>
      <c r="AE13" s="5"/>
      <c r="AF13" s="5"/>
      <c r="AG13" s="5"/>
      <c r="AH13" s="5"/>
      <c r="AK13" s="1"/>
      <c r="AL13" s="1"/>
      <c r="AM13" s="1"/>
      <c r="AN13" s="1"/>
      <c r="AO13" s="1"/>
      <c r="AP13" s="1"/>
      <c r="AQ13" s="1"/>
    </row>
    <row r="14" spans="1:43" ht="16" x14ac:dyDescent="0.2">
      <c r="A14" s="22">
        <v>1</v>
      </c>
      <c r="B14" s="44" t="s">
        <v>114</v>
      </c>
      <c r="C14" s="45" t="s">
        <v>4</v>
      </c>
      <c r="D14" s="45" t="s">
        <v>8</v>
      </c>
      <c r="E14" s="45" t="s">
        <v>14</v>
      </c>
      <c r="F14" s="45" t="s">
        <v>81</v>
      </c>
      <c r="G14" s="45" t="s">
        <v>70</v>
      </c>
      <c r="H14" s="27">
        <v>65</v>
      </c>
      <c r="I14" s="28" t="s">
        <v>27</v>
      </c>
      <c r="J14" s="27">
        <f>H14*F$74</f>
        <v>70.850000000000009</v>
      </c>
      <c r="K14" s="57">
        <f t="shared" si="0"/>
        <v>82.625264643613264</v>
      </c>
      <c r="L14" s="57">
        <f t="shared" si="1"/>
        <v>28.670966831333804</v>
      </c>
      <c r="M14" s="57">
        <f t="shared" si="2"/>
        <v>42.552011291460829</v>
      </c>
      <c r="N14" s="55">
        <f t="shared" si="3"/>
        <v>11.402286520818631</v>
      </c>
      <c r="O14" s="58">
        <v>2.48</v>
      </c>
      <c r="P14" s="58">
        <v>2.88</v>
      </c>
      <c r="Q14" s="101">
        <f t="shared" si="4"/>
        <v>12102.835667919371</v>
      </c>
      <c r="R14" s="101">
        <f t="shared" si="5"/>
        <v>34878.488956539979</v>
      </c>
      <c r="S14" s="56">
        <v>5854</v>
      </c>
      <c r="T14" s="52">
        <f t="shared" si="6"/>
        <v>2031.3380000000002</v>
      </c>
      <c r="U14" s="60">
        <v>34.700000000000003</v>
      </c>
      <c r="V14" s="52">
        <f t="shared" si="7"/>
        <v>3014.81</v>
      </c>
      <c r="W14" s="56">
        <v>51.5</v>
      </c>
      <c r="X14" s="54">
        <f t="shared" si="8"/>
        <v>807.85200000000009</v>
      </c>
      <c r="Y14" s="61">
        <v>13.8</v>
      </c>
      <c r="Z14" s="61" t="s">
        <v>5</v>
      </c>
      <c r="AA14" s="5"/>
      <c r="AB14" s="5"/>
      <c r="AC14" s="5"/>
      <c r="AD14" s="5"/>
      <c r="AE14" s="5"/>
      <c r="AF14" s="5"/>
      <c r="AG14" s="5"/>
      <c r="AH14" s="5"/>
      <c r="AK14" s="1"/>
      <c r="AL14" s="1"/>
      <c r="AM14" s="1"/>
      <c r="AN14" s="1"/>
      <c r="AO14" s="1"/>
      <c r="AP14" s="1"/>
      <c r="AQ14" s="1"/>
    </row>
    <row r="15" spans="1:43" ht="16" x14ac:dyDescent="0.2">
      <c r="A15" s="22">
        <v>1</v>
      </c>
      <c r="B15" s="44" t="s">
        <v>114</v>
      </c>
      <c r="C15" s="45" t="s">
        <v>4</v>
      </c>
      <c r="D15" s="45" t="s">
        <v>9</v>
      </c>
      <c r="E15" s="45" t="s">
        <v>14</v>
      </c>
      <c r="F15" s="45" t="s">
        <v>81</v>
      </c>
      <c r="G15" s="45" t="s">
        <v>70</v>
      </c>
      <c r="H15" s="27">
        <v>87</v>
      </c>
      <c r="I15" s="28" t="s">
        <v>27</v>
      </c>
      <c r="J15" s="27">
        <f>H15*F$74</f>
        <v>94.830000000000013</v>
      </c>
      <c r="K15" s="57">
        <f t="shared" si="0"/>
        <v>79.331435199831262</v>
      </c>
      <c r="L15" s="57">
        <f t="shared" si="1"/>
        <v>29.590625329537065</v>
      </c>
      <c r="M15" s="57">
        <f t="shared" si="2"/>
        <v>38.15842033111884</v>
      </c>
      <c r="N15" s="55">
        <f t="shared" si="3"/>
        <v>11.582389539175365</v>
      </c>
      <c r="O15" s="58">
        <v>2.29</v>
      </c>
      <c r="P15" s="58">
        <v>2.68</v>
      </c>
      <c r="Q15" s="101">
        <f t="shared" si="4"/>
        <v>12605.34361292038</v>
      </c>
      <c r="R15" s="101">
        <f t="shared" si="5"/>
        <v>33794.486897909861</v>
      </c>
      <c r="S15" s="56">
        <v>7523</v>
      </c>
      <c r="T15" s="52">
        <f t="shared" si="6"/>
        <v>2806.0790000000002</v>
      </c>
      <c r="U15" s="60">
        <v>37.299999999999997</v>
      </c>
      <c r="V15" s="52">
        <f t="shared" si="7"/>
        <v>3618.5630000000001</v>
      </c>
      <c r="W15" s="56">
        <v>48.1</v>
      </c>
      <c r="X15" s="54">
        <f t="shared" si="8"/>
        <v>1098.3579999999999</v>
      </c>
      <c r="Y15" s="61">
        <v>14.6</v>
      </c>
      <c r="Z15" s="61" t="s">
        <v>5</v>
      </c>
      <c r="AA15" s="5"/>
      <c r="AB15" s="5"/>
      <c r="AC15" s="5"/>
      <c r="AD15" s="5"/>
      <c r="AE15" s="5"/>
      <c r="AF15" s="5"/>
      <c r="AG15" s="5"/>
      <c r="AH15" s="5"/>
      <c r="AK15" s="1"/>
      <c r="AL15" s="1"/>
      <c r="AM15" s="1"/>
      <c r="AN15" s="1"/>
      <c r="AO15" s="1"/>
      <c r="AP15" s="1"/>
      <c r="AQ15" s="1"/>
    </row>
    <row r="16" spans="1:43" ht="16" x14ac:dyDescent="0.2">
      <c r="A16" s="22">
        <v>1</v>
      </c>
      <c r="B16" s="44" t="s">
        <v>115</v>
      </c>
      <c r="C16" s="45" t="s">
        <v>15</v>
      </c>
      <c r="D16" s="45" t="s">
        <v>16</v>
      </c>
      <c r="E16" s="45" t="s">
        <v>12</v>
      </c>
      <c r="F16" s="45" t="s">
        <v>82</v>
      </c>
      <c r="G16" s="45" t="s">
        <v>69</v>
      </c>
      <c r="H16" s="27">
        <v>143.69999999999999</v>
      </c>
      <c r="I16" s="28" t="s">
        <v>27</v>
      </c>
      <c r="J16" s="27">
        <f>H16*F$74</f>
        <v>156.63300000000001</v>
      </c>
      <c r="K16" s="57">
        <f t="shared" si="0"/>
        <v>54.037144152253994</v>
      </c>
      <c r="L16" s="57">
        <f t="shared" si="1"/>
        <v>34.322269253605562</v>
      </c>
      <c r="M16" s="57">
        <f t="shared" si="2"/>
        <v>11.625902587577329</v>
      </c>
      <c r="N16" s="55">
        <f t="shared" si="3"/>
        <v>8.0889723110711014</v>
      </c>
      <c r="O16" s="58">
        <v>1.34</v>
      </c>
      <c r="P16" s="58">
        <v>1.57</v>
      </c>
      <c r="Q16" s="101">
        <f t="shared" si="4"/>
        <v>18505.789224952743</v>
      </c>
      <c r="R16" s="101">
        <f t="shared" si="5"/>
        <v>29135.602678571428</v>
      </c>
      <c r="S16" s="56">
        <f>T16+V16+X16</f>
        <v>8464</v>
      </c>
      <c r="T16" s="52">
        <v>5376</v>
      </c>
      <c r="U16" s="60">
        <v>63</v>
      </c>
      <c r="V16" s="52">
        <v>1821</v>
      </c>
      <c r="W16" s="60">
        <v>21</v>
      </c>
      <c r="X16" s="54">
        <v>1267</v>
      </c>
      <c r="Y16" s="102">
        <v>15</v>
      </c>
      <c r="Z16" s="61" t="s">
        <v>5</v>
      </c>
      <c r="AA16" s="5"/>
      <c r="AB16" s="5"/>
      <c r="AC16" s="5"/>
      <c r="AD16" s="5"/>
      <c r="AE16" s="5"/>
      <c r="AF16" s="5"/>
      <c r="AG16" s="5"/>
      <c r="AH16" s="5"/>
      <c r="AK16" s="1"/>
      <c r="AL16" s="1"/>
      <c r="AM16" s="1"/>
      <c r="AN16" s="1"/>
      <c r="AO16" s="1"/>
      <c r="AP16" s="1"/>
      <c r="AQ16" s="1"/>
    </row>
    <row r="17" spans="1:43" ht="16" x14ac:dyDescent="0.2">
      <c r="A17" s="22">
        <v>1</v>
      </c>
      <c r="B17" s="44" t="s">
        <v>115</v>
      </c>
      <c r="C17" s="45" t="s">
        <v>15</v>
      </c>
      <c r="D17" s="45" t="s">
        <v>17</v>
      </c>
      <c r="E17" s="45" t="s">
        <v>13</v>
      </c>
      <c r="F17" s="45" t="s">
        <v>81</v>
      </c>
      <c r="G17" s="45" t="s">
        <v>69</v>
      </c>
      <c r="H17" s="27">
        <v>388</v>
      </c>
      <c r="I17" s="28" t="s">
        <v>27</v>
      </c>
      <c r="J17" s="27">
        <f>H17*F$74</f>
        <v>422.92</v>
      </c>
      <c r="K17" s="57">
        <f t="shared" si="0"/>
        <v>10.92878085689965</v>
      </c>
      <c r="L17" s="57">
        <f t="shared" si="1"/>
        <v>6.8050695166934645</v>
      </c>
      <c r="M17" s="57">
        <f t="shared" si="2"/>
        <v>2.3857940035940604</v>
      </c>
      <c r="N17" s="55">
        <f t="shared" si="3"/>
        <v>1.7379173366121252</v>
      </c>
      <c r="O17" s="58">
        <v>1.35</v>
      </c>
      <c r="P17" s="58">
        <v>1.61</v>
      </c>
      <c r="Q17" s="101">
        <f t="shared" si="4"/>
        <v>91501.514495889234</v>
      </c>
      <c r="R17" s="101">
        <f t="shared" si="5"/>
        <v>146949.27032661572</v>
      </c>
      <c r="S17" s="56">
        <f>T17+V17+X17</f>
        <v>4622</v>
      </c>
      <c r="T17" s="52">
        <v>2878</v>
      </c>
      <c r="U17" s="60">
        <v>62</v>
      </c>
      <c r="V17" s="52">
        <v>1009</v>
      </c>
      <c r="W17" s="60">
        <v>22</v>
      </c>
      <c r="X17" s="54">
        <v>735</v>
      </c>
      <c r="Y17" s="102">
        <v>16</v>
      </c>
      <c r="Z17" s="61" t="s">
        <v>5</v>
      </c>
      <c r="AA17" s="5"/>
      <c r="AB17" s="5"/>
      <c r="AC17" s="5"/>
      <c r="AD17" s="5"/>
      <c r="AE17" s="5"/>
      <c r="AF17" s="5"/>
      <c r="AG17" s="5"/>
      <c r="AH17" s="5"/>
      <c r="AK17" s="1"/>
      <c r="AL17" s="1"/>
      <c r="AM17" s="1"/>
      <c r="AN17" s="1"/>
      <c r="AO17" s="1"/>
      <c r="AP17" s="1"/>
      <c r="AQ17" s="1"/>
    </row>
    <row r="18" spans="1:43" ht="16" x14ac:dyDescent="0.2">
      <c r="A18" s="22">
        <v>2</v>
      </c>
      <c r="B18" s="44" t="s">
        <v>116</v>
      </c>
      <c r="C18" s="45" t="s">
        <v>56</v>
      </c>
      <c r="D18" s="45" t="s">
        <v>101</v>
      </c>
      <c r="E18" s="45" t="s">
        <v>120</v>
      </c>
      <c r="F18" s="45" t="s">
        <v>83</v>
      </c>
      <c r="G18" s="24" t="s">
        <v>62</v>
      </c>
      <c r="H18" s="27">
        <v>0.1</v>
      </c>
      <c r="I18" s="28" t="s">
        <v>34</v>
      </c>
      <c r="J18" s="36">
        <f t="shared" ref="J18:J25" si="9">H18/F$77</f>
        <v>1.5087507543753772E-3</v>
      </c>
      <c r="K18" s="57">
        <f t="shared" ref="K18:K25" si="10">L18+M18+N18</f>
        <v>2147.4720000000002</v>
      </c>
      <c r="L18" s="57">
        <f>0.566/J18</f>
        <v>375.14479999999998</v>
      </c>
      <c r="M18" s="57">
        <f>0.336/J18</f>
        <v>222.70080000000002</v>
      </c>
      <c r="N18" s="55">
        <f>2.338/J18</f>
        <v>1549.6264000000001</v>
      </c>
      <c r="O18" s="49">
        <f t="shared" ref="O18:O25" si="11">(L18+M18)/L18</f>
        <v>1.5936395759717314</v>
      </c>
      <c r="P18" s="50">
        <f t="shared" ref="P18:P25" si="12">K18/L18</f>
        <v>5.7243816254416968</v>
      </c>
      <c r="Q18" s="101">
        <f t="shared" si="4"/>
        <v>465.66381307882006</v>
      </c>
      <c r="R18" s="101">
        <f t="shared" si="5"/>
        <v>2665.6373752215145</v>
      </c>
      <c r="S18" s="51"/>
      <c r="T18" s="108">
        <f t="shared" ref="T18:T25" si="13">L18*J18</f>
        <v>0.56599999999999995</v>
      </c>
      <c r="U18" s="60">
        <f>L18*100/K18</f>
        <v>17.469135802469133</v>
      </c>
      <c r="V18" s="108">
        <v>0.33600000000000002</v>
      </c>
      <c r="W18" s="60">
        <f>M18*100/K18</f>
        <v>10.37037037037037</v>
      </c>
      <c r="X18" s="109">
        <v>2.3380000000000001</v>
      </c>
      <c r="Y18" s="102">
        <f>N18*100/K18</f>
        <v>72.160493827160494</v>
      </c>
      <c r="Z18" s="61" t="s">
        <v>5</v>
      </c>
      <c r="AA18" s="5"/>
      <c r="AB18" s="5"/>
      <c r="AC18" s="5"/>
      <c r="AD18" s="5"/>
      <c r="AE18" s="5"/>
      <c r="AF18" s="5"/>
      <c r="AG18" s="5"/>
      <c r="AH18" s="5"/>
      <c r="AK18" s="1"/>
      <c r="AL18" s="1"/>
      <c r="AM18" s="1"/>
      <c r="AN18" s="1"/>
      <c r="AO18" s="1"/>
      <c r="AP18" s="1"/>
      <c r="AQ18" s="1"/>
    </row>
    <row r="19" spans="1:43" ht="32" x14ac:dyDescent="0.2">
      <c r="A19" s="22">
        <v>2</v>
      </c>
      <c r="B19" s="44" t="s">
        <v>116</v>
      </c>
      <c r="C19" s="45" t="s">
        <v>56</v>
      </c>
      <c r="D19" s="45" t="s">
        <v>102</v>
      </c>
      <c r="E19" s="45" t="s">
        <v>12</v>
      </c>
      <c r="F19" s="45" t="s">
        <v>83</v>
      </c>
      <c r="G19" s="24" t="s">
        <v>62</v>
      </c>
      <c r="H19" s="27">
        <v>0.1</v>
      </c>
      <c r="I19" s="28" t="s">
        <v>34</v>
      </c>
      <c r="J19" s="36">
        <f t="shared" si="9"/>
        <v>1.5087507543753772E-3</v>
      </c>
      <c r="K19" s="57">
        <f t="shared" si="10"/>
        <v>2035.4588000000001</v>
      </c>
      <c r="L19" s="57">
        <f>0.406/J19</f>
        <v>269.09680000000003</v>
      </c>
      <c r="M19" s="57">
        <f>0.325/J19</f>
        <v>215.41000000000003</v>
      </c>
      <c r="N19" s="55">
        <f>2.34/J19</f>
        <v>1550.952</v>
      </c>
      <c r="O19" s="49">
        <f t="shared" si="11"/>
        <v>1.8004926108374384</v>
      </c>
      <c r="P19" s="50">
        <f t="shared" si="12"/>
        <v>7.5640394088669947</v>
      </c>
      <c r="Q19" s="101">
        <f t="shared" si="4"/>
        <v>491.28972789820159</v>
      </c>
      <c r="R19" s="101">
        <f t="shared" si="5"/>
        <v>3716.1348629935396</v>
      </c>
      <c r="S19" s="51"/>
      <c r="T19" s="108">
        <f t="shared" si="13"/>
        <v>0.40600000000000003</v>
      </c>
      <c r="U19" s="60">
        <f t="shared" ref="U19:U25" si="14">L19*100/K19</f>
        <v>13.22044936502768</v>
      </c>
      <c r="V19" s="108">
        <v>0.32500000000000001</v>
      </c>
      <c r="W19" s="60">
        <f t="shared" ref="W19:W25" si="15">M19*100/K19</f>
        <v>10.582872028655162</v>
      </c>
      <c r="X19" s="109">
        <v>2.34</v>
      </c>
      <c r="Y19" s="102">
        <f t="shared" ref="Y19:Y25" si="16">N19*100/K19</f>
        <v>76.196678606317164</v>
      </c>
      <c r="Z19" s="61" t="s">
        <v>5</v>
      </c>
      <c r="AA19" s="5"/>
      <c r="AB19" s="5"/>
      <c r="AC19" s="5"/>
      <c r="AD19" s="5"/>
      <c r="AE19" s="5"/>
      <c r="AF19" s="5"/>
      <c r="AG19" s="5"/>
      <c r="AH19" s="5"/>
      <c r="AK19" s="1"/>
      <c r="AL19" s="1"/>
      <c r="AM19" s="1"/>
      <c r="AN19" s="1"/>
      <c r="AO19" s="1"/>
      <c r="AP19" s="1"/>
      <c r="AQ19" s="1"/>
    </row>
    <row r="20" spans="1:43" ht="16" x14ac:dyDescent="0.2">
      <c r="A20" s="22">
        <v>2</v>
      </c>
      <c r="B20" s="44" t="s">
        <v>116</v>
      </c>
      <c r="C20" s="45" t="s">
        <v>56</v>
      </c>
      <c r="D20" s="45" t="s">
        <v>103</v>
      </c>
      <c r="E20" s="45" t="s">
        <v>12</v>
      </c>
      <c r="F20" s="45" t="s">
        <v>83</v>
      </c>
      <c r="G20" s="24" t="s">
        <v>62</v>
      </c>
      <c r="H20" s="27">
        <v>0.1</v>
      </c>
      <c r="I20" s="28" t="s">
        <v>34</v>
      </c>
      <c r="J20" s="36">
        <f t="shared" si="9"/>
        <v>1.5087507543753772E-3</v>
      </c>
      <c r="K20" s="57">
        <f t="shared" si="10"/>
        <v>3335.2096000000001</v>
      </c>
      <c r="L20" s="57">
        <f>2.275/J20</f>
        <v>1507.87</v>
      </c>
      <c r="M20" s="57">
        <f>0.402/J20</f>
        <v>266.44560000000001</v>
      </c>
      <c r="N20" s="55">
        <f>2.355/J20</f>
        <v>1560.894</v>
      </c>
      <c r="O20" s="49">
        <f t="shared" si="11"/>
        <v>1.1767032967032967</v>
      </c>
      <c r="P20" s="50">
        <f t="shared" si="12"/>
        <v>2.2118681318681319</v>
      </c>
      <c r="Q20" s="101">
        <f t="shared" si="4"/>
        <v>299.83123099669655</v>
      </c>
      <c r="R20" s="101">
        <f t="shared" si="5"/>
        <v>663.18714478038567</v>
      </c>
      <c r="S20" s="51"/>
      <c r="T20" s="108">
        <f t="shared" si="13"/>
        <v>2.2749999999999999</v>
      </c>
      <c r="U20" s="60">
        <f t="shared" si="14"/>
        <v>45.210651828298886</v>
      </c>
      <c r="V20" s="108">
        <v>0.40200000000000002</v>
      </c>
      <c r="W20" s="60">
        <f t="shared" si="15"/>
        <v>7.9888712241653419</v>
      </c>
      <c r="X20" s="109">
        <v>2.355</v>
      </c>
      <c r="Y20" s="102">
        <f t="shared" si="16"/>
        <v>46.80047694753577</v>
      </c>
      <c r="Z20" s="61" t="s">
        <v>5</v>
      </c>
      <c r="AA20" s="5"/>
      <c r="AB20" s="5"/>
      <c r="AC20" s="5"/>
      <c r="AD20" s="5"/>
      <c r="AE20" s="5"/>
      <c r="AF20" s="5"/>
      <c r="AG20" s="5"/>
      <c r="AH20" s="5"/>
      <c r="AK20" s="1"/>
      <c r="AL20" s="1"/>
      <c r="AM20" s="1"/>
      <c r="AN20" s="1"/>
      <c r="AO20" s="1"/>
      <c r="AP20" s="1"/>
      <c r="AQ20" s="1"/>
    </row>
    <row r="21" spans="1:43" ht="16" x14ac:dyDescent="0.2">
      <c r="A21" s="22">
        <v>2</v>
      </c>
      <c r="B21" s="44" t="s">
        <v>116</v>
      </c>
      <c r="C21" s="45" t="s">
        <v>56</v>
      </c>
      <c r="D21" s="45" t="s">
        <v>104</v>
      </c>
      <c r="E21" s="45" t="s">
        <v>42</v>
      </c>
      <c r="F21" s="24" t="s">
        <v>83</v>
      </c>
      <c r="G21" s="45" t="s">
        <v>62</v>
      </c>
      <c r="H21" s="27">
        <v>0.1</v>
      </c>
      <c r="I21" s="28" t="s">
        <v>34</v>
      </c>
      <c r="J21" s="36">
        <f t="shared" si="9"/>
        <v>1.5087507543753772E-3</v>
      </c>
      <c r="K21" s="57">
        <f t="shared" si="10"/>
        <v>2151.4488000000001</v>
      </c>
      <c r="L21" s="57">
        <f>0.336/J21</f>
        <v>222.70080000000002</v>
      </c>
      <c r="M21" s="57">
        <f>0.53/J21</f>
        <v>351.28400000000005</v>
      </c>
      <c r="N21" s="55">
        <f>2.38/J21</f>
        <v>1577.4639999999999</v>
      </c>
      <c r="O21" s="49">
        <f t="shared" si="11"/>
        <v>2.5773809523809526</v>
      </c>
      <c r="P21" s="50">
        <f t="shared" si="12"/>
        <v>9.6607142857142865</v>
      </c>
      <c r="Q21" s="101">
        <f t="shared" si="4"/>
        <v>464.80306665908108</v>
      </c>
      <c r="R21" s="101">
        <f t="shared" si="5"/>
        <v>4490.3296261171936</v>
      </c>
      <c r="S21" s="51"/>
      <c r="T21" s="108">
        <f t="shared" si="13"/>
        <v>0.33600000000000002</v>
      </c>
      <c r="U21" s="60">
        <f t="shared" si="14"/>
        <v>10.351201478743068</v>
      </c>
      <c r="V21" s="108">
        <v>0.53</v>
      </c>
      <c r="W21" s="60">
        <f t="shared" si="15"/>
        <v>16.327788046826864</v>
      </c>
      <c r="X21" s="109">
        <v>2.38</v>
      </c>
      <c r="Y21" s="102">
        <f t="shared" si="16"/>
        <v>73.321010474430068</v>
      </c>
      <c r="Z21" s="61" t="s">
        <v>5</v>
      </c>
      <c r="AA21" s="5"/>
      <c r="AB21" s="5"/>
      <c r="AC21" s="5"/>
      <c r="AD21" s="5"/>
      <c r="AE21" s="5"/>
      <c r="AF21" s="5"/>
      <c r="AG21" s="5"/>
      <c r="AH21" s="5"/>
      <c r="AK21" s="1"/>
      <c r="AL21" s="1"/>
      <c r="AM21" s="1"/>
      <c r="AN21" s="1"/>
      <c r="AO21" s="1"/>
      <c r="AP21" s="1"/>
      <c r="AQ21" s="1"/>
    </row>
    <row r="22" spans="1:43" ht="16" x14ac:dyDescent="0.2">
      <c r="A22" s="22">
        <v>2</v>
      </c>
      <c r="B22" s="44" t="s">
        <v>116</v>
      </c>
      <c r="C22" s="45" t="s">
        <v>58</v>
      </c>
      <c r="D22" s="45" t="s">
        <v>101</v>
      </c>
      <c r="E22" s="45" t="s">
        <v>120</v>
      </c>
      <c r="F22" s="24" t="s">
        <v>83</v>
      </c>
      <c r="G22" s="45" t="s">
        <v>62</v>
      </c>
      <c r="H22" s="27">
        <v>0.1</v>
      </c>
      <c r="I22" s="28" t="s">
        <v>34</v>
      </c>
      <c r="J22" s="36">
        <f t="shared" si="9"/>
        <v>1.5087507543753772E-3</v>
      </c>
      <c r="K22" s="57">
        <f t="shared" si="10"/>
        <v>5676.2191999999995</v>
      </c>
      <c r="L22" s="57">
        <f>3.128/J22</f>
        <v>2073.2384000000002</v>
      </c>
      <c r="M22" s="57">
        <f>0.593/J22</f>
        <v>393.04039999999998</v>
      </c>
      <c r="N22" s="55">
        <f>4.843/J22</f>
        <v>3209.9404</v>
      </c>
      <c r="O22" s="49">
        <f t="shared" si="11"/>
        <v>1.1895780051150895</v>
      </c>
      <c r="P22" s="50">
        <f t="shared" si="12"/>
        <v>2.7378516624040916</v>
      </c>
      <c r="Q22" s="101">
        <f t="shared" si="4"/>
        <v>176.17360513491093</v>
      </c>
      <c r="R22" s="101">
        <f t="shared" si="5"/>
        <v>482.33719769033792</v>
      </c>
      <c r="S22" s="51"/>
      <c r="T22" s="108">
        <f t="shared" si="13"/>
        <v>3.1280000000000001</v>
      </c>
      <c r="U22" s="60">
        <f t="shared" si="14"/>
        <v>36.524988323213456</v>
      </c>
      <c r="V22" s="108">
        <v>0.59299999999999997</v>
      </c>
      <c r="W22" s="60">
        <f t="shared" si="15"/>
        <v>6.9243344231667452</v>
      </c>
      <c r="X22" s="109">
        <v>4.843</v>
      </c>
      <c r="Y22" s="102">
        <f t="shared" si="16"/>
        <v>56.550677253619803</v>
      </c>
      <c r="Z22" s="61" t="s">
        <v>5</v>
      </c>
      <c r="AA22" s="5"/>
      <c r="AB22" s="5"/>
      <c r="AC22" s="5"/>
      <c r="AD22" s="5"/>
      <c r="AE22" s="5"/>
      <c r="AF22" s="5"/>
      <c r="AG22" s="5"/>
      <c r="AH22" s="5"/>
      <c r="AK22" s="1"/>
      <c r="AL22" s="1"/>
      <c r="AM22" s="1"/>
      <c r="AN22" s="1"/>
      <c r="AO22" s="1"/>
      <c r="AP22" s="1"/>
      <c r="AQ22" s="1"/>
    </row>
    <row r="23" spans="1:43" ht="32" x14ac:dyDescent="0.2">
      <c r="A23" s="22">
        <v>2</v>
      </c>
      <c r="B23" s="44" t="s">
        <v>116</v>
      </c>
      <c r="C23" s="45" t="s">
        <v>58</v>
      </c>
      <c r="D23" s="45" t="s">
        <v>102</v>
      </c>
      <c r="E23" s="45" t="s">
        <v>12</v>
      </c>
      <c r="F23" s="24" t="s">
        <v>83</v>
      </c>
      <c r="G23" s="45" t="s">
        <v>62</v>
      </c>
      <c r="H23" s="27">
        <v>0.1</v>
      </c>
      <c r="I23" s="28" t="s">
        <v>34</v>
      </c>
      <c r="J23" s="36">
        <f t="shared" si="9"/>
        <v>1.5087507543753772E-3</v>
      </c>
      <c r="K23" s="57">
        <f t="shared" si="10"/>
        <v>4181.6052</v>
      </c>
      <c r="L23" s="57">
        <f>0.7/J23</f>
        <v>463.96</v>
      </c>
      <c r="M23" s="57">
        <f>0.689/J23</f>
        <v>456.66919999999999</v>
      </c>
      <c r="N23" s="55">
        <f>4.92/J23</f>
        <v>3260.9760000000001</v>
      </c>
      <c r="O23" s="50">
        <f t="shared" si="11"/>
        <v>1.9842857142857142</v>
      </c>
      <c r="P23" s="50">
        <f t="shared" si="12"/>
        <v>9.0128571428571433</v>
      </c>
      <c r="Q23" s="101">
        <f t="shared" si="4"/>
        <v>239.14261441993617</v>
      </c>
      <c r="R23" s="101">
        <f t="shared" si="5"/>
        <v>2155.3582205362532</v>
      </c>
      <c r="S23" s="51"/>
      <c r="T23" s="108">
        <f t="shared" si="13"/>
        <v>0.7</v>
      </c>
      <c r="U23" s="60">
        <f t="shared" si="14"/>
        <v>11.095260738627358</v>
      </c>
      <c r="V23" s="108">
        <v>0.68899999999999995</v>
      </c>
      <c r="W23" s="60">
        <f t="shared" si="15"/>
        <v>10.92090664130607</v>
      </c>
      <c r="X23" s="109">
        <v>4.92</v>
      </c>
      <c r="Y23" s="102">
        <f t="shared" si="16"/>
        <v>77.983832620066579</v>
      </c>
      <c r="Z23" s="61" t="s">
        <v>5</v>
      </c>
      <c r="AA23" s="5"/>
      <c r="AB23" s="5"/>
      <c r="AC23" s="5"/>
      <c r="AD23" s="5"/>
      <c r="AE23" s="5"/>
      <c r="AF23" s="5"/>
      <c r="AG23" s="5"/>
      <c r="AH23" s="5"/>
      <c r="AK23" s="1"/>
      <c r="AL23" s="1"/>
      <c r="AM23" s="1"/>
      <c r="AN23" s="1"/>
      <c r="AO23" s="1"/>
      <c r="AP23" s="1"/>
      <c r="AQ23" s="1"/>
    </row>
    <row r="24" spans="1:43" ht="16" x14ac:dyDescent="0.2">
      <c r="A24" s="22">
        <v>2</v>
      </c>
      <c r="B24" s="44" t="s">
        <v>116</v>
      </c>
      <c r="C24" s="45" t="s">
        <v>58</v>
      </c>
      <c r="D24" s="45" t="s">
        <v>103</v>
      </c>
      <c r="E24" s="45" t="s">
        <v>12</v>
      </c>
      <c r="F24" s="24" t="s">
        <v>83</v>
      </c>
      <c r="G24" s="45" t="s">
        <v>62</v>
      </c>
      <c r="H24" s="27">
        <v>0.1</v>
      </c>
      <c r="I24" s="28" t="s">
        <v>34</v>
      </c>
      <c r="J24" s="36">
        <f t="shared" si="9"/>
        <v>1.5087507543753772E-3</v>
      </c>
      <c r="K24" s="57">
        <f t="shared" si="10"/>
        <v>5088.9784</v>
      </c>
      <c r="L24" s="57">
        <f>2.188/J24</f>
        <v>1450.2064</v>
      </c>
      <c r="M24" s="57">
        <f>0.686/J24</f>
        <v>454.68080000000003</v>
      </c>
      <c r="N24" s="55">
        <f>4.804/J24</f>
        <v>3184.0912000000003</v>
      </c>
      <c r="O24" s="49">
        <f t="shared" si="11"/>
        <v>1.3135283363802559</v>
      </c>
      <c r="P24" s="50">
        <f t="shared" si="12"/>
        <v>3.5091407678244972</v>
      </c>
      <c r="Q24" s="101">
        <f t="shared" si="4"/>
        <v>196.50309382331039</v>
      </c>
      <c r="R24" s="101">
        <f t="shared" si="5"/>
        <v>689.55701753902065</v>
      </c>
      <c r="S24" s="51"/>
      <c r="T24" s="108">
        <f t="shared" si="13"/>
        <v>2.1880000000000002</v>
      </c>
      <c r="U24" s="60">
        <f t="shared" si="14"/>
        <v>28.497004428236522</v>
      </c>
      <c r="V24" s="108">
        <v>0.68600000000000005</v>
      </c>
      <c r="W24" s="60">
        <f t="shared" si="15"/>
        <v>8.9346183902057827</v>
      </c>
      <c r="X24" s="109">
        <v>4.8040000000000003</v>
      </c>
      <c r="Y24" s="102">
        <f t="shared" si="16"/>
        <v>62.568377181557707</v>
      </c>
      <c r="Z24" s="61" t="s">
        <v>5</v>
      </c>
      <c r="AA24" s="5"/>
      <c r="AB24" s="5"/>
      <c r="AC24" s="5"/>
      <c r="AD24" s="5"/>
      <c r="AE24" s="5"/>
      <c r="AF24" s="5"/>
      <c r="AG24" s="5"/>
      <c r="AH24" s="5"/>
      <c r="AK24" s="1"/>
      <c r="AL24" s="1"/>
      <c r="AM24" s="1"/>
      <c r="AN24" s="1"/>
      <c r="AO24" s="1"/>
      <c r="AP24" s="1"/>
      <c r="AQ24" s="1"/>
    </row>
    <row r="25" spans="1:43" ht="16" x14ac:dyDescent="0.2">
      <c r="A25" s="22">
        <v>2</v>
      </c>
      <c r="B25" s="44" t="s">
        <v>116</v>
      </c>
      <c r="C25" s="45" t="s">
        <v>58</v>
      </c>
      <c r="D25" s="45" t="s">
        <v>104</v>
      </c>
      <c r="E25" s="45" t="s">
        <v>42</v>
      </c>
      <c r="F25" s="24" t="s">
        <v>83</v>
      </c>
      <c r="G25" s="45" t="s">
        <v>62</v>
      </c>
      <c r="H25" s="27">
        <v>0.1</v>
      </c>
      <c r="I25" s="28" t="s">
        <v>34</v>
      </c>
      <c r="J25" s="36">
        <f t="shared" si="9"/>
        <v>1.5087507543753772E-3</v>
      </c>
      <c r="K25" s="57">
        <f t="shared" si="10"/>
        <v>4369.1776</v>
      </c>
      <c r="L25" s="57">
        <f>0.868/J25</f>
        <v>575.31039999999996</v>
      </c>
      <c r="M25" s="57">
        <f>0.75/J25</f>
        <v>497.1</v>
      </c>
      <c r="N25" s="55">
        <f>4.974/J25</f>
        <v>3296.7672000000002</v>
      </c>
      <c r="O25" s="49">
        <f t="shared" si="11"/>
        <v>1.8640552995391706</v>
      </c>
      <c r="P25" s="50">
        <f t="shared" si="12"/>
        <v>7.5944700460829502</v>
      </c>
      <c r="Q25" s="101">
        <f t="shared" si="4"/>
        <v>228.87602463218707</v>
      </c>
      <c r="R25" s="101">
        <f t="shared" si="5"/>
        <v>1738.1921133356882</v>
      </c>
      <c r="S25" s="51"/>
      <c r="T25" s="108">
        <f t="shared" si="13"/>
        <v>0.86799999999999988</v>
      </c>
      <c r="U25" s="60">
        <f t="shared" si="14"/>
        <v>13.167475728155338</v>
      </c>
      <c r="V25" s="108">
        <v>0.75</v>
      </c>
      <c r="W25" s="60">
        <f t="shared" si="15"/>
        <v>11.37742718446602</v>
      </c>
      <c r="X25" s="109">
        <v>4.9740000000000002</v>
      </c>
      <c r="Y25" s="102">
        <f t="shared" si="16"/>
        <v>75.455097087378647</v>
      </c>
      <c r="Z25" s="61" t="s">
        <v>5</v>
      </c>
      <c r="AA25" s="5"/>
      <c r="AB25" s="5"/>
      <c r="AC25" s="5"/>
      <c r="AD25" s="5"/>
      <c r="AE25" s="5"/>
      <c r="AF25" s="5"/>
      <c r="AG25" s="5"/>
      <c r="AH25" s="5"/>
      <c r="AK25" s="1"/>
      <c r="AL25" s="1"/>
      <c r="AM25" s="1"/>
      <c r="AN25" s="1"/>
      <c r="AO25" s="1"/>
      <c r="AP25" s="1"/>
      <c r="AQ25" s="1"/>
    </row>
    <row r="26" spans="1:43" ht="32" x14ac:dyDescent="0.2">
      <c r="A26" s="22">
        <v>3</v>
      </c>
      <c r="B26" s="44" t="s">
        <v>117</v>
      </c>
      <c r="C26" s="45" t="s">
        <v>32</v>
      </c>
      <c r="D26" s="45" t="s">
        <v>84</v>
      </c>
      <c r="E26" s="45" t="s">
        <v>33</v>
      </c>
      <c r="F26" s="45" t="s">
        <v>83</v>
      </c>
      <c r="G26" s="45" t="s">
        <v>71</v>
      </c>
      <c r="H26" s="27">
        <v>10800000</v>
      </c>
      <c r="I26" s="28" t="s">
        <v>34</v>
      </c>
      <c r="J26" s="27">
        <f>H26*F$78</f>
        <v>14644.8</v>
      </c>
      <c r="K26" s="57">
        <f t="shared" ref="K26:K34" si="17">S26/J26</f>
        <v>20.007101496777015</v>
      </c>
      <c r="L26" s="57"/>
      <c r="M26" s="57"/>
      <c r="N26" s="55"/>
      <c r="O26" s="58"/>
      <c r="P26" s="58"/>
      <c r="Q26" s="101">
        <f t="shared" ref="Q26:Q68" si="18">1000000/K26</f>
        <v>49982.252559726956</v>
      </c>
      <c r="R26" s="101"/>
      <c r="S26" s="51">
        <v>293000</v>
      </c>
      <c r="T26" s="52"/>
      <c r="U26" s="60"/>
      <c r="V26" s="52"/>
      <c r="W26" s="56"/>
      <c r="X26" s="54"/>
      <c r="Y26" s="61"/>
      <c r="Z26" s="61" t="s">
        <v>36</v>
      </c>
      <c r="AA26" s="5"/>
      <c r="AB26" s="5"/>
      <c r="AC26" s="5"/>
      <c r="AD26" s="5"/>
      <c r="AE26" s="5"/>
      <c r="AF26" s="5"/>
      <c r="AG26" s="5"/>
      <c r="AH26" s="5"/>
      <c r="AK26" s="1"/>
      <c r="AL26" s="1"/>
      <c r="AM26" s="1"/>
      <c r="AN26" s="1"/>
      <c r="AO26" s="1"/>
      <c r="AP26" s="1"/>
      <c r="AQ26" s="1"/>
    </row>
    <row r="27" spans="1:43" ht="16" x14ac:dyDescent="0.2">
      <c r="A27" s="22">
        <v>3</v>
      </c>
      <c r="B27" s="44" t="s">
        <v>117</v>
      </c>
      <c r="C27" s="45" t="s">
        <v>32</v>
      </c>
      <c r="D27" s="45" t="s">
        <v>87</v>
      </c>
      <c r="E27" s="45" t="s">
        <v>12</v>
      </c>
      <c r="F27" s="45" t="s">
        <v>72</v>
      </c>
      <c r="G27" s="45" t="s">
        <v>71</v>
      </c>
      <c r="H27" s="27">
        <v>1000</v>
      </c>
      <c r="I27" s="28" t="s">
        <v>34</v>
      </c>
      <c r="J27" s="27">
        <f>H27*F$78</f>
        <v>1.3560000000000001</v>
      </c>
      <c r="K27" s="57">
        <f t="shared" si="17"/>
        <v>36.356932153392329</v>
      </c>
      <c r="L27" s="57"/>
      <c r="M27" s="57"/>
      <c r="N27" s="55"/>
      <c r="O27" s="58"/>
      <c r="P27" s="58"/>
      <c r="Q27" s="101">
        <f t="shared" si="18"/>
        <v>27505.070993914807</v>
      </c>
      <c r="R27" s="101"/>
      <c r="S27" s="51">
        <v>49.3</v>
      </c>
      <c r="T27" s="52"/>
      <c r="U27" s="60"/>
      <c r="V27" s="52"/>
      <c r="W27" s="56"/>
      <c r="X27" s="54"/>
      <c r="Y27" s="61"/>
      <c r="Z27" s="61" t="s">
        <v>36</v>
      </c>
      <c r="AA27" s="5"/>
      <c r="AB27" s="5"/>
      <c r="AC27" s="5"/>
      <c r="AD27" s="5"/>
      <c r="AE27" s="5"/>
      <c r="AF27" s="5"/>
      <c r="AG27" s="5"/>
      <c r="AH27" s="5"/>
      <c r="AK27" s="1"/>
      <c r="AL27" s="1"/>
      <c r="AM27" s="1"/>
      <c r="AN27" s="1"/>
      <c r="AO27" s="1"/>
      <c r="AP27" s="1"/>
      <c r="AQ27" s="1"/>
    </row>
    <row r="28" spans="1:43" ht="16" x14ac:dyDescent="0.2">
      <c r="A28" s="22">
        <v>3</v>
      </c>
      <c r="B28" s="44" t="s">
        <v>117</v>
      </c>
      <c r="C28" s="45" t="s">
        <v>32</v>
      </c>
      <c r="D28" s="45" t="s">
        <v>87</v>
      </c>
      <c r="E28" s="45" t="s">
        <v>12</v>
      </c>
      <c r="F28" s="45" t="s">
        <v>73</v>
      </c>
      <c r="G28" s="45" t="s">
        <v>71</v>
      </c>
      <c r="H28" s="27">
        <v>1000</v>
      </c>
      <c r="I28" s="28" t="s">
        <v>34</v>
      </c>
      <c r="J28" s="27">
        <f>H28*F$78</f>
        <v>1.3560000000000001</v>
      </c>
      <c r="K28" s="57">
        <f t="shared" si="17"/>
        <v>17.330383480825958</v>
      </c>
      <c r="L28" s="57"/>
      <c r="M28" s="57"/>
      <c r="N28" s="55"/>
      <c r="O28" s="58"/>
      <c r="P28" s="58"/>
      <c r="Q28" s="101">
        <f t="shared" si="18"/>
        <v>57702.127659574471</v>
      </c>
      <c r="R28" s="101"/>
      <c r="S28" s="51">
        <v>23.5</v>
      </c>
      <c r="T28" s="52"/>
      <c r="U28" s="60"/>
      <c r="V28" s="52"/>
      <c r="W28" s="56"/>
      <c r="X28" s="54"/>
      <c r="Y28" s="61"/>
      <c r="Z28" s="61" t="s">
        <v>36</v>
      </c>
      <c r="AA28" s="5"/>
      <c r="AB28" s="5"/>
      <c r="AC28" s="5"/>
      <c r="AD28" s="5"/>
      <c r="AE28" s="5"/>
      <c r="AF28" s="5"/>
      <c r="AG28" s="5"/>
      <c r="AH28" s="5"/>
      <c r="AK28" s="1"/>
      <c r="AL28" s="1"/>
      <c r="AM28" s="1"/>
      <c r="AN28" s="1"/>
      <c r="AO28" s="1"/>
      <c r="AP28" s="1"/>
      <c r="AQ28" s="1"/>
    </row>
    <row r="29" spans="1:43" ht="32" x14ac:dyDescent="0.2">
      <c r="A29" s="22">
        <v>3</v>
      </c>
      <c r="B29" s="44" t="s">
        <v>117</v>
      </c>
      <c r="C29" s="45" t="s">
        <v>32</v>
      </c>
      <c r="D29" s="45" t="s">
        <v>88</v>
      </c>
      <c r="E29" s="45" t="s">
        <v>14</v>
      </c>
      <c r="F29" s="45" t="s">
        <v>83</v>
      </c>
      <c r="G29" s="45" t="s">
        <v>71</v>
      </c>
      <c r="H29" s="27">
        <v>1000</v>
      </c>
      <c r="I29" s="28" t="s">
        <v>34</v>
      </c>
      <c r="J29" s="27">
        <f>H29*F$78</f>
        <v>1.3560000000000001</v>
      </c>
      <c r="K29" s="57">
        <f t="shared" si="17"/>
        <v>17.62536873156342</v>
      </c>
      <c r="L29" s="57"/>
      <c r="M29" s="57"/>
      <c r="N29" s="55"/>
      <c r="O29" s="58"/>
      <c r="P29" s="58"/>
      <c r="Q29" s="101">
        <f t="shared" si="18"/>
        <v>56736.401673640175</v>
      </c>
      <c r="R29" s="101"/>
      <c r="S29" s="51">
        <v>23.9</v>
      </c>
      <c r="T29" s="52"/>
      <c r="U29" s="60"/>
      <c r="V29" s="52"/>
      <c r="W29" s="56"/>
      <c r="X29" s="54"/>
      <c r="Y29" s="61"/>
      <c r="Z29" s="61" t="s">
        <v>36</v>
      </c>
      <c r="AA29" s="5"/>
      <c r="AB29" s="5"/>
      <c r="AC29" s="5"/>
      <c r="AD29" s="5"/>
      <c r="AE29" s="5"/>
      <c r="AF29" s="5"/>
      <c r="AG29" s="5"/>
      <c r="AH29" s="5"/>
      <c r="AK29" s="1"/>
      <c r="AL29" s="1"/>
      <c r="AM29" s="1"/>
      <c r="AN29" s="1"/>
      <c r="AO29" s="1"/>
      <c r="AP29" s="1"/>
      <c r="AQ29" s="1"/>
    </row>
    <row r="30" spans="1:43" ht="16" x14ac:dyDescent="0.2">
      <c r="A30" s="22">
        <v>3</v>
      </c>
      <c r="B30" s="44" t="s">
        <v>117</v>
      </c>
      <c r="C30" s="45" t="s">
        <v>32</v>
      </c>
      <c r="D30" s="45" t="s">
        <v>89</v>
      </c>
      <c r="E30" s="45" t="s">
        <v>33</v>
      </c>
      <c r="F30" s="45" t="s">
        <v>83</v>
      </c>
      <c r="G30" s="24" t="s">
        <v>71</v>
      </c>
      <c r="H30" s="27">
        <v>1000</v>
      </c>
      <c r="I30" s="28" t="s">
        <v>34</v>
      </c>
      <c r="J30" s="27">
        <f>H30*F$78</f>
        <v>1.3560000000000001</v>
      </c>
      <c r="K30" s="57">
        <f t="shared" si="17"/>
        <v>22.418879056047196</v>
      </c>
      <c r="L30" s="57"/>
      <c r="M30" s="57"/>
      <c r="N30" s="55"/>
      <c r="O30" s="58"/>
      <c r="P30" s="58"/>
      <c r="Q30" s="101">
        <f t="shared" si="18"/>
        <v>44605.26315789474</v>
      </c>
      <c r="R30" s="101"/>
      <c r="S30" s="51">
        <v>30.4</v>
      </c>
      <c r="T30" s="52"/>
      <c r="U30" s="60"/>
      <c r="V30" s="52"/>
      <c r="W30" s="56"/>
      <c r="X30" s="54"/>
      <c r="Y30" s="61"/>
      <c r="Z30" s="61" t="s">
        <v>36</v>
      </c>
      <c r="AA30" s="5"/>
      <c r="AB30" s="5"/>
      <c r="AC30" s="5"/>
      <c r="AD30" s="5"/>
      <c r="AE30" s="5"/>
      <c r="AF30" s="5"/>
      <c r="AG30" s="5"/>
      <c r="AH30" s="5"/>
      <c r="AK30" s="1"/>
      <c r="AL30" s="1"/>
      <c r="AM30" s="1"/>
      <c r="AN30" s="1"/>
      <c r="AO30" s="1"/>
      <c r="AP30" s="1"/>
      <c r="AQ30" s="1"/>
    </row>
    <row r="31" spans="1:43" ht="48" x14ac:dyDescent="0.2">
      <c r="A31" s="22">
        <v>4</v>
      </c>
      <c r="B31" s="44" t="s">
        <v>119</v>
      </c>
      <c r="C31" s="45" t="s">
        <v>52</v>
      </c>
      <c r="D31" s="68" t="s">
        <v>90</v>
      </c>
      <c r="E31" s="45" t="s">
        <v>12</v>
      </c>
      <c r="F31" s="45" t="s">
        <v>53</v>
      </c>
      <c r="G31" s="45" t="s">
        <v>64</v>
      </c>
      <c r="H31" s="27">
        <v>48</v>
      </c>
      <c r="I31" s="28" t="s">
        <v>28</v>
      </c>
      <c r="J31" s="27">
        <v>48</v>
      </c>
      <c r="K31" s="57">
        <f t="shared" si="17"/>
        <v>1408.3541666666667</v>
      </c>
      <c r="L31" s="57">
        <f>V31/J31</f>
        <v>1061.3958333333333</v>
      </c>
      <c r="M31" s="57">
        <f>V31/J31</f>
        <v>1061.3958333333333</v>
      </c>
      <c r="N31" s="55"/>
      <c r="O31" s="49"/>
      <c r="P31" s="50"/>
      <c r="Q31" s="101">
        <f t="shared" si="18"/>
        <v>710.04866791911354</v>
      </c>
      <c r="R31" s="101">
        <f t="shared" ref="R31:R62" si="19">1000000/L31</f>
        <v>942.15557343906414</v>
      </c>
      <c r="S31" s="51">
        <v>67601</v>
      </c>
      <c r="T31" s="52">
        <v>16654</v>
      </c>
      <c r="U31" s="53"/>
      <c r="V31" s="52">
        <v>50947</v>
      </c>
      <c r="W31" s="53"/>
      <c r="X31" s="54"/>
      <c r="Y31" s="61"/>
      <c r="Z31" s="61" t="s">
        <v>5</v>
      </c>
      <c r="AA31" s="5"/>
      <c r="AB31" s="5"/>
      <c r="AC31" s="5"/>
      <c r="AD31" s="5"/>
      <c r="AE31" s="5"/>
      <c r="AF31" s="5"/>
      <c r="AG31" s="5"/>
      <c r="AH31" s="5"/>
      <c r="AK31" s="1"/>
      <c r="AL31" s="1"/>
      <c r="AM31" s="1"/>
      <c r="AN31" s="1"/>
      <c r="AO31" s="1"/>
      <c r="AP31" s="1"/>
      <c r="AQ31" s="1"/>
    </row>
    <row r="32" spans="1:43" ht="32" x14ac:dyDescent="0.2">
      <c r="A32" s="22">
        <v>4</v>
      </c>
      <c r="B32" s="44" t="s">
        <v>119</v>
      </c>
      <c r="C32" s="45" t="s">
        <v>52</v>
      </c>
      <c r="D32" s="68" t="s">
        <v>91</v>
      </c>
      <c r="E32" s="45" t="s">
        <v>12</v>
      </c>
      <c r="F32" s="45" t="s">
        <v>54</v>
      </c>
      <c r="G32" s="45" t="s">
        <v>64</v>
      </c>
      <c r="H32" s="27">
        <v>48</v>
      </c>
      <c r="I32" s="28" t="s">
        <v>28</v>
      </c>
      <c r="J32" s="27">
        <v>48</v>
      </c>
      <c r="K32" s="57">
        <f t="shared" si="17"/>
        <v>893.29166666666663</v>
      </c>
      <c r="L32" s="57">
        <f>V32/J32</f>
        <v>814.14583333333337</v>
      </c>
      <c r="M32" s="57">
        <f>V32/J32</f>
        <v>814.14583333333337</v>
      </c>
      <c r="N32" s="55"/>
      <c r="O32" s="49"/>
      <c r="P32" s="50"/>
      <c r="Q32" s="101">
        <f t="shared" si="18"/>
        <v>1119.4551984700779</v>
      </c>
      <c r="R32" s="101">
        <f t="shared" si="19"/>
        <v>1228.2811740320888</v>
      </c>
      <c r="S32" s="51">
        <v>42878</v>
      </c>
      <c r="T32" s="52">
        <v>3798</v>
      </c>
      <c r="U32" s="53"/>
      <c r="V32" s="52">
        <v>39079</v>
      </c>
      <c r="W32" s="53"/>
      <c r="X32" s="54"/>
      <c r="Y32" s="61"/>
      <c r="Z32" s="61" t="s">
        <v>5</v>
      </c>
      <c r="AA32" s="5"/>
      <c r="AB32" s="5"/>
      <c r="AC32" s="5"/>
      <c r="AD32" s="5"/>
      <c r="AE32" s="5"/>
      <c r="AF32" s="5"/>
      <c r="AG32" s="5"/>
      <c r="AH32" s="5"/>
      <c r="AK32" s="1"/>
      <c r="AL32" s="1"/>
      <c r="AM32" s="1"/>
      <c r="AN32" s="1"/>
      <c r="AO32" s="1"/>
      <c r="AP32" s="1"/>
      <c r="AQ32" s="1"/>
    </row>
    <row r="33" spans="1:43" ht="48" x14ac:dyDescent="0.2">
      <c r="A33" s="22">
        <v>4</v>
      </c>
      <c r="B33" s="44" t="s">
        <v>119</v>
      </c>
      <c r="C33" s="45" t="s">
        <v>52</v>
      </c>
      <c r="D33" s="68" t="s">
        <v>90</v>
      </c>
      <c r="E33" s="45" t="s">
        <v>57</v>
      </c>
      <c r="F33" s="45" t="s">
        <v>53</v>
      </c>
      <c r="G33" s="45" t="s">
        <v>64</v>
      </c>
      <c r="H33" s="27">
        <v>45.25</v>
      </c>
      <c r="I33" s="28" t="s">
        <v>28</v>
      </c>
      <c r="J33" s="27">
        <v>45.25</v>
      </c>
      <c r="K33" s="57">
        <f t="shared" si="17"/>
        <v>924.33149171270713</v>
      </c>
      <c r="L33" s="57">
        <f>T33/J33</f>
        <v>240.22099447513813</v>
      </c>
      <c r="M33" s="57">
        <f>V33/J33</f>
        <v>684.13259668508283</v>
      </c>
      <c r="N33" s="55"/>
      <c r="O33" s="49"/>
      <c r="P33" s="50"/>
      <c r="Q33" s="101">
        <f t="shared" si="18"/>
        <v>1081.8629560560419</v>
      </c>
      <c r="R33" s="101">
        <f t="shared" si="19"/>
        <v>4162.8334866605337</v>
      </c>
      <c r="S33" s="51">
        <v>41826</v>
      </c>
      <c r="T33" s="52">
        <v>10870</v>
      </c>
      <c r="U33" s="53"/>
      <c r="V33" s="52">
        <v>30957</v>
      </c>
      <c r="W33" s="53"/>
      <c r="X33" s="54"/>
      <c r="Y33" s="61"/>
      <c r="Z33" s="61" t="s">
        <v>5</v>
      </c>
      <c r="AA33" s="5"/>
      <c r="AB33" s="5"/>
      <c r="AC33" s="5"/>
      <c r="AD33" s="5"/>
      <c r="AE33" s="5"/>
      <c r="AF33" s="5"/>
      <c r="AG33" s="5"/>
      <c r="AH33" s="5"/>
      <c r="AK33" s="1"/>
      <c r="AL33" s="1"/>
      <c r="AM33" s="1"/>
      <c r="AN33" s="1"/>
      <c r="AO33" s="1"/>
      <c r="AP33" s="1"/>
      <c r="AQ33" s="1"/>
    </row>
    <row r="34" spans="1:43" ht="32" x14ac:dyDescent="0.2">
      <c r="A34" s="22">
        <v>4</v>
      </c>
      <c r="B34" s="44" t="s">
        <v>119</v>
      </c>
      <c r="C34" s="45" t="s">
        <v>52</v>
      </c>
      <c r="D34" s="68" t="s">
        <v>91</v>
      </c>
      <c r="E34" s="45" t="s">
        <v>57</v>
      </c>
      <c r="F34" s="45" t="s">
        <v>54</v>
      </c>
      <c r="G34" s="45" t="s">
        <v>64</v>
      </c>
      <c r="H34" s="27">
        <v>45.25</v>
      </c>
      <c r="I34" s="28" t="s">
        <v>28</v>
      </c>
      <c r="J34" s="27">
        <v>45.25</v>
      </c>
      <c r="K34" s="57">
        <f t="shared" si="17"/>
        <v>299.8011049723757</v>
      </c>
      <c r="L34" s="57">
        <f>T34/J34</f>
        <v>55.403314917127069</v>
      </c>
      <c r="M34" s="57">
        <f>V34/J34</f>
        <v>244.41988950276243</v>
      </c>
      <c r="N34" s="55"/>
      <c r="O34" s="49"/>
      <c r="P34" s="50"/>
      <c r="Q34" s="101">
        <f t="shared" si="18"/>
        <v>3335.5447442134746</v>
      </c>
      <c r="R34" s="101">
        <f t="shared" si="19"/>
        <v>18049.461507778222</v>
      </c>
      <c r="S34" s="56">
        <v>13566</v>
      </c>
      <c r="T34" s="56">
        <v>2507</v>
      </c>
      <c r="U34" s="60">
        <f>(T34/S34)*100</f>
        <v>18.480023588382721</v>
      </c>
      <c r="V34" s="56">
        <v>11060</v>
      </c>
      <c r="W34" s="53"/>
      <c r="X34" s="54"/>
      <c r="Y34" s="61"/>
      <c r="Z34" s="61" t="s">
        <v>5</v>
      </c>
      <c r="AA34" s="5"/>
      <c r="AB34" s="5"/>
      <c r="AC34" s="5"/>
      <c r="AD34" s="5"/>
      <c r="AE34" s="5"/>
      <c r="AF34" s="5"/>
      <c r="AG34" s="5"/>
      <c r="AH34" s="5"/>
      <c r="AK34" s="1"/>
      <c r="AL34" s="1"/>
      <c r="AM34" s="1"/>
      <c r="AN34" s="1"/>
      <c r="AO34" s="1"/>
      <c r="AP34" s="1"/>
      <c r="AQ34" s="1"/>
    </row>
    <row r="35" spans="1:43" s="8" customFormat="1" ht="16" x14ac:dyDescent="0.2">
      <c r="A35" s="44">
        <v>4</v>
      </c>
      <c r="B35" s="44" t="s">
        <v>119</v>
      </c>
      <c r="C35" s="45" t="s">
        <v>129</v>
      </c>
      <c r="D35" s="68" t="s">
        <v>142</v>
      </c>
      <c r="E35" s="45" t="s">
        <v>130</v>
      </c>
      <c r="F35" s="45" t="s">
        <v>131</v>
      </c>
      <c r="G35" s="45" t="s">
        <v>135</v>
      </c>
      <c r="H35" s="27">
        <v>47.417000000000002</v>
      </c>
      <c r="I35" s="28" t="s">
        <v>132</v>
      </c>
      <c r="J35" s="27">
        <v>10.6</v>
      </c>
      <c r="K35" s="57">
        <v>272</v>
      </c>
      <c r="L35" s="57">
        <v>112</v>
      </c>
      <c r="M35" s="57">
        <v>81</v>
      </c>
      <c r="N35" s="55">
        <v>79</v>
      </c>
      <c r="O35" s="49">
        <v>2.6</v>
      </c>
      <c r="P35" s="50">
        <v>3.1</v>
      </c>
      <c r="Q35" s="101">
        <f>1000000/K35</f>
        <v>3676.4705882352941</v>
      </c>
      <c r="R35" s="101">
        <f t="shared" si="19"/>
        <v>8928.5714285714294</v>
      </c>
      <c r="S35" s="56">
        <v>2883</v>
      </c>
      <c r="T35" s="56">
        <v>1197</v>
      </c>
      <c r="U35" s="60">
        <f t="shared" ref="U35:U37" si="20">(T35/S35)*100</f>
        <v>41.519250780437048</v>
      </c>
      <c r="V35" s="56">
        <v>858</v>
      </c>
      <c r="W35" s="60">
        <f>(V35/S35)*100</f>
        <v>29.760665972944849</v>
      </c>
      <c r="X35" s="54">
        <v>837</v>
      </c>
      <c r="Y35" s="116">
        <f>(X35/S35)*100</f>
        <v>29.032258064516132</v>
      </c>
      <c r="Z35" s="61" t="s">
        <v>137</v>
      </c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43" s="8" customFormat="1" ht="16" x14ac:dyDescent="0.2">
      <c r="A36" s="44">
        <v>4</v>
      </c>
      <c r="B36" s="44" t="s">
        <v>119</v>
      </c>
      <c r="C36" s="45" t="s">
        <v>133</v>
      </c>
      <c r="D36" s="68" t="s">
        <v>37</v>
      </c>
      <c r="E36" s="45" t="s">
        <v>134</v>
      </c>
      <c r="F36" s="45" t="s">
        <v>72</v>
      </c>
      <c r="G36" s="45" t="s">
        <v>136</v>
      </c>
      <c r="H36" s="27">
        <v>41</v>
      </c>
      <c r="I36" s="28" t="s">
        <v>28</v>
      </c>
      <c r="J36" s="27"/>
      <c r="K36" s="57">
        <v>600</v>
      </c>
      <c r="L36" s="57">
        <v>413</v>
      </c>
      <c r="M36" s="57"/>
      <c r="N36" s="55"/>
      <c r="O36" s="49">
        <v>1.8</v>
      </c>
      <c r="P36" s="50">
        <v>2.8</v>
      </c>
      <c r="Q36" s="101">
        <v>1667</v>
      </c>
      <c r="R36" s="101">
        <v>2418</v>
      </c>
      <c r="S36" s="56">
        <f>K36*H36</f>
        <v>24600</v>
      </c>
      <c r="T36" s="56">
        <f>L36*H36</f>
        <v>16933</v>
      </c>
      <c r="U36" s="60">
        <f t="shared" si="20"/>
        <v>68.833333333333329</v>
      </c>
      <c r="V36" s="56"/>
      <c r="W36" s="53"/>
      <c r="X36" s="54"/>
      <c r="Y36" s="61"/>
      <c r="Z36" s="61" t="s">
        <v>137</v>
      </c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43" s="8" customFormat="1" ht="16" x14ac:dyDescent="0.2">
      <c r="A37" s="44">
        <v>4</v>
      </c>
      <c r="B37" s="44" t="s">
        <v>119</v>
      </c>
      <c r="C37" s="45" t="s">
        <v>133</v>
      </c>
      <c r="D37" s="68" t="s">
        <v>37</v>
      </c>
      <c r="E37" s="45" t="s">
        <v>134</v>
      </c>
      <c r="F37" s="45" t="s">
        <v>73</v>
      </c>
      <c r="G37" s="45" t="s">
        <v>136</v>
      </c>
      <c r="H37" s="27">
        <v>41</v>
      </c>
      <c r="I37" s="28" t="s">
        <v>28</v>
      </c>
      <c r="J37" s="27"/>
      <c r="K37" s="57">
        <v>250</v>
      </c>
      <c r="L37" s="57">
        <v>74</v>
      </c>
      <c r="M37" s="57"/>
      <c r="N37" s="55"/>
      <c r="O37" s="49">
        <v>1.9</v>
      </c>
      <c r="P37" s="50">
        <v>2.9</v>
      </c>
      <c r="Q37" s="101">
        <v>4000</v>
      </c>
      <c r="R37" s="101">
        <v>13513</v>
      </c>
      <c r="S37" s="56">
        <f>K37*H37</f>
        <v>10250</v>
      </c>
      <c r="T37" s="56">
        <f>L37*H37</f>
        <v>3034</v>
      </c>
      <c r="U37" s="60">
        <f t="shared" si="20"/>
        <v>29.599999999999998</v>
      </c>
      <c r="V37" s="56"/>
      <c r="W37" s="53"/>
      <c r="X37" s="54"/>
      <c r="Y37" s="61"/>
      <c r="Z37" s="61" t="s">
        <v>137</v>
      </c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43" ht="16" x14ac:dyDescent="0.2">
      <c r="A38" s="22">
        <v>5</v>
      </c>
      <c r="B38" s="44" t="s">
        <v>111</v>
      </c>
      <c r="C38" s="45" t="s">
        <v>47</v>
      </c>
      <c r="D38" s="24" t="s">
        <v>37</v>
      </c>
      <c r="E38" s="45" t="s">
        <v>42</v>
      </c>
      <c r="F38" s="24" t="s">
        <v>83</v>
      </c>
      <c r="G38" s="45" t="s">
        <v>65</v>
      </c>
      <c r="H38" s="29" t="s">
        <v>37</v>
      </c>
      <c r="I38" s="28"/>
      <c r="J38" s="27">
        <v>100</v>
      </c>
      <c r="K38" s="57">
        <f t="shared" ref="K38:K49" si="21">L38+M38+N38</f>
        <v>39.799999999999997</v>
      </c>
      <c r="L38" s="57">
        <v>6.1</v>
      </c>
      <c r="M38" s="57">
        <v>22.5</v>
      </c>
      <c r="N38" s="21">
        <v>11.2</v>
      </c>
      <c r="O38" s="49">
        <f t="shared" ref="O38:O62" si="22">(L38+M38)/L38</f>
        <v>4.6885245901639347</v>
      </c>
      <c r="P38" s="50">
        <f t="shared" ref="P38:P62" si="23">K38/L38</f>
        <v>6.5245901639344259</v>
      </c>
      <c r="Q38" s="101">
        <f t="shared" si="18"/>
        <v>25125.62814070352</v>
      </c>
      <c r="R38" s="101">
        <f t="shared" si="19"/>
        <v>163934.42622950822</v>
      </c>
      <c r="S38" s="56">
        <f>K38*J34</f>
        <v>1800.9499999999998</v>
      </c>
      <c r="T38" s="56">
        <f t="shared" ref="T38:T49" si="24">L38*J38</f>
        <v>610</v>
      </c>
      <c r="U38" s="60">
        <f t="shared" ref="U38:U62" si="25">L38*100/K38</f>
        <v>15.326633165829147</v>
      </c>
      <c r="V38" s="56">
        <f t="shared" ref="V38:V49" si="26">M38*J38</f>
        <v>2250</v>
      </c>
      <c r="W38" s="60">
        <f t="shared" ref="W38:W62" si="27">M38*100/K38</f>
        <v>56.532663316582919</v>
      </c>
      <c r="X38" s="56">
        <f t="shared" ref="X38:X49" si="28">N38*J38</f>
        <v>1120</v>
      </c>
      <c r="Y38" s="102">
        <f t="shared" ref="Y38:Y62" si="29">N38*100/K38</f>
        <v>28.140703517587941</v>
      </c>
      <c r="Z38" s="32" t="s">
        <v>5</v>
      </c>
      <c r="AA38" s="5"/>
      <c r="AB38" s="5"/>
      <c r="AC38" s="5"/>
      <c r="AD38" s="5"/>
      <c r="AE38" s="5"/>
      <c r="AF38" s="5"/>
      <c r="AG38" s="5"/>
      <c r="AH38" s="5"/>
      <c r="AK38" s="1"/>
      <c r="AL38" s="1"/>
      <c r="AM38" s="1"/>
      <c r="AN38" s="1"/>
      <c r="AO38" s="1"/>
      <c r="AP38" s="1"/>
      <c r="AQ38" s="1"/>
    </row>
    <row r="39" spans="1:43" ht="16" x14ac:dyDescent="0.2">
      <c r="A39" s="22">
        <v>5</v>
      </c>
      <c r="B39" s="44" t="s">
        <v>111</v>
      </c>
      <c r="C39" s="45" t="s">
        <v>47</v>
      </c>
      <c r="D39" s="24" t="s">
        <v>37</v>
      </c>
      <c r="E39" s="45" t="s">
        <v>43</v>
      </c>
      <c r="F39" s="24" t="s">
        <v>83</v>
      </c>
      <c r="G39" s="45" t="s">
        <v>65</v>
      </c>
      <c r="H39" s="29" t="s">
        <v>37</v>
      </c>
      <c r="I39" s="28"/>
      <c r="J39" s="27">
        <v>100</v>
      </c>
      <c r="K39" s="57">
        <f t="shared" si="21"/>
        <v>41.8</v>
      </c>
      <c r="L39" s="57">
        <v>6.4</v>
      </c>
      <c r="M39" s="57">
        <v>27</v>
      </c>
      <c r="N39" s="21">
        <v>8.4</v>
      </c>
      <c r="O39" s="49">
        <f t="shared" si="22"/>
        <v>5.2187499999999991</v>
      </c>
      <c r="P39" s="50">
        <f t="shared" si="23"/>
        <v>6.5312499999999991</v>
      </c>
      <c r="Q39" s="101">
        <f t="shared" si="18"/>
        <v>23923.444976076556</v>
      </c>
      <c r="R39" s="101">
        <f t="shared" si="19"/>
        <v>156250</v>
      </c>
      <c r="S39" s="56">
        <f t="shared" ref="S39:S49" si="30">K39*J39</f>
        <v>4180</v>
      </c>
      <c r="T39" s="56">
        <f t="shared" si="24"/>
        <v>640</v>
      </c>
      <c r="U39" s="60">
        <f t="shared" si="25"/>
        <v>15.311004784688997</v>
      </c>
      <c r="V39" s="56">
        <f t="shared" si="26"/>
        <v>2700</v>
      </c>
      <c r="W39" s="60">
        <f t="shared" si="27"/>
        <v>64.593301435406701</v>
      </c>
      <c r="X39" s="56">
        <f t="shared" si="28"/>
        <v>840</v>
      </c>
      <c r="Y39" s="102">
        <f t="shared" si="29"/>
        <v>20.095693779904309</v>
      </c>
      <c r="Z39" s="32" t="s">
        <v>5</v>
      </c>
      <c r="AA39" s="5"/>
      <c r="AB39" s="5"/>
      <c r="AC39" s="5"/>
      <c r="AD39" s="5"/>
      <c r="AE39" s="5"/>
      <c r="AF39" s="5"/>
      <c r="AG39" s="5"/>
      <c r="AH39" s="5"/>
      <c r="AK39" s="1"/>
      <c r="AL39" s="1"/>
      <c r="AM39" s="1"/>
      <c r="AN39" s="1"/>
      <c r="AO39" s="1"/>
      <c r="AP39" s="1"/>
      <c r="AQ39" s="1"/>
    </row>
    <row r="40" spans="1:43" ht="16" x14ac:dyDescent="0.2">
      <c r="A40" s="22">
        <v>6</v>
      </c>
      <c r="B40" s="44" t="s">
        <v>112</v>
      </c>
      <c r="C40" s="25" t="s">
        <v>46</v>
      </c>
      <c r="D40" s="25" t="s">
        <v>37</v>
      </c>
      <c r="E40" s="45" t="s">
        <v>42</v>
      </c>
      <c r="F40" s="25" t="s">
        <v>83</v>
      </c>
      <c r="G40" s="45" t="s">
        <v>65</v>
      </c>
      <c r="H40" s="29" t="s">
        <v>37</v>
      </c>
      <c r="I40" s="28"/>
      <c r="J40" s="27">
        <v>100</v>
      </c>
      <c r="K40" s="46">
        <f t="shared" si="21"/>
        <v>37.5</v>
      </c>
      <c r="L40" s="47">
        <v>5.2</v>
      </c>
      <c r="M40" s="57">
        <v>19.7</v>
      </c>
      <c r="N40" s="48">
        <v>12.6</v>
      </c>
      <c r="O40" s="49">
        <f t="shared" si="22"/>
        <v>4.7884615384615383</v>
      </c>
      <c r="P40" s="50">
        <f t="shared" si="23"/>
        <v>7.2115384615384617</v>
      </c>
      <c r="Q40" s="101">
        <f t="shared" si="18"/>
        <v>26666.666666666668</v>
      </c>
      <c r="R40" s="101">
        <f t="shared" si="19"/>
        <v>192307.69230769231</v>
      </c>
      <c r="S40" s="51">
        <f t="shared" si="30"/>
        <v>3750</v>
      </c>
      <c r="T40" s="52">
        <f t="shared" si="24"/>
        <v>520</v>
      </c>
      <c r="U40" s="60">
        <f t="shared" si="25"/>
        <v>13.866666666666667</v>
      </c>
      <c r="V40" s="52">
        <f t="shared" si="26"/>
        <v>1970</v>
      </c>
      <c r="W40" s="60">
        <f t="shared" si="27"/>
        <v>52.533333333333331</v>
      </c>
      <c r="X40" s="54">
        <f t="shared" si="28"/>
        <v>1260</v>
      </c>
      <c r="Y40" s="102">
        <f t="shared" si="29"/>
        <v>33.6</v>
      </c>
      <c r="Z40" s="33" t="s">
        <v>5</v>
      </c>
      <c r="AA40" s="5"/>
      <c r="AB40" s="5"/>
      <c r="AC40" s="5"/>
      <c r="AD40" s="5"/>
      <c r="AE40" s="5"/>
      <c r="AF40" s="5"/>
      <c r="AG40" s="5"/>
      <c r="AH40" s="5"/>
      <c r="AK40" s="1"/>
      <c r="AL40" s="1"/>
      <c r="AM40" s="1"/>
      <c r="AN40" s="1"/>
      <c r="AO40" s="1"/>
      <c r="AP40" s="1"/>
      <c r="AQ40" s="1"/>
    </row>
    <row r="41" spans="1:43" ht="16" x14ac:dyDescent="0.2">
      <c r="A41" s="22">
        <v>6</v>
      </c>
      <c r="B41" s="44" t="s">
        <v>112</v>
      </c>
      <c r="C41" s="25" t="s">
        <v>46</v>
      </c>
      <c r="D41" s="25" t="s">
        <v>37</v>
      </c>
      <c r="E41" s="45" t="s">
        <v>43</v>
      </c>
      <c r="F41" s="25" t="s">
        <v>83</v>
      </c>
      <c r="G41" s="45" t="s">
        <v>65</v>
      </c>
      <c r="H41" s="29" t="s">
        <v>37</v>
      </c>
      <c r="I41" s="28"/>
      <c r="J41" s="27">
        <v>100</v>
      </c>
      <c r="K41" s="46">
        <f t="shared" si="21"/>
        <v>30.9</v>
      </c>
      <c r="L41" s="47">
        <v>6.1</v>
      </c>
      <c r="M41" s="57">
        <v>13.3</v>
      </c>
      <c r="N41" s="55">
        <v>11.5</v>
      </c>
      <c r="O41" s="49">
        <f t="shared" si="22"/>
        <v>3.180327868852459</v>
      </c>
      <c r="P41" s="50">
        <f t="shared" si="23"/>
        <v>5.0655737704918034</v>
      </c>
      <c r="Q41" s="101">
        <f t="shared" si="18"/>
        <v>32362.459546925569</v>
      </c>
      <c r="R41" s="101">
        <f t="shared" si="19"/>
        <v>163934.42622950822</v>
      </c>
      <c r="S41" s="51">
        <f t="shared" si="30"/>
        <v>3090</v>
      </c>
      <c r="T41" s="52">
        <f t="shared" si="24"/>
        <v>610</v>
      </c>
      <c r="U41" s="60">
        <f t="shared" si="25"/>
        <v>19.741100323624597</v>
      </c>
      <c r="V41" s="52">
        <f t="shared" si="26"/>
        <v>1330</v>
      </c>
      <c r="W41" s="60">
        <f t="shared" si="27"/>
        <v>43.042071197411005</v>
      </c>
      <c r="X41" s="54">
        <f t="shared" si="28"/>
        <v>1150</v>
      </c>
      <c r="Y41" s="102">
        <f t="shared" si="29"/>
        <v>37.216828478964402</v>
      </c>
      <c r="Z41" s="33" t="s">
        <v>5</v>
      </c>
      <c r="AA41" s="5"/>
      <c r="AB41" s="5"/>
      <c r="AC41" s="5"/>
      <c r="AD41" s="5"/>
      <c r="AE41" s="5"/>
      <c r="AF41" s="5"/>
      <c r="AG41" s="5"/>
      <c r="AH41" s="5"/>
      <c r="AK41" s="1"/>
      <c r="AL41" s="1"/>
      <c r="AM41" s="1"/>
      <c r="AN41" s="1"/>
      <c r="AO41" s="1"/>
      <c r="AP41" s="1"/>
      <c r="AQ41" s="1"/>
    </row>
    <row r="42" spans="1:43" ht="16" x14ac:dyDescent="0.2">
      <c r="A42" s="22">
        <v>6</v>
      </c>
      <c r="B42" s="26" t="s">
        <v>112</v>
      </c>
      <c r="C42" s="45" t="s">
        <v>49</v>
      </c>
      <c r="D42" s="24" t="s">
        <v>37</v>
      </c>
      <c r="E42" s="45" t="s">
        <v>42</v>
      </c>
      <c r="F42" s="24" t="s">
        <v>83</v>
      </c>
      <c r="G42" s="45" t="s">
        <v>65</v>
      </c>
      <c r="H42" s="29" t="s">
        <v>37</v>
      </c>
      <c r="I42" s="28"/>
      <c r="J42" s="27">
        <v>100</v>
      </c>
      <c r="K42" s="57">
        <f t="shared" si="21"/>
        <v>43.3</v>
      </c>
      <c r="L42" s="57">
        <v>5.5</v>
      </c>
      <c r="M42" s="57">
        <v>25.3</v>
      </c>
      <c r="N42" s="48">
        <v>12.5</v>
      </c>
      <c r="O42" s="49">
        <f t="shared" si="22"/>
        <v>5.6000000000000005</v>
      </c>
      <c r="P42" s="50">
        <f t="shared" si="23"/>
        <v>7.8727272727272721</v>
      </c>
      <c r="Q42" s="101">
        <f t="shared" si="18"/>
        <v>23094.68822170901</v>
      </c>
      <c r="R42" s="101">
        <f t="shared" si="19"/>
        <v>181818.18181818182</v>
      </c>
      <c r="S42" s="51">
        <f t="shared" si="30"/>
        <v>4330</v>
      </c>
      <c r="T42" s="52">
        <f t="shared" si="24"/>
        <v>550</v>
      </c>
      <c r="U42" s="60">
        <f t="shared" si="25"/>
        <v>12.702078521939955</v>
      </c>
      <c r="V42" s="52">
        <f t="shared" si="26"/>
        <v>2530</v>
      </c>
      <c r="W42" s="60">
        <f t="shared" si="27"/>
        <v>58.429561200923793</v>
      </c>
      <c r="X42" s="54">
        <f t="shared" si="28"/>
        <v>1250</v>
      </c>
      <c r="Y42" s="102">
        <f t="shared" si="29"/>
        <v>28.868360277136262</v>
      </c>
      <c r="Z42" s="32" t="s">
        <v>5</v>
      </c>
      <c r="AA42" s="5"/>
      <c r="AB42" s="5"/>
      <c r="AC42" s="5"/>
      <c r="AD42" s="5"/>
      <c r="AE42" s="5"/>
      <c r="AF42" s="5"/>
      <c r="AG42" s="5"/>
      <c r="AH42" s="5"/>
      <c r="AK42" s="1"/>
      <c r="AL42" s="1"/>
      <c r="AM42" s="1"/>
      <c r="AN42" s="1"/>
      <c r="AO42" s="1"/>
      <c r="AP42" s="1"/>
      <c r="AQ42" s="1"/>
    </row>
    <row r="43" spans="1:43" ht="16" x14ac:dyDescent="0.2">
      <c r="A43" s="22">
        <v>6</v>
      </c>
      <c r="B43" s="26" t="s">
        <v>112</v>
      </c>
      <c r="C43" s="45" t="s">
        <v>49</v>
      </c>
      <c r="D43" s="24" t="s">
        <v>37</v>
      </c>
      <c r="E43" s="45" t="s">
        <v>43</v>
      </c>
      <c r="F43" s="24" t="s">
        <v>83</v>
      </c>
      <c r="G43" s="45" t="s">
        <v>65</v>
      </c>
      <c r="H43" s="29" t="s">
        <v>37</v>
      </c>
      <c r="I43" s="28"/>
      <c r="J43" s="27">
        <v>100</v>
      </c>
      <c r="K43" s="57">
        <f t="shared" si="21"/>
        <v>53.6</v>
      </c>
      <c r="L43" s="57">
        <v>8.3000000000000007</v>
      </c>
      <c r="M43" s="57">
        <v>31.8</v>
      </c>
      <c r="N43" s="48">
        <v>13.5</v>
      </c>
      <c r="O43" s="49">
        <f t="shared" si="22"/>
        <v>4.831325301204819</v>
      </c>
      <c r="P43" s="50">
        <f t="shared" si="23"/>
        <v>6.4578313253012043</v>
      </c>
      <c r="Q43" s="101">
        <f t="shared" si="18"/>
        <v>18656.716417910447</v>
      </c>
      <c r="R43" s="101">
        <f t="shared" si="19"/>
        <v>120481.92771084336</v>
      </c>
      <c r="S43" s="51">
        <f t="shared" si="30"/>
        <v>5360</v>
      </c>
      <c r="T43" s="52">
        <f t="shared" si="24"/>
        <v>830.00000000000011</v>
      </c>
      <c r="U43" s="60">
        <f t="shared" si="25"/>
        <v>15.485074626865673</v>
      </c>
      <c r="V43" s="52">
        <f t="shared" si="26"/>
        <v>3180</v>
      </c>
      <c r="W43" s="60">
        <f t="shared" si="27"/>
        <v>59.328358208955223</v>
      </c>
      <c r="X43" s="54">
        <f t="shared" si="28"/>
        <v>1350</v>
      </c>
      <c r="Y43" s="102">
        <f t="shared" si="29"/>
        <v>25.186567164179102</v>
      </c>
      <c r="Z43" s="32" t="s">
        <v>5</v>
      </c>
      <c r="AA43" s="5"/>
      <c r="AB43" s="5"/>
      <c r="AC43" s="5"/>
      <c r="AD43" s="5"/>
      <c r="AE43" s="5"/>
      <c r="AF43" s="5"/>
      <c r="AG43" s="5"/>
      <c r="AH43" s="5"/>
      <c r="AK43" s="1"/>
      <c r="AL43" s="1"/>
      <c r="AM43" s="1"/>
      <c r="AN43" s="1"/>
      <c r="AO43" s="1"/>
      <c r="AP43" s="1"/>
      <c r="AQ43" s="1"/>
    </row>
    <row r="44" spans="1:43" ht="16" x14ac:dyDescent="0.2">
      <c r="A44" s="22">
        <v>6</v>
      </c>
      <c r="B44" s="44" t="s">
        <v>118</v>
      </c>
      <c r="C44" s="45" t="s">
        <v>48</v>
      </c>
      <c r="D44" s="25" t="s">
        <v>37</v>
      </c>
      <c r="E44" s="45" t="s">
        <v>42</v>
      </c>
      <c r="F44" s="25" t="s">
        <v>83</v>
      </c>
      <c r="G44" s="45" t="s">
        <v>65</v>
      </c>
      <c r="H44" s="29" t="s">
        <v>37</v>
      </c>
      <c r="I44" s="28"/>
      <c r="J44" s="27">
        <v>100</v>
      </c>
      <c r="K44" s="57">
        <f t="shared" si="21"/>
        <v>42.4</v>
      </c>
      <c r="L44" s="57">
        <v>4.9000000000000004</v>
      </c>
      <c r="M44" s="57">
        <v>21.5</v>
      </c>
      <c r="N44" s="48">
        <v>16</v>
      </c>
      <c r="O44" s="49">
        <f t="shared" si="22"/>
        <v>5.3877551020408152</v>
      </c>
      <c r="P44" s="50">
        <f t="shared" si="23"/>
        <v>8.6530612244897949</v>
      </c>
      <c r="Q44" s="101">
        <f t="shared" si="18"/>
        <v>23584.905660377361</v>
      </c>
      <c r="R44" s="101">
        <f t="shared" si="19"/>
        <v>204081.63265306121</v>
      </c>
      <c r="S44" s="51">
        <f t="shared" si="30"/>
        <v>4240</v>
      </c>
      <c r="T44" s="52">
        <f t="shared" si="24"/>
        <v>490.00000000000006</v>
      </c>
      <c r="U44" s="60">
        <f t="shared" si="25"/>
        <v>11.556603773584907</v>
      </c>
      <c r="V44" s="52">
        <f t="shared" si="26"/>
        <v>2150</v>
      </c>
      <c r="W44" s="60">
        <f t="shared" si="27"/>
        <v>50.70754716981132</v>
      </c>
      <c r="X44" s="54">
        <f t="shared" si="28"/>
        <v>1600</v>
      </c>
      <c r="Y44" s="102">
        <f t="shared" si="29"/>
        <v>37.735849056603776</v>
      </c>
      <c r="Z44" s="33" t="s">
        <v>5</v>
      </c>
      <c r="AA44" s="5"/>
      <c r="AB44" s="5"/>
      <c r="AC44" s="5"/>
      <c r="AD44" s="5"/>
      <c r="AE44" s="5"/>
      <c r="AF44" s="5"/>
      <c r="AG44" s="5"/>
      <c r="AH44" s="5"/>
      <c r="AK44" s="1"/>
      <c r="AL44" s="1"/>
      <c r="AM44" s="1"/>
      <c r="AN44" s="1"/>
      <c r="AO44" s="1"/>
      <c r="AP44" s="1"/>
      <c r="AQ44" s="1"/>
    </row>
    <row r="45" spans="1:43" ht="16" x14ac:dyDescent="0.2">
      <c r="A45" s="22">
        <v>6</v>
      </c>
      <c r="B45" s="44" t="s">
        <v>118</v>
      </c>
      <c r="C45" s="45" t="s">
        <v>48</v>
      </c>
      <c r="D45" s="25" t="s">
        <v>37</v>
      </c>
      <c r="E45" s="45" t="s">
        <v>43</v>
      </c>
      <c r="F45" s="25" t="s">
        <v>83</v>
      </c>
      <c r="G45" s="45" t="s">
        <v>65</v>
      </c>
      <c r="H45" s="29" t="s">
        <v>37</v>
      </c>
      <c r="I45" s="28"/>
      <c r="J45" s="27">
        <v>100</v>
      </c>
      <c r="K45" s="57">
        <f t="shared" si="21"/>
        <v>51.3</v>
      </c>
      <c r="L45" s="57">
        <v>7.3</v>
      </c>
      <c r="M45" s="57">
        <v>28.4</v>
      </c>
      <c r="N45" s="48">
        <v>15.6</v>
      </c>
      <c r="O45" s="49">
        <f t="shared" si="22"/>
        <v>4.8904109589041092</v>
      </c>
      <c r="P45" s="50">
        <f t="shared" si="23"/>
        <v>7.0273972602739727</v>
      </c>
      <c r="Q45" s="101">
        <f t="shared" si="18"/>
        <v>19493.177387914231</v>
      </c>
      <c r="R45" s="101">
        <f t="shared" si="19"/>
        <v>136986.30136986301</v>
      </c>
      <c r="S45" s="51">
        <f t="shared" si="30"/>
        <v>5130</v>
      </c>
      <c r="T45" s="52">
        <f t="shared" si="24"/>
        <v>730</v>
      </c>
      <c r="U45" s="60">
        <f t="shared" si="25"/>
        <v>14.230019493177389</v>
      </c>
      <c r="V45" s="52">
        <f t="shared" si="26"/>
        <v>2840</v>
      </c>
      <c r="W45" s="60">
        <f t="shared" si="27"/>
        <v>55.360623781676416</v>
      </c>
      <c r="X45" s="54">
        <f t="shared" si="28"/>
        <v>1560</v>
      </c>
      <c r="Y45" s="102">
        <f t="shared" si="29"/>
        <v>30.4093567251462</v>
      </c>
      <c r="Z45" s="33" t="s">
        <v>5</v>
      </c>
      <c r="AA45" s="5"/>
      <c r="AB45" s="5"/>
      <c r="AC45" s="5"/>
      <c r="AD45" s="5"/>
      <c r="AE45" s="5"/>
      <c r="AF45" s="5"/>
      <c r="AG45" s="5"/>
      <c r="AH45" s="5"/>
      <c r="AK45" s="1"/>
      <c r="AL45" s="1"/>
      <c r="AM45" s="1"/>
      <c r="AN45" s="1"/>
      <c r="AO45" s="1"/>
      <c r="AP45" s="1"/>
      <c r="AQ45" s="1"/>
    </row>
    <row r="46" spans="1:43" ht="16" x14ac:dyDescent="0.2">
      <c r="A46" s="22">
        <v>7</v>
      </c>
      <c r="B46" s="26" t="s">
        <v>113</v>
      </c>
      <c r="C46" s="25" t="s">
        <v>51</v>
      </c>
      <c r="D46" s="45" t="s">
        <v>37</v>
      </c>
      <c r="E46" s="45" t="s">
        <v>42</v>
      </c>
      <c r="F46" s="25" t="s">
        <v>83</v>
      </c>
      <c r="G46" s="45" t="s">
        <v>65</v>
      </c>
      <c r="H46" s="29" t="s">
        <v>37</v>
      </c>
      <c r="I46" s="28"/>
      <c r="J46" s="27">
        <v>100</v>
      </c>
      <c r="K46" s="46">
        <f t="shared" si="21"/>
        <v>26.5</v>
      </c>
      <c r="L46" s="47">
        <v>2.9</v>
      </c>
      <c r="M46" s="57">
        <v>12.2</v>
      </c>
      <c r="N46" s="48">
        <v>11.4</v>
      </c>
      <c r="O46" s="49">
        <f t="shared" si="22"/>
        <v>5.2068965517241379</v>
      </c>
      <c r="P46" s="50">
        <f t="shared" si="23"/>
        <v>9.1379310344827598</v>
      </c>
      <c r="Q46" s="101">
        <f t="shared" si="18"/>
        <v>37735.849056603773</v>
      </c>
      <c r="R46" s="101">
        <f t="shared" si="19"/>
        <v>344827.58620689658</v>
      </c>
      <c r="S46" s="51">
        <f t="shared" si="30"/>
        <v>2650</v>
      </c>
      <c r="T46" s="52">
        <f t="shared" si="24"/>
        <v>290</v>
      </c>
      <c r="U46" s="60">
        <f t="shared" si="25"/>
        <v>10.943396226415095</v>
      </c>
      <c r="V46" s="52">
        <f t="shared" si="26"/>
        <v>1220</v>
      </c>
      <c r="W46" s="60">
        <f t="shared" si="27"/>
        <v>46.037735849056602</v>
      </c>
      <c r="X46" s="54">
        <f t="shared" si="28"/>
        <v>1140</v>
      </c>
      <c r="Y46" s="102">
        <f t="shared" si="29"/>
        <v>43.018867924528301</v>
      </c>
      <c r="Z46" s="33" t="s">
        <v>5</v>
      </c>
      <c r="AA46" s="5"/>
      <c r="AB46" s="5"/>
      <c r="AC46" s="5"/>
      <c r="AD46" s="5"/>
      <c r="AE46" s="5"/>
      <c r="AF46" s="5"/>
      <c r="AG46" s="5"/>
      <c r="AH46" s="5"/>
      <c r="AK46" s="1"/>
      <c r="AL46" s="1"/>
      <c r="AM46" s="1"/>
      <c r="AN46" s="1"/>
      <c r="AO46" s="1"/>
      <c r="AP46" s="1"/>
      <c r="AQ46" s="1"/>
    </row>
    <row r="47" spans="1:43" ht="16" x14ac:dyDescent="0.2">
      <c r="A47" s="22">
        <v>7</v>
      </c>
      <c r="B47" s="26" t="s">
        <v>113</v>
      </c>
      <c r="C47" s="25" t="s">
        <v>51</v>
      </c>
      <c r="D47" s="45" t="s">
        <v>37</v>
      </c>
      <c r="E47" s="45" t="s">
        <v>43</v>
      </c>
      <c r="F47" s="25" t="s">
        <v>83</v>
      </c>
      <c r="G47" s="45" t="s">
        <v>65</v>
      </c>
      <c r="H47" s="29" t="s">
        <v>37</v>
      </c>
      <c r="I47" s="28"/>
      <c r="J47" s="27">
        <v>100</v>
      </c>
      <c r="K47" s="46">
        <f t="shared" si="21"/>
        <v>28.5</v>
      </c>
      <c r="L47" s="47">
        <v>4.5</v>
      </c>
      <c r="M47" s="57">
        <v>13.8</v>
      </c>
      <c r="N47" s="48">
        <v>10.199999999999999</v>
      </c>
      <c r="O47" s="49">
        <f t="shared" si="22"/>
        <v>4.0666666666666664</v>
      </c>
      <c r="P47" s="50">
        <f t="shared" si="23"/>
        <v>6.333333333333333</v>
      </c>
      <c r="Q47" s="101">
        <f t="shared" si="18"/>
        <v>35087.719298245611</v>
      </c>
      <c r="R47" s="101">
        <f t="shared" si="19"/>
        <v>222222.22222222222</v>
      </c>
      <c r="S47" s="51">
        <f t="shared" si="30"/>
        <v>2850</v>
      </c>
      <c r="T47" s="52">
        <f t="shared" si="24"/>
        <v>450</v>
      </c>
      <c r="U47" s="60">
        <f t="shared" si="25"/>
        <v>15.789473684210526</v>
      </c>
      <c r="V47" s="52">
        <f t="shared" si="26"/>
        <v>1380</v>
      </c>
      <c r="W47" s="60">
        <f t="shared" si="27"/>
        <v>48.421052631578945</v>
      </c>
      <c r="X47" s="54">
        <f t="shared" si="28"/>
        <v>1019.9999999999999</v>
      </c>
      <c r="Y47" s="102">
        <f t="shared" si="29"/>
        <v>35.78947368421052</v>
      </c>
      <c r="Z47" s="33" t="s">
        <v>5</v>
      </c>
      <c r="AA47" s="5"/>
      <c r="AB47" s="5"/>
      <c r="AC47" s="5"/>
      <c r="AD47" s="5"/>
      <c r="AE47" s="5"/>
      <c r="AF47" s="5"/>
      <c r="AG47" s="5"/>
      <c r="AH47" s="5"/>
      <c r="AK47" s="1"/>
      <c r="AL47" s="1"/>
      <c r="AM47" s="1"/>
      <c r="AN47" s="1"/>
      <c r="AO47" s="1"/>
      <c r="AP47" s="1"/>
      <c r="AQ47" s="1"/>
    </row>
    <row r="48" spans="1:43" ht="16" x14ac:dyDescent="0.2">
      <c r="A48" s="22">
        <v>7</v>
      </c>
      <c r="B48" s="26" t="s">
        <v>113</v>
      </c>
      <c r="C48" s="25" t="s">
        <v>45</v>
      </c>
      <c r="D48" s="45" t="s">
        <v>37</v>
      </c>
      <c r="E48" s="45" t="s">
        <v>42</v>
      </c>
      <c r="F48" s="24" t="s">
        <v>83</v>
      </c>
      <c r="G48" s="45" t="s">
        <v>65</v>
      </c>
      <c r="H48" s="29" t="s">
        <v>37</v>
      </c>
      <c r="I48" s="28"/>
      <c r="J48" s="27">
        <v>100</v>
      </c>
      <c r="K48" s="46">
        <f t="shared" si="21"/>
        <v>36.5</v>
      </c>
      <c r="L48" s="47">
        <v>5.3</v>
      </c>
      <c r="M48" s="57">
        <v>20.9</v>
      </c>
      <c r="N48" s="48">
        <v>10.3</v>
      </c>
      <c r="O48" s="49">
        <f t="shared" si="22"/>
        <v>4.9433962264150946</v>
      </c>
      <c r="P48" s="50">
        <f t="shared" si="23"/>
        <v>6.8867924528301891</v>
      </c>
      <c r="Q48" s="101">
        <f t="shared" si="18"/>
        <v>27397.260273972603</v>
      </c>
      <c r="R48" s="101">
        <f t="shared" si="19"/>
        <v>188679.24528301888</v>
      </c>
      <c r="S48" s="51">
        <f t="shared" si="30"/>
        <v>3650</v>
      </c>
      <c r="T48" s="52">
        <f t="shared" si="24"/>
        <v>530</v>
      </c>
      <c r="U48" s="60">
        <f t="shared" si="25"/>
        <v>14.520547945205479</v>
      </c>
      <c r="V48" s="52">
        <f t="shared" si="26"/>
        <v>2090</v>
      </c>
      <c r="W48" s="60">
        <f t="shared" si="27"/>
        <v>57.260273972602739</v>
      </c>
      <c r="X48" s="54">
        <f t="shared" si="28"/>
        <v>1030</v>
      </c>
      <c r="Y48" s="102">
        <f t="shared" si="29"/>
        <v>28.219178082191782</v>
      </c>
      <c r="Z48" s="32" t="s">
        <v>5</v>
      </c>
      <c r="AA48" s="5"/>
      <c r="AB48" s="5"/>
      <c r="AC48" s="5"/>
      <c r="AD48" s="5"/>
      <c r="AE48" s="5"/>
      <c r="AF48" s="5"/>
      <c r="AG48" s="5"/>
      <c r="AH48" s="5"/>
      <c r="AK48" s="1"/>
      <c r="AL48" s="1"/>
      <c r="AM48" s="1"/>
      <c r="AN48" s="1"/>
      <c r="AO48" s="1"/>
      <c r="AP48" s="1"/>
      <c r="AQ48" s="1"/>
    </row>
    <row r="49" spans="1:43" ht="16" x14ac:dyDescent="0.2">
      <c r="A49" s="22">
        <v>7</v>
      </c>
      <c r="B49" s="26" t="s">
        <v>113</v>
      </c>
      <c r="C49" s="25" t="s">
        <v>45</v>
      </c>
      <c r="D49" s="69" t="s">
        <v>37</v>
      </c>
      <c r="E49" s="45" t="s">
        <v>43</v>
      </c>
      <c r="F49" s="24" t="s">
        <v>83</v>
      </c>
      <c r="G49" s="45" t="s">
        <v>65</v>
      </c>
      <c r="H49" s="29" t="s">
        <v>37</v>
      </c>
      <c r="I49" s="28"/>
      <c r="J49" s="27">
        <v>100</v>
      </c>
      <c r="K49" s="46">
        <f t="shared" si="21"/>
        <v>42.9</v>
      </c>
      <c r="L49" s="47">
        <v>5.8</v>
      </c>
      <c r="M49" s="57">
        <v>27.1</v>
      </c>
      <c r="N49" s="48">
        <v>10</v>
      </c>
      <c r="O49" s="49">
        <f t="shared" si="22"/>
        <v>5.6724137931034484</v>
      </c>
      <c r="P49" s="50">
        <f t="shared" si="23"/>
        <v>7.3965517241379306</v>
      </c>
      <c r="Q49" s="101">
        <f t="shared" si="18"/>
        <v>23310.023310023309</v>
      </c>
      <c r="R49" s="101">
        <f t="shared" si="19"/>
        <v>172413.79310344829</v>
      </c>
      <c r="S49" s="51">
        <f t="shared" si="30"/>
        <v>4290</v>
      </c>
      <c r="T49" s="52">
        <f t="shared" si="24"/>
        <v>580</v>
      </c>
      <c r="U49" s="60">
        <f t="shared" si="25"/>
        <v>13.519813519813519</v>
      </c>
      <c r="V49" s="52">
        <f t="shared" si="26"/>
        <v>2710</v>
      </c>
      <c r="W49" s="60">
        <f t="shared" si="27"/>
        <v>63.170163170163171</v>
      </c>
      <c r="X49" s="54">
        <f t="shared" si="28"/>
        <v>1000</v>
      </c>
      <c r="Y49" s="102">
        <f t="shared" si="29"/>
        <v>23.310023310023311</v>
      </c>
      <c r="Z49" s="32" t="s">
        <v>5</v>
      </c>
      <c r="AA49" s="5"/>
      <c r="AB49" s="5"/>
      <c r="AC49" s="5"/>
      <c r="AD49" s="5"/>
      <c r="AE49" s="5"/>
      <c r="AF49" s="5"/>
      <c r="AG49" s="5"/>
      <c r="AH49" s="5"/>
      <c r="AK49" s="1"/>
      <c r="AL49" s="1"/>
      <c r="AM49" s="1"/>
      <c r="AN49" s="1"/>
      <c r="AO49" s="1"/>
      <c r="AP49" s="1"/>
      <c r="AQ49" s="1"/>
    </row>
    <row r="50" spans="1:43" ht="16" x14ac:dyDescent="0.2">
      <c r="A50" s="22">
        <v>7</v>
      </c>
      <c r="B50" s="44" t="s">
        <v>113</v>
      </c>
      <c r="C50" s="63" t="s">
        <v>59</v>
      </c>
      <c r="D50" s="64" t="s">
        <v>92</v>
      </c>
      <c r="E50" s="45" t="s">
        <v>12</v>
      </c>
      <c r="F50" s="45" t="s">
        <v>82</v>
      </c>
      <c r="G50" s="45" t="s">
        <v>61</v>
      </c>
      <c r="H50" s="27">
        <v>1000</v>
      </c>
      <c r="I50" s="28" t="s">
        <v>27</v>
      </c>
      <c r="J50" s="27">
        <f t="shared" ref="J50:J58" si="31">H50*F$74</f>
        <v>1090</v>
      </c>
      <c r="K50" s="57">
        <f t="shared" ref="K50:K58" si="32">S50/J50</f>
        <v>12.828440366972478</v>
      </c>
      <c r="L50" s="57">
        <f t="shared" ref="L50:L58" si="33">T50/J50</f>
        <v>8.0486238532110086</v>
      </c>
      <c r="M50" s="57">
        <f t="shared" ref="M50:M58" si="34">V50/J50</f>
        <v>3.0724770642201835</v>
      </c>
      <c r="N50" s="57">
        <f t="shared" ref="N50:N58" si="35">X50/J50</f>
        <v>1.7073394495412844</v>
      </c>
      <c r="O50" s="49">
        <f t="shared" si="22"/>
        <v>1.3817394277898096</v>
      </c>
      <c r="P50" s="50">
        <f t="shared" si="23"/>
        <v>1.5938675481591249</v>
      </c>
      <c r="Q50" s="101">
        <f t="shared" si="18"/>
        <v>77951.798612601007</v>
      </c>
      <c r="R50" s="101">
        <f t="shared" si="19"/>
        <v>124244.84212926024</v>
      </c>
      <c r="S50" s="51">
        <f>T50+V50+X50</f>
        <v>13983</v>
      </c>
      <c r="T50" s="51">
        <v>8773</v>
      </c>
      <c r="U50" s="60">
        <f t="shared" si="25"/>
        <v>62.740470571408132</v>
      </c>
      <c r="V50" s="52">
        <v>3349</v>
      </c>
      <c r="W50" s="60">
        <f t="shared" si="27"/>
        <v>23.950511335192729</v>
      </c>
      <c r="X50" s="54">
        <v>1861</v>
      </c>
      <c r="Y50" s="102">
        <f t="shared" si="29"/>
        <v>13.309018093399127</v>
      </c>
      <c r="Z50" s="61" t="s">
        <v>5</v>
      </c>
      <c r="AA50" s="5"/>
      <c r="AB50" s="5"/>
      <c r="AC50" s="5"/>
      <c r="AD50" s="5"/>
      <c r="AE50" s="5"/>
      <c r="AF50" s="5"/>
      <c r="AG50" s="5"/>
      <c r="AH50" s="5"/>
      <c r="AK50" s="1"/>
      <c r="AL50" s="1"/>
      <c r="AM50" s="1"/>
      <c r="AN50" s="1"/>
      <c r="AO50" s="1"/>
      <c r="AP50" s="1"/>
      <c r="AQ50" s="1"/>
    </row>
    <row r="51" spans="1:43" ht="32" x14ac:dyDescent="0.2">
      <c r="A51" s="22">
        <v>7</v>
      </c>
      <c r="B51" s="44" t="s">
        <v>113</v>
      </c>
      <c r="C51" s="63" t="s">
        <v>59</v>
      </c>
      <c r="D51" s="45" t="s">
        <v>93</v>
      </c>
      <c r="E51" s="45" t="s">
        <v>12</v>
      </c>
      <c r="F51" s="45" t="s">
        <v>82</v>
      </c>
      <c r="G51" s="45" t="s">
        <v>61</v>
      </c>
      <c r="H51" s="27">
        <v>1000</v>
      </c>
      <c r="I51" s="28" t="s">
        <v>27</v>
      </c>
      <c r="J51" s="27">
        <f t="shared" si="31"/>
        <v>1090</v>
      </c>
      <c r="K51" s="57">
        <f t="shared" si="32"/>
        <v>13.894495412844037</v>
      </c>
      <c r="L51" s="57">
        <f t="shared" si="33"/>
        <v>9.4192660550458722</v>
      </c>
      <c r="M51" s="57">
        <f t="shared" si="34"/>
        <v>2.6256880733944956</v>
      </c>
      <c r="N51" s="57">
        <f t="shared" si="35"/>
        <v>1.8495412844036698</v>
      </c>
      <c r="O51" s="49">
        <f t="shared" si="22"/>
        <v>1.2787571832083375</v>
      </c>
      <c r="P51" s="50">
        <f t="shared" si="23"/>
        <v>1.4751144443362227</v>
      </c>
      <c r="Q51" s="101">
        <f t="shared" si="18"/>
        <v>71970.947507428195</v>
      </c>
      <c r="R51" s="101">
        <f t="shared" si="19"/>
        <v>106165.3842407714</v>
      </c>
      <c r="S51" s="51">
        <f>X51+V51+T51</f>
        <v>15145</v>
      </c>
      <c r="T51" s="51">
        <v>10267</v>
      </c>
      <c r="U51" s="60">
        <f t="shared" si="25"/>
        <v>67.791350280620662</v>
      </c>
      <c r="V51" s="51">
        <v>2862</v>
      </c>
      <c r="W51" s="60">
        <f t="shared" si="27"/>
        <v>18.89732585011555</v>
      </c>
      <c r="X51" s="51">
        <v>2016</v>
      </c>
      <c r="Y51" s="102">
        <f t="shared" si="29"/>
        <v>13.311323869263784</v>
      </c>
      <c r="Z51" s="61" t="s">
        <v>5</v>
      </c>
      <c r="AA51" s="5"/>
      <c r="AB51" s="5"/>
      <c r="AC51" s="5"/>
      <c r="AD51" s="5"/>
      <c r="AE51" s="5"/>
      <c r="AF51" s="5"/>
      <c r="AG51" s="5"/>
      <c r="AH51" s="5"/>
      <c r="AK51" s="1"/>
      <c r="AL51" s="1"/>
      <c r="AM51" s="1"/>
      <c r="AN51" s="1"/>
      <c r="AO51" s="1"/>
      <c r="AP51" s="1"/>
      <c r="AQ51" s="1"/>
    </row>
    <row r="52" spans="1:43" ht="16" x14ac:dyDescent="0.2">
      <c r="A52" s="22">
        <v>7</v>
      </c>
      <c r="B52" s="44" t="s">
        <v>113</v>
      </c>
      <c r="C52" s="63" t="s">
        <v>59</v>
      </c>
      <c r="D52" s="45" t="s">
        <v>94</v>
      </c>
      <c r="E52" s="45" t="s">
        <v>12</v>
      </c>
      <c r="F52" s="45" t="s">
        <v>81</v>
      </c>
      <c r="G52" s="45" t="s">
        <v>61</v>
      </c>
      <c r="H52" s="27">
        <v>1000</v>
      </c>
      <c r="I52" s="28" t="s">
        <v>27</v>
      </c>
      <c r="J52" s="27">
        <f t="shared" si="31"/>
        <v>1090</v>
      </c>
      <c r="K52" s="57">
        <f t="shared" si="32"/>
        <v>11.796330275229359</v>
      </c>
      <c r="L52" s="57">
        <f t="shared" si="33"/>
        <v>7.473394495412844</v>
      </c>
      <c r="M52" s="57">
        <f t="shared" si="34"/>
        <v>2.7532110091743118</v>
      </c>
      <c r="N52" s="57">
        <f t="shared" si="35"/>
        <v>1.5697247706422017</v>
      </c>
      <c r="O52" s="49">
        <f t="shared" si="22"/>
        <v>1.3684016695310581</v>
      </c>
      <c r="P52" s="50">
        <f t="shared" si="23"/>
        <v>1.5784434078075129</v>
      </c>
      <c r="Q52" s="101">
        <f t="shared" si="18"/>
        <v>84772.126302690929</v>
      </c>
      <c r="R52" s="101">
        <f t="shared" si="19"/>
        <v>133808.00392830838</v>
      </c>
      <c r="S52" s="65">
        <f>T52+V52+X52</f>
        <v>12858</v>
      </c>
      <c r="T52" s="66">
        <v>8146</v>
      </c>
      <c r="U52" s="60">
        <f t="shared" si="25"/>
        <v>63.353554207497268</v>
      </c>
      <c r="V52" s="66">
        <v>3001</v>
      </c>
      <c r="W52" s="60">
        <f t="shared" si="27"/>
        <v>23.33955514076839</v>
      </c>
      <c r="X52" s="54">
        <v>1711</v>
      </c>
      <c r="Y52" s="102">
        <f t="shared" si="29"/>
        <v>13.306890651734328</v>
      </c>
      <c r="Z52" s="61" t="s">
        <v>5</v>
      </c>
      <c r="AA52" s="5"/>
      <c r="AB52" s="5"/>
      <c r="AC52" s="5"/>
      <c r="AD52" s="5"/>
      <c r="AE52" s="5"/>
      <c r="AF52" s="5"/>
      <c r="AG52" s="5"/>
      <c r="AH52" s="5"/>
      <c r="AK52" s="1"/>
      <c r="AL52" s="1"/>
      <c r="AM52" s="1"/>
      <c r="AN52" s="1"/>
      <c r="AO52" s="1"/>
      <c r="AP52" s="1"/>
      <c r="AQ52" s="1"/>
    </row>
    <row r="53" spans="1:43" ht="16" x14ac:dyDescent="0.2">
      <c r="A53" s="22">
        <v>7</v>
      </c>
      <c r="B53" s="44" t="s">
        <v>113</v>
      </c>
      <c r="C53" s="25" t="s">
        <v>59</v>
      </c>
      <c r="D53" s="67" t="s">
        <v>95</v>
      </c>
      <c r="E53" s="45" t="s">
        <v>55</v>
      </c>
      <c r="F53" s="45" t="s">
        <v>82</v>
      </c>
      <c r="G53" s="45" t="s">
        <v>61</v>
      </c>
      <c r="H53" s="27">
        <v>1000</v>
      </c>
      <c r="I53" s="28" t="s">
        <v>27</v>
      </c>
      <c r="J53" s="27">
        <f t="shared" si="31"/>
        <v>1090</v>
      </c>
      <c r="K53" s="57">
        <f t="shared" si="32"/>
        <v>13.702752293577982</v>
      </c>
      <c r="L53" s="57">
        <f t="shared" si="33"/>
        <v>7.1541284403669723</v>
      </c>
      <c r="M53" s="57">
        <f t="shared" si="34"/>
        <v>4.7247706422018352</v>
      </c>
      <c r="N53" s="57">
        <f t="shared" si="35"/>
        <v>1.8238532110091743</v>
      </c>
      <c r="O53" s="49">
        <f t="shared" si="22"/>
        <v>1.6604257501923572</v>
      </c>
      <c r="P53" s="50">
        <f t="shared" si="23"/>
        <v>1.9153629135675816</v>
      </c>
      <c r="Q53" s="101">
        <f t="shared" si="18"/>
        <v>72978.039635779322</v>
      </c>
      <c r="R53" s="101">
        <f t="shared" si="19"/>
        <v>139779.43062323672</v>
      </c>
      <c r="S53" s="51">
        <f>X53+V53+T53</f>
        <v>14936</v>
      </c>
      <c r="T53" s="51">
        <v>7798</v>
      </c>
      <c r="U53" s="60">
        <f t="shared" si="25"/>
        <v>52.209426888055702</v>
      </c>
      <c r="V53" s="51">
        <v>5150</v>
      </c>
      <c r="W53" s="60">
        <f t="shared" si="27"/>
        <v>34.480449919657211</v>
      </c>
      <c r="X53" s="51">
        <v>1988</v>
      </c>
      <c r="Y53" s="102">
        <f t="shared" si="29"/>
        <v>13.31012319228709</v>
      </c>
      <c r="Z53" s="61" t="s">
        <v>5</v>
      </c>
      <c r="AA53" s="5"/>
      <c r="AB53" s="5"/>
      <c r="AC53" s="5"/>
      <c r="AD53" s="5"/>
      <c r="AE53" s="5"/>
      <c r="AF53" s="5"/>
      <c r="AG53" s="5"/>
      <c r="AH53" s="5"/>
      <c r="AK53" s="1"/>
      <c r="AL53" s="1"/>
      <c r="AM53" s="1"/>
      <c r="AN53" s="1"/>
      <c r="AO53" s="1"/>
      <c r="AP53" s="1"/>
      <c r="AQ53" s="1"/>
    </row>
    <row r="54" spans="1:43" ht="16" x14ac:dyDescent="0.2">
      <c r="A54" s="22">
        <v>7</v>
      </c>
      <c r="B54" s="44" t="s">
        <v>113</v>
      </c>
      <c r="C54" s="25" t="s">
        <v>59</v>
      </c>
      <c r="D54" s="45" t="s">
        <v>96</v>
      </c>
      <c r="E54" s="45" t="s">
        <v>55</v>
      </c>
      <c r="F54" s="45" t="s">
        <v>82</v>
      </c>
      <c r="G54" s="25" t="s">
        <v>61</v>
      </c>
      <c r="H54" s="27">
        <v>1000</v>
      </c>
      <c r="I54" s="28" t="s">
        <v>27</v>
      </c>
      <c r="J54" s="27">
        <f t="shared" si="31"/>
        <v>1090</v>
      </c>
      <c r="K54" s="57">
        <f t="shared" si="32"/>
        <v>13.322935779816513</v>
      </c>
      <c r="L54" s="57">
        <f t="shared" si="33"/>
        <v>6.6844036697247704</v>
      </c>
      <c r="M54" s="57">
        <f t="shared" si="34"/>
        <v>4.8651376146788987</v>
      </c>
      <c r="N54" s="57">
        <f t="shared" si="35"/>
        <v>1.773394495412844</v>
      </c>
      <c r="O54" s="49">
        <f t="shared" si="22"/>
        <v>1.7278342025802911</v>
      </c>
      <c r="P54" s="50">
        <f t="shared" si="23"/>
        <v>1.993137524018666</v>
      </c>
      <c r="Q54" s="101">
        <f t="shared" si="18"/>
        <v>75058.531882660798</v>
      </c>
      <c r="R54" s="101">
        <f t="shared" si="19"/>
        <v>149601.97639308262</v>
      </c>
      <c r="S54" s="51">
        <f>T54+V54+X54</f>
        <v>14522</v>
      </c>
      <c r="T54" s="52">
        <v>7286</v>
      </c>
      <c r="U54" s="60">
        <f t="shared" si="25"/>
        <v>50.172152596061146</v>
      </c>
      <c r="V54" s="52">
        <v>5303</v>
      </c>
      <c r="W54" s="60">
        <f t="shared" si="27"/>
        <v>36.517008676490839</v>
      </c>
      <c r="X54" s="54">
        <v>1933</v>
      </c>
      <c r="Y54" s="102">
        <f t="shared" si="29"/>
        <v>13.310838727448012</v>
      </c>
      <c r="Z54" s="61" t="s">
        <v>5</v>
      </c>
      <c r="AA54" s="5"/>
      <c r="AB54" s="5"/>
      <c r="AC54" s="5"/>
      <c r="AD54" s="5"/>
      <c r="AE54" s="5"/>
      <c r="AF54" s="5"/>
      <c r="AG54" s="5"/>
      <c r="AH54" s="5"/>
      <c r="AK54" s="1"/>
      <c r="AL54" s="1"/>
      <c r="AM54" s="1"/>
      <c r="AN54" s="1"/>
      <c r="AO54" s="1"/>
      <c r="AP54" s="1"/>
      <c r="AQ54" s="1"/>
    </row>
    <row r="55" spans="1:43" ht="16" x14ac:dyDescent="0.2">
      <c r="A55" s="22">
        <v>7</v>
      </c>
      <c r="B55" s="44" t="s">
        <v>113</v>
      </c>
      <c r="C55" s="25" t="s">
        <v>59</v>
      </c>
      <c r="D55" s="45" t="s">
        <v>97</v>
      </c>
      <c r="E55" s="45" t="s">
        <v>55</v>
      </c>
      <c r="F55" s="45" t="s">
        <v>82</v>
      </c>
      <c r="G55" s="25" t="s">
        <v>61</v>
      </c>
      <c r="H55" s="27">
        <v>1000</v>
      </c>
      <c r="I55" s="28" t="s">
        <v>27</v>
      </c>
      <c r="J55" s="27">
        <f t="shared" si="31"/>
        <v>1090</v>
      </c>
      <c r="K55" s="57">
        <f t="shared" si="32"/>
        <v>14.528440366972477</v>
      </c>
      <c r="L55" s="57">
        <f t="shared" si="33"/>
        <v>8.1761467889908257</v>
      </c>
      <c r="M55" s="57">
        <f t="shared" si="34"/>
        <v>4.4183486238532108</v>
      </c>
      <c r="N55" s="57">
        <f t="shared" si="35"/>
        <v>1.9339449541284404</v>
      </c>
      <c r="O55" s="49">
        <f t="shared" si="22"/>
        <v>1.5403949730700179</v>
      </c>
      <c r="P55" s="50">
        <f t="shared" si="23"/>
        <v>1.7769299820466786</v>
      </c>
      <c r="Q55" s="101">
        <f t="shared" si="18"/>
        <v>68830.5127557464</v>
      </c>
      <c r="R55" s="101">
        <f t="shared" si="19"/>
        <v>122307.00179533214</v>
      </c>
      <c r="S55" s="51">
        <f>X55+V55+T55</f>
        <v>15836</v>
      </c>
      <c r="T55" s="52">
        <v>8912</v>
      </c>
      <c r="U55" s="60">
        <f t="shared" si="25"/>
        <v>56.276837585248799</v>
      </c>
      <c r="V55" s="51">
        <v>4816</v>
      </c>
      <c r="W55" s="60">
        <f t="shared" si="27"/>
        <v>30.411720131346296</v>
      </c>
      <c r="X55" s="51">
        <v>2108</v>
      </c>
      <c r="Y55" s="102">
        <f t="shared" si="29"/>
        <v>13.311442283404901</v>
      </c>
      <c r="Z55" s="33" t="s">
        <v>5</v>
      </c>
      <c r="AA55" s="5"/>
      <c r="AB55" s="5"/>
      <c r="AC55" s="5"/>
      <c r="AD55" s="5"/>
      <c r="AE55" s="5"/>
      <c r="AF55" s="5"/>
      <c r="AG55" s="5"/>
      <c r="AH55" s="5"/>
      <c r="AK55" s="1"/>
      <c r="AL55" s="1"/>
      <c r="AM55" s="1"/>
      <c r="AN55" s="1"/>
      <c r="AO55" s="1"/>
      <c r="AP55" s="1"/>
      <c r="AQ55" s="1"/>
    </row>
    <row r="56" spans="1:43" ht="32" x14ac:dyDescent="0.2">
      <c r="A56" s="22">
        <v>7</v>
      </c>
      <c r="B56" s="44" t="s">
        <v>113</v>
      </c>
      <c r="C56" s="25" t="s">
        <v>59</v>
      </c>
      <c r="D56" s="45" t="s">
        <v>98</v>
      </c>
      <c r="E56" s="45" t="s">
        <v>14</v>
      </c>
      <c r="F56" s="45" t="s">
        <v>81</v>
      </c>
      <c r="G56" s="25" t="s">
        <v>61</v>
      </c>
      <c r="H56" s="27">
        <v>1000</v>
      </c>
      <c r="I56" s="28" t="s">
        <v>27</v>
      </c>
      <c r="J56" s="27">
        <f t="shared" si="31"/>
        <v>1090</v>
      </c>
      <c r="K56" s="57">
        <f t="shared" si="32"/>
        <v>11.764220183486238</v>
      </c>
      <c r="L56" s="57">
        <f t="shared" si="33"/>
        <v>5.7486238532110088</v>
      </c>
      <c r="M56" s="57">
        <f t="shared" si="34"/>
        <v>4.4495412844036695</v>
      </c>
      <c r="N56" s="57">
        <f t="shared" si="35"/>
        <v>1.5660550458715596</v>
      </c>
      <c r="O56" s="49">
        <f t="shared" si="22"/>
        <v>1.7740185126077241</v>
      </c>
      <c r="P56" s="50">
        <f t="shared" si="23"/>
        <v>2.0464411107564633</v>
      </c>
      <c r="Q56" s="101">
        <f t="shared" si="18"/>
        <v>85003.50931919209</v>
      </c>
      <c r="R56" s="101">
        <f t="shared" si="19"/>
        <v>173954.67602936484</v>
      </c>
      <c r="S56" s="51">
        <f>T56+V56+X56</f>
        <v>12823</v>
      </c>
      <c r="T56" s="52">
        <v>6266</v>
      </c>
      <c r="U56" s="60">
        <f t="shared" si="25"/>
        <v>48.865320127895188</v>
      </c>
      <c r="V56" s="51">
        <v>4850</v>
      </c>
      <c r="W56" s="60">
        <f t="shared" si="27"/>
        <v>37.822662403493723</v>
      </c>
      <c r="X56" s="51">
        <v>1707</v>
      </c>
      <c r="Y56" s="102">
        <f t="shared" si="29"/>
        <v>13.31201746861109</v>
      </c>
      <c r="Z56" s="33" t="s">
        <v>5</v>
      </c>
      <c r="AA56" s="5"/>
      <c r="AB56" s="5"/>
      <c r="AC56" s="5"/>
      <c r="AD56" s="5"/>
      <c r="AE56" s="5"/>
      <c r="AF56" s="5"/>
      <c r="AG56" s="5"/>
      <c r="AH56" s="5"/>
      <c r="AK56" s="1"/>
      <c r="AL56" s="1"/>
      <c r="AM56" s="1"/>
      <c r="AN56" s="1"/>
      <c r="AO56" s="1"/>
      <c r="AP56" s="1"/>
      <c r="AQ56" s="1"/>
    </row>
    <row r="57" spans="1:43" ht="32" x14ac:dyDescent="0.2">
      <c r="A57" s="22">
        <v>7</v>
      </c>
      <c r="B57" s="44" t="s">
        <v>113</v>
      </c>
      <c r="C57" s="25" t="s">
        <v>59</v>
      </c>
      <c r="D57" s="45" t="s">
        <v>99</v>
      </c>
      <c r="E57" s="45" t="s">
        <v>13</v>
      </c>
      <c r="F57" s="45" t="s">
        <v>82</v>
      </c>
      <c r="G57" s="25" t="s">
        <v>61</v>
      </c>
      <c r="H57" s="27">
        <v>1000</v>
      </c>
      <c r="I57" s="28" t="s">
        <v>27</v>
      </c>
      <c r="J57" s="27">
        <f t="shared" si="31"/>
        <v>1090</v>
      </c>
      <c r="K57" s="57">
        <f t="shared" si="32"/>
        <v>15.973394495412844</v>
      </c>
      <c r="L57" s="57">
        <f t="shared" si="33"/>
        <v>8.738532110091743</v>
      </c>
      <c r="M57" s="57">
        <f t="shared" si="34"/>
        <v>5.1091743119266058</v>
      </c>
      <c r="N57" s="57">
        <f t="shared" si="35"/>
        <v>2.1256880733944956</v>
      </c>
      <c r="O57" s="49">
        <f t="shared" si="22"/>
        <v>1.5846719160104987</v>
      </c>
      <c r="P57" s="50">
        <f t="shared" si="23"/>
        <v>1.8279265091863517</v>
      </c>
      <c r="Q57" s="101">
        <f t="shared" si="18"/>
        <v>62604.100855780831</v>
      </c>
      <c r="R57" s="101">
        <f t="shared" si="19"/>
        <v>114435.69553805774</v>
      </c>
      <c r="S57" s="51">
        <f>X57+V57+T57</f>
        <v>17411</v>
      </c>
      <c r="T57" s="52">
        <v>9525</v>
      </c>
      <c r="U57" s="60">
        <f t="shared" si="25"/>
        <v>54.706794555166276</v>
      </c>
      <c r="V57" s="52">
        <v>5569</v>
      </c>
      <c r="W57" s="60">
        <f t="shared" si="27"/>
        <v>31.985526391361784</v>
      </c>
      <c r="X57" s="51">
        <v>2317</v>
      </c>
      <c r="Y57" s="102">
        <f t="shared" si="29"/>
        <v>13.307679053471945</v>
      </c>
      <c r="Z57" s="33" t="s">
        <v>5</v>
      </c>
      <c r="AA57" s="5"/>
      <c r="AB57" s="5"/>
      <c r="AC57" s="5"/>
      <c r="AD57" s="5"/>
      <c r="AE57" s="5"/>
      <c r="AF57" s="5"/>
      <c r="AG57" s="5"/>
      <c r="AH57" s="5"/>
      <c r="AK57" s="1"/>
      <c r="AL57" s="1"/>
      <c r="AM57" s="1"/>
      <c r="AN57" s="1"/>
      <c r="AO57" s="1"/>
      <c r="AP57" s="1"/>
      <c r="AQ57" s="1"/>
    </row>
    <row r="58" spans="1:43" ht="16" x14ac:dyDescent="0.2">
      <c r="A58" s="22">
        <v>7</v>
      </c>
      <c r="B58" s="44" t="s">
        <v>113</v>
      </c>
      <c r="C58" s="25" t="s">
        <v>59</v>
      </c>
      <c r="D58" s="45" t="s">
        <v>100</v>
      </c>
      <c r="E58" s="45" t="s">
        <v>13</v>
      </c>
      <c r="F58" s="45" t="s">
        <v>81</v>
      </c>
      <c r="G58" s="45" t="s">
        <v>61</v>
      </c>
      <c r="H58" s="27">
        <v>1000</v>
      </c>
      <c r="I58" s="28" t="s">
        <v>27</v>
      </c>
      <c r="J58" s="27">
        <f t="shared" si="31"/>
        <v>1090</v>
      </c>
      <c r="K58" s="57">
        <f t="shared" si="32"/>
        <v>9.3330275229357795</v>
      </c>
      <c r="L58" s="57">
        <f t="shared" si="33"/>
        <v>2.5293577981651376</v>
      </c>
      <c r="M58" s="57">
        <f t="shared" si="34"/>
        <v>5.5614678899082568</v>
      </c>
      <c r="N58" s="57">
        <f t="shared" si="35"/>
        <v>1.2422018348623853</v>
      </c>
      <c r="O58" s="49">
        <f t="shared" si="22"/>
        <v>3.1987667754805948</v>
      </c>
      <c r="P58" s="50">
        <f t="shared" si="23"/>
        <v>3.689880304678999</v>
      </c>
      <c r="Q58" s="101">
        <f t="shared" si="18"/>
        <v>107146.36783642977</v>
      </c>
      <c r="R58" s="101">
        <f t="shared" si="19"/>
        <v>395357.27239753352</v>
      </c>
      <c r="S58" s="51">
        <f>T58+V58+X58</f>
        <v>10173</v>
      </c>
      <c r="T58" s="52">
        <v>2757</v>
      </c>
      <c r="U58" s="60">
        <f t="shared" si="25"/>
        <v>27.10115010321439</v>
      </c>
      <c r="V58" s="51">
        <v>6062</v>
      </c>
      <c r="W58" s="60">
        <f t="shared" si="27"/>
        <v>59.589108424260303</v>
      </c>
      <c r="X58" s="51">
        <v>1354</v>
      </c>
      <c r="Y58" s="102">
        <f t="shared" si="29"/>
        <v>13.309741472525314</v>
      </c>
      <c r="Z58" s="33" t="s">
        <v>5</v>
      </c>
      <c r="AA58" s="5"/>
      <c r="AB58" s="5"/>
      <c r="AC58" s="5"/>
      <c r="AD58" s="5"/>
      <c r="AE58" s="5"/>
      <c r="AF58" s="5"/>
      <c r="AG58" s="5"/>
      <c r="AH58" s="5"/>
      <c r="AK58" s="1"/>
      <c r="AL58" s="1"/>
      <c r="AM58" s="1"/>
      <c r="AN58" s="1"/>
      <c r="AO58" s="1"/>
      <c r="AP58" s="1"/>
      <c r="AQ58" s="1"/>
    </row>
    <row r="59" spans="1:43" ht="16" x14ac:dyDescent="0.2">
      <c r="A59" s="22">
        <v>7</v>
      </c>
      <c r="B59" s="44" t="s">
        <v>113</v>
      </c>
      <c r="C59" s="25" t="s">
        <v>44</v>
      </c>
      <c r="D59" s="45" t="s">
        <v>37</v>
      </c>
      <c r="E59" s="45" t="s">
        <v>42</v>
      </c>
      <c r="F59" s="25" t="s">
        <v>83</v>
      </c>
      <c r="G59" s="45" t="s">
        <v>65</v>
      </c>
      <c r="H59" s="29" t="s">
        <v>37</v>
      </c>
      <c r="I59" s="28"/>
      <c r="J59" s="27">
        <v>100</v>
      </c>
      <c r="K59" s="46">
        <v>19.2</v>
      </c>
      <c r="L59" s="47">
        <v>2.5</v>
      </c>
      <c r="M59" s="57">
        <v>8.1999999999999993</v>
      </c>
      <c r="N59" s="48">
        <v>8.5</v>
      </c>
      <c r="O59" s="49">
        <f t="shared" si="22"/>
        <v>4.2799999999999994</v>
      </c>
      <c r="P59" s="50">
        <f t="shared" si="23"/>
        <v>7.68</v>
      </c>
      <c r="Q59" s="101">
        <f t="shared" si="18"/>
        <v>52083.333333333336</v>
      </c>
      <c r="R59" s="101">
        <f t="shared" si="19"/>
        <v>400000</v>
      </c>
      <c r="S59" s="51">
        <f>K59*J59</f>
        <v>1920</v>
      </c>
      <c r="T59" s="52">
        <f>L59*J59</f>
        <v>250</v>
      </c>
      <c r="U59" s="60">
        <f t="shared" si="25"/>
        <v>13.020833333333334</v>
      </c>
      <c r="V59" s="52">
        <f>M59*J59</f>
        <v>819.99999999999989</v>
      </c>
      <c r="W59" s="60">
        <f t="shared" si="27"/>
        <v>42.708333333333329</v>
      </c>
      <c r="X59" s="54">
        <f>N59*J59</f>
        <v>850</v>
      </c>
      <c r="Y59" s="102">
        <f t="shared" si="29"/>
        <v>44.270833333333336</v>
      </c>
      <c r="Z59" s="33" t="s">
        <v>5</v>
      </c>
      <c r="AA59" s="5"/>
      <c r="AB59" s="5"/>
      <c r="AC59" s="5"/>
      <c r="AD59" s="5"/>
      <c r="AE59" s="5"/>
      <c r="AF59" s="5"/>
      <c r="AG59" s="5"/>
      <c r="AH59" s="5"/>
      <c r="AK59" s="1"/>
      <c r="AL59" s="1"/>
      <c r="AM59" s="1"/>
      <c r="AN59" s="1"/>
      <c r="AO59" s="1"/>
      <c r="AP59" s="1"/>
      <c r="AQ59" s="1"/>
    </row>
    <row r="60" spans="1:43" ht="16" x14ac:dyDescent="0.2">
      <c r="A60" s="22">
        <v>7</v>
      </c>
      <c r="B60" s="44" t="s">
        <v>113</v>
      </c>
      <c r="C60" s="25" t="s">
        <v>44</v>
      </c>
      <c r="D60" s="45" t="s">
        <v>37</v>
      </c>
      <c r="E60" s="45" t="s">
        <v>43</v>
      </c>
      <c r="F60" s="25" t="s">
        <v>83</v>
      </c>
      <c r="G60" s="45" t="s">
        <v>65</v>
      </c>
      <c r="H60" s="29" t="s">
        <v>37</v>
      </c>
      <c r="I60" s="28"/>
      <c r="J60" s="27">
        <v>100</v>
      </c>
      <c r="K60" s="46">
        <f>L60+M60+N60</f>
        <v>23.3</v>
      </c>
      <c r="L60" s="47">
        <v>2.5</v>
      </c>
      <c r="M60" s="57">
        <v>10.5</v>
      </c>
      <c r="N60" s="48">
        <v>10.3</v>
      </c>
      <c r="O60" s="49">
        <f t="shared" si="22"/>
        <v>5.2</v>
      </c>
      <c r="P60" s="50">
        <f t="shared" si="23"/>
        <v>9.32</v>
      </c>
      <c r="Q60" s="101">
        <f t="shared" si="18"/>
        <v>42918.454935622314</v>
      </c>
      <c r="R60" s="101">
        <f t="shared" si="19"/>
        <v>400000</v>
      </c>
      <c r="S60" s="51">
        <f>K60*J60</f>
        <v>2330</v>
      </c>
      <c r="T60" s="52">
        <f>L60*J60</f>
        <v>250</v>
      </c>
      <c r="U60" s="60">
        <f t="shared" si="25"/>
        <v>10.729613733905579</v>
      </c>
      <c r="V60" s="52">
        <f>M60*J60</f>
        <v>1050</v>
      </c>
      <c r="W60" s="60">
        <f t="shared" si="27"/>
        <v>45.064377682403432</v>
      </c>
      <c r="X60" s="54">
        <f>N60*J60</f>
        <v>1030</v>
      </c>
      <c r="Y60" s="102">
        <f t="shared" si="29"/>
        <v>44.206008583690988</v>
      </c>
      <c r="Z60" s="33" t="s">
        <v>5</v>
      </c>
      <c r="AA60" s="5"/>
      <c r="AB60" s="5"/>
      <c r="AC60" s="5"/>
      <c r="AD60" s="5"/>
      <c r="AE60" s="5"/>
      <c r="AF60" s="5"/>
      <c r="AG60" s="5"/>
      <c r="AH60" s="5"/>
      <c r="AK60" s="1"/>
      <c r="AL60" s="1"/>
      <c r="AM60" s="1"/>
      <c r="AN60" s="1"/>
      <c r="AO60" s="1"/>
      <c r="AP60" s="1"/>
      <c r="AQ60" s="1"/>
    </row>
    <row r="61" spans="1:43" ht="16" x14ac:dyDescent="0.2">
      <c r="A61" s="22">
        <v>7</v>
      </c>
      <c r="B61" s="26" t="s">
        <v>113</v>
      </c>
      <c r="C61" s="45" t="s">
        <v>50</v>
      </c>
      <c r="D61" s="25" t="s">
        <v>37</v>
      </c>
      <c r="E61" s="45" t="s">
        <v>42</v>
      </c>
      <c r="F61" s="25" t="s">
        <v>83</v>
      </c>
      <c r="G61" s="45" t="s">
        <v>65</v>
      </c>
      <c r="H61" s="29" t="s">
        <v>37</v>
      </c>
      <c r="I61" s="28"/>
      <c r="J61" s="27">
        <v>100</v>
      </c>
      <c r="K61" s="57">
        <f>L61+M61+N61</f>
        <v>43.7</v>
      </c>
      <c r="L61" s="57">
        <v>6</v>
      </c>
      <c r="M61" s="57">
        <v>21</v>
      </c>
      <c r="N61" s="48">
        <v>16.7</v>
      </c>
      <c r="O61" s="49">
        <f t="shared" si="22"/>
        <v>4.5</v>
      </c>
      <c r="P61" s="50">
        <f t="shared" si="23"/>
        <v>7.2833333333333341</v>
      </c>
      <c r="Q61" s="101">
        <f t="shared" si="18"/>
        <v>22883.295194508009</v>
      </c>
      <c r="R61" s="101">
        <f t="shared" si="19"/>
        <v>166666.66666666666</v>
      </c>
      <c r="S61" s="51">
        <f>K61*J61</f>
        <v>4370</v>
      </c>
      <c r="T61" s="52">
        <f>L61*J61</f>
        <v>600</v>
      </c>
      <c r="U61" s="60">
        <f t="shared" si="25"/>
        <v>13.729977116704804</v>
      </c>
      <c r="V61" s="52">
        <f>M61*J61</f>
        <v>2100</v>
      </c>
      <c r="W61" s="60">
        <f t="shared" si="27"/>
        <v>48.054919908466815</v>
      </c>
      <c r="X61" s="54">
        <f>N61*J61</f>
        <v>1670</v>
      </c>
      <c r="Y61" s="102">
        <f t="shared" si="29"/>
        <v>38.215102974828376</v>
      </c>
      <c r="Z61" s="33" t="s">
        <v>5</v>
      </c>
      <c r="AA61" s="5"/>
      <c r="AB61" s="5"/>
      <c r="AC61" s="5"/>
      <c r="AD61" s="5"/>
      <c r="AE61" s="5"/>
      <c r="AF61" s="5"/>
      <c r="AG61" s="5"/>
      <c r="AH61" s="5"/>
      <c r="AK61" s="1"/>
      <c r="AL61" s="1"/>
      <c r="AM61" s="1"/>
      <c r="AN61" s="1"/>
      <c r="AO61" s="1"/>
      <c r="AP61" s="1"/>
      <c r="AQ61" s="1"/>
    </row>
    <row r="62" spans="1:43" ht="16" x14ac:dyDescent="0.2">
      <c r="A62" s="22">
        <v>7</v>
      </c>
      <c r="B62" s="26" t="s">
        <v>113</v>
      </c>
      <c r="C62" s="45" t="s">
        <v>50</v>
      </c>
      <c r="D62" s="25" t="s">
        <v>37</v>
      </c>
      <c r="E62" s="45" t="s">
        <v>43</v>
      </c>
      <c r="F62" s="25" t="s">
        <v>83</v>
      </c>
      <c r="G62" s="45" t="s">
        <v>65</v>
      </c>
      <c r="H62" s="29" t="s">
        <v>37</v>
      </c>
      <c r="I62" s="28"/>
      <c r="J62" s="27">
        <v>100</v>
      </c>
      <c r="K62" s="57">
        <f>L62+M62+N62</f>
        <v>40.200000000000003</v>
      </c>
      <c r="L62" s="57">
        <v>6.9</v>
      </c>
      <c r="M62" s="57">
        <v>19.7</v>
      </c>
      <c r="N62" s="48">
        <v>13.6</v>
      </c>
      <c r="O62" s="49">
        <f t="shared" si="22"/>
        <v>3.8550724637681157</v>
      </c>
      <c r="P62" s="50">
        <f t="shared" si="23"/>
        <v>5.8260869565217392</v>
      </c>
      <c r="Q62" s="101">
        <f t="shared" si="18"/>
        <v>24875.621890547263</v>
      </c>
      <c r="R62" s="101">
        <f t="shared" si="19"/>
        <v>144927.53623188406</v>
      </c>
      <c r="S62" s="51">
        <f>K62*J62</f>
        <v>4020.0000000000005</v>
      </c>
      <c r="T62" s="52">
        <f>L62*100</f>
        <v>690</v>
      </c>
      <c r="U62" s="60">
        <f t="shared" si="25"/>
        <v>17.164179104477611</v>
      </c>
      <c r="V62" s="52">
        <f>M62*J62</f>
        <v>1970</v>
      </c>
      <c r="W62" s="60">
        <f t="shared" si="27"/>
        <v>49.004975124378106</v>
      </c>
      <c r="X62" s="54">
        <f>N62*J62</f>
        <v>1360</v>
      </c>
      <c r="Y62" s="102">
        <f t="shared" si="29"/>
        <v>33.830845771144276</v>
      </c>
      <c r="Z62" s="33" t="s">
        <v>5</v>
      </c>
      <c r="AA62" s="5"/>
      <c r="AB62" s="5"/>
      <c r="AC62" s="5"/>
      <c r="AD62" s="5"/>
      <c r="AE62" s="5"/>
      <c r="AF62" s="5"/>
      <c r="AG62" s="5"/>
      <c r="AH62" s="5"/>
      <c r="AK62" s="1"/>
      <c r="AL62" s="1"/>
      <c r="AM62" s="1"/>
      <c r="AN62" s="1"/>
      <c r="AO62" s="1"/>
      <c r="AP62" s="1"/>
      <c r="AQ62" s="1"/>
    </row>
    <row r="63" spans="1:43" ht="16" x14ac:dyDescent="0.2">
      <c r="A63" s="22">
        <v>7</v>
      </c>
      <c r="B63" s="44" t="s">
        <v>113</v>
      </c>
      <c r="C63" s="25" t="s">
        <v>40</v>
      </c>
      <c r="D63" s="28" t="s">
        <v>13</v>
      </c>
      <c r="E63" s="45" t="s">
        <v>33</v>
      </c>
      <c r="F63" s="24" t="s">
        <v>83</v>
      </c>
      <c r="G63" s="45" t="s">
        <v>66</v>
      </c>
      <c r="H63" s="29" t="s">
        <v>37</v>
      </c>
      <c r="I63" s="28"/>
      <c r="J63" s="27">
        <v>100</v>
      </c>
      <c r="K63" s="46">
        <v>17</v>
      </c>
      <c r="L63" s="47"/>
      <c r="M63" s="57"/>
      <c r="N63" s="55"/>
      <c r="O63" s="58"/>
      <c r="P63" s="59"/>
      <c r="Q63" s="101">
        <f t="shared" si="18"/>
        <v>58823.529411764706</v>
      </c>
      <c r="R63" s="101"/>
      <c r="S63" s="51">
        <v>1667</v>
      </c>
      <c r="T63" s="52"/>
      <c r="U63" s="60"/>
      <c r="V63" s="52"/>
      <c r="W63" s="56"/>
      <c r="X63" s="54"/>
      <c r="Y63" s="61"/>
      <c r="Z63" s="32" t="s">
        <v>5</v>
      </c>
      <c r="AA63" s="5"/>
      <c r="AB63" s="5"/>
      <c r="AC63" s="5"/>
      <c r="AD63" s="5"/>
      <c r="AE63" s="5"/>
      <c r="AF63" s="5"/>
      <c r="AG63" s="5"/>
      <c r="AH63" s="5"/>
      <c r="AK63" s="1"/>
      <c r="AL63" s="1"/>
      <c r="AM63" s="1"/>
      <c r="AN63" s="1"/>
      <c r="AO63" s="1"/>
      <c r="AP63" s="1"/>
      <c r="AQ63" s="1"/>
    </row>
    <row r="64" spans="1:43" ht="16" x14ac:dyDescent="0.2">
      <c r="A64" s="22">
        <v>7</v>
      </c>
      <c r="B64" s="44" t="s">
        <v>113</v>
      </c>
      <c r="C64" s="25" t="s">
        <v>40</v>
      </c>
      <c r="D64" s="28" t="s">
        <v>12</v>
      </c>
      <c r="E64" s="45" t="s">
        <v>33</v>
      </c>
      <c r="F64" s="24" t="s">
        <v>83</v>
      </c>
      <c r="G64" s="45" t="s">
        <v>66</v>
      </c>
      <c r="H64" s="29" t="s">
        <v>37</v>
      </c>
      <c r="I64" s="28"/>
      <c r="J64" s="27">
        <v>100</v>
      </c>
      <c r="K64" s="46">
        <v>19</v>
      </c>
      <c r="L64" s="47"/>
      <c r="M64" s="57"/>
      <c r="N64" s="55"/>
      <c r="O64" s="58"/>
      <c r="P64" s="59"/>
      <c r="Q64" s="101">
        <f t="shared" si="18"/>
        <v>52631.57894736842</v>
      </c>
      <c r="R64" s="101"/>
      <c r="S64" s="51">
        <v>1887</v>
      </c>
      <c r="T64" s="52"/>
      <c r="U64" s="60"/>
      <c r="V64" s="52"/>
      <c r="W64" s="56"/>
      <c r="X64" s="54"/>
      <c r="Y64" s="61"/>
      <c r="Z64" s="32" t="s">
        <v>5</v>
      </c>
      <c r="AA64" s="5"/>
      <c r="AB64" s="5"/>
      <c r="AC64" s="5"/>
      <c r="AD64" s="5"/>
      <c r="AE64" s="5"/>
      <c r="AF64" s="5"/>
      <c r="AG64" s="5"/>
      <c r="AH64" s="5"/>
      <c r="AK64" s="1"/>
      <c r="AL64" s="1"/>
      <c r="AM64" s="1"/>
      <c r="AN64" s="1"/>
      <c r="AO64" s="1"/>
      <c r="AP64" s="1"/>
      <c r="AQ64" s="1"/>
    </row>
    <row r="65" spans="1:43" ht="16" x14ac:dyDescent="0.2">
      <c r="A65" s="22">
        <v>7</v>
      </c>
      <c r="B65" s="44" t="s">
        <v>113</v>
      </c>
      <c r="C65" s="25" t="s">
        <v>40</v>
      </c>
      <c r="D65" s="28" t="s">
        <v>38</v>
      </c>
      <c r="E65" s="25" t="s">
        <v>33</v>
      </c>
      <c r="F65" s="24" t="s">
        <v>83</v>
      </c>
      <c r="G65" s="45" t="s">
        <v>66</v>
      </c>
      <c r="H65" s="29" t="s">
        <v>37</v>
      </c>
      <c r="I65" s="28"/>
      <c r="J65" s="27">
        <v>100</v>
      </c>
      <c r="K65" s="46">
        <v>19</v>
      </c>
      <c r="L65" s="47"/>
      <c r="M65" s="57"/>
      <c r="N65" s="55"/>
      <c r="O65" s="58"/>
      <c r="P65" s="59"/>
      <c r="Q65" s="101">
        <f t="shared" si="18"/>
        <v>52631.57894736842</v>
      </c>
      <c r="R65" s="101"/>
      <c r="S65" s="51">
        <v>1923</v>
      </c>
      <c r="T65" s="52"/>
      <c r="U65" s="60"/>
      <c r="V65" s="52"/>
      <c r="W65" s="56"/>
      <c r="X65" s="54"/>
      <c r="Y65" s="61"/>
      <c r="Z65" s="32" t="s">
        <v>5</v>
      </c>
      <c r="AA65" s="5"/>
      <c r="AB65" s="5"/>
      <c r="AC65" s="5"/>
      <c r="AD65" s="5"/>
      <c r="AE65" s="5"/>
      <c r="AF65" s="5"/>
      <c r="AG65" s="5"/>
      <c r="AH65" s="5"/>
      <c r="AK65" s="1"/>
      <c r="AL65" s="1"/>
      <c r="AM65" s="1"/>
      <c r="AN65" s="1"/>
      <c r="AO65" s="1"/>
      <c r="AP65" s="1"/>
      <c r="AQ65" s="1"/>
    </row>
    <row r="66" spans="1:43" ht="16" x14ac:dyDescent="0.2">
      <c r="A66" s="22">
        <v>7</v>
      </c>
      <c r="B66" s="44" t="s">
        <v>113</v>
      </c>
      <c r="C66" s="25" t="s">
        <v>40</v>
      </c>
      <c r="D66" s="28" t="s">
        <v>39</v>
      </c>
      <c r="E66" s="25" t="s">
        <v>33</v>
      </c>
      <c r="F66" s="24" t="s">
        <v>83</v>
      </c>
      <c r="G66" s="45" t="s">
        <v>66</v>
      </c>
      <c r="H66" s="29" t="s">
        <v>37</v>
      </c>
      <c r="I66" s="28"/>
      <c r="J66" s="27">
        <v>100</v>
      </c>
      <c r="K66" s="46">
        <v>20</v>
      </c>
      <c r="L66" s="47"/>
      <c r="M66" s="57"/>
      <c r="N66" s="55"/>
      <c r="O66" s="58"/>
      <c r="P66" s="59"/>
      <c r="Q66" s="101">
        <f t="shared" si="18"/>
        <v>50000</v>
      </c>
      <c r="R66" s="101"/>
      <c r="S66" s="51">
        <v>1961</v>
      </c>
      <c r="T66" s="52"/>
      <c r="U66" s="60"/>
      <c r="V66" s="52"/>
      <c r="W66" s="56"/>
      <c r="X66" s="54"/>
      <c r="Y66" s="61"/>
      <c r="Z66" s="32" t="s">
        <v>5</v>
      </c>
      <c r="AA66" s="5"/>
      <c r="AB66" s="5"/>
      <c r="AC66" s="5"/>
      <c r="AD66" s="5"/>
      <c r="AE66" s="5"/>
      <c r="AF66" s="5"/>
      <c r="AG66" s="5"/>
      <c r="AH66" s="5"/>
      <c r="AK66" s="1"/>
      <c r="AL66" s="1"/>
      <c r="AM66" s="1"/>
      <c r="AN66" s="1"/>
      <c r="AO66" s="1"/>
      <c r="AP66" s="1"/>
      <c r="AQ66" s="1"/>
    </row>
    <row r="67" spans="1:43" ht="16" x14ac:dyDescent="0.2">
      <c r="A67" s="22">
        <v>7</v>
      </c>
      <c r="B67" s="44" t="s">
        <v>113</v>
      </c>
      <c r="C67" s="25" t="s">
        <v>40</v>
      </c>
      <c r="D67" s="45" t="s">
        <v>37</v>
      </c>
      <c r="E67" s="45" t="s">
        <v>43</v>
      </c>
      <c r="F67" s="24" t="s">
        <v>83</v>
      </c>
      <c r="G67" s="45" t="s">
        <v>65</v>
      </c>
      <c r="H67" s="29" t="s">
        <v>37</v>
      </c>
      <c r="I67" s="28"/>
      <c r="J67" s="27">
        <v>100</v>
      </c>
      <c r="K67" s="46">
        <f>L67+M67+N67</f>
        <v>21</v>
      </c>
      <c r="L67" s="47">
        <v>2.2999999999999998</v>
      </c>
      <c r="M67" s="57">
        <v>8.1999999999999993</v>
      </c>
      <c r="N67" s="48">
        <v>10.5</v>
      </c>
      <c r="O67" s="49">
        <f>(L67+M67)/L67</f>
        <v>4.5652173913043486</v>
      </c>
      <c r="P67" s="50">
        <f>K67/L67</f>
        <v>9.1304347826086971</v>
      </c>
      <c r="Q67" s="101">
        <f t="shared" si="18"/>
        <v>47619.047619047618</v>
      </c>
      <c r="R67" s="101">
        <f>1000000/L67</f>
        <v>434782.60869565222</v>
      </c>
      <c r="S67" s="51">
        <f>K67*J67</f>
        <v>2100</v>
      </c>
      <c r="T67" s="52">
        <f>L67*J67</f>
        <v>229.99999999999997</v>
      </c>
      <c r="U67" s="60">
        <f t="shared" ref="U67:U68" si="36">L67*100/K67</f>
        <v>10.952380952380951</v>
      </c>
      <c r="V67" s="52">
        <f>M67*J67</f>
        <v>819.99999999999989</v>
      </c>
      <c r="W67" s="60">
        <f>M67*100/K67</f>
        <v>39.047619047619044</v>
      </c>
      <c r="X67" s="54">
        <f>N67*J67</f>
        <v>1050</v>
      </c>
      <c r="Y67" s="102">
        <f t="shared" ref="Y67:Y68" si="37">N67*100/K67</f>
        <v>50</v>
      </c>
      <c r="Z67" s="32" t="s">
        <v>5</v>
      </c>
      <c r="AA67" s="5"/>
      <c r="AB67" s="5"/>
      <c r="AC67" s="5"/>
      <c r="AD67" s="5"/>
      <c r="AE67" s="5"/>
      <c r="AF67" s="5"/>
      <c r="AG67" s="5"/>
      <c r="AH67" s="5"/>
      <c r="AK67" s="1"/>
      <c r="AL67" s="1"/>
      <c r="AM67" s="1"/>
      <c r="AN67" s="1"/>
      <c r="AO67" s="1"/>
      <c r="AP67" s="1"/>
      <c r="AQ67" s="1"/>
    </row>
    <row r="68" spans="1:43" ht="16" x14ac:dyDescent="0.2">
      <c r="A68" s="22">
        <v>7</v>
      </c>
      <c r="B68" s="44" t="s">
        <v>113</v>
      </c>
      <c r="C68" s="37" t="s">
        <v>41</v>
      </c>
      <c r="D68" s="69" t="s">
        <v>37</v>
      </c>
      <c r="E68" s="69" t="s">
        <v>42</v>
      </c>
      <c r="F68" s="105" t="s">
        <v>83</v>
      </c>
      <c r="G68" s="69" t="s">
        <v>65</v>
      </c>
      <c r="H68" s="106" t="s">
        <v>37</v>
      </c>
      <c r="I68" s="38"/>
      <c r="J68" s="27">
        <v>100</v>
      </c>
      <c r="K68" s="46">
        <v>17.7</v>
      </c>
      <c r="L68" s="47">
        <v>1.9</v>
      </c>
      <c r="M68" s="57">
        <v>7.4</v>
      </c>
      <c r="N68" s="48">
        <v>8.4</v>
      </c>
      <c r="O68" s="49">
        <f>(L68+M68)/L68</f>
        <v>4.8947368421052637</v>
      </c>
      <c r="P68" s="50">
        <f>K68/L68</f>
        <v>9.3157894736842106</v>
      </c>
      <c r="Q68" s="101">
        <f t="shared" si="18"/>
        <v>56497.175141242937</v>
      </c>
      <c r="R68" s="101">
        <f>1000000/L68</f>
        <v>526315.78947368427</v>
      </c>
      <c r="S68" s="51">
        <f>K68*J68</f>
        <v>1770</v>
      </c>
      <c r="T68" s="52">
        <f>J68*L68</f>
        <v>190</v>
      </c>
      <c r="U68" s="60">
        <f t="shared" si="36"/>
        <v>10.734463276836159</v>
      </c>
      <c r="V68" s="52">
        <f>M68*J68</f>
        <v>740</v>
      </c>
      <c r="W68" s="60">
        <f>M68*100/K68</f>
        <v>41.807909604519779</v>
      </c>
      <c r="X68" s="54">
        <f>N68*J68</f>
        <v>840</v>
      </c>
      <c r="Y68" s="102">
        <f t="shared" si="37"/>
        <v>47.457627118644069</v>
      </c>
      <c r="Z68" s="32" t="s">
        <v>5</v>
      </c>
      <c r="AA68" s="5"/>
      <c r="AB68" s="5"/>
      <c r="AC68" s="5"/>
      <c r="AD68" s="5"/>
      <c r="AE68" s="5"/>
      <c r="AF68" s="5"/>
      <c r="AG68" s="5"/>
      <c r="AH68" s="5"/>
      <c r="AK68" s="1"/>
      <c r="AL68" s="1"/>
      <c r="AM68" s="1"/>
      <c r="AN68" s="1"/>
      <c r="AO68" s="1"/>
      <c r="AP68" s="1"/>
      <c r="AQ68" s="1"/>
    </row>
    <row r="69" spans="1:43" ht="16" x14ac:dyDescent="0.2">
      <c r="A69" s="115"/>
      <c r="B69" s="41"/>
      <c r="C69" s="41"/>
      <c r="D69" s="41"/>
      <c r="E69" s="41"/>
      <c r="F69" s="41"/>
      <c r="G69" s="41"/>
      <c r="H69" s="41"/>
      <c r="I69" s="42"/>
      <c r="J69" s="70" t="s">
        <v>108</v>
      </c>
      <c r="K69" s="95">
        <f t="shared" ref="K69:R69" si="38">MAX(K7:K68)</f>
        <v>5676.2191999999995</v>
      </c>
      <c r="L69" s="95">
        <f t="shared" si="38"/>
        <v>2073.2384000000002</v>
      </c>
      <c r="M69" s="95">
        <f t="shared" si="38"/>
        <v>1061.3958333333333</v>
      </c>
      <c r="N69" s="95">
        <f t="shared" si="38"/>
        <v>3296.7672000000002</v>
      </c>
      <c r="O69" s="95">
        <f t="shared" si="38"/>
        <v>5.6724137931034484</v>
      </c>
      <c r="P69" s="95">
        <f t="shared" si="38"/>
        <v>9.6607142857142865</v>
      </c>
      <c r="Q69" s="98">
        <f t="shared" si="38"/>
        <v>201554.85171321622</v>
      </c>
      <c r="R69" s="98">
        <f t="shared" si="38"/>
        <v>1073619.6319018404</v>
      </c>
      <c r="S69" s="113"/>
      <c r="T69" s="113"/>
      <c r="U69" s="110">
        <f t="shared" ref="U69" si="39">MAX(U7:U68)</f>
        <v>68.833333333333329</v>
      </c>
      <c r="V69" s="113"/>
      <c r="W69" s="110">
        <f t="shared" ref="W69" si="40">MAX(W7:W68)</f>
        <v>70.2</v>
      </c>
      <c r="X69" s="113"/>
      <c r="Y69" s="110">
        <f t="shared" ref="Y69" si="41">MAX(Y7:Y68)</f>
        <v>77.983832620066579</v>
      </c>
      <c r="Z69" s="113"/>
      <c r="AA69" s="5"/>
      <c r="AB69" s="5"/>
      <c r="AC69" s="5"/>
      <c r="AD69" s="5"/>
      <c r="AE69" s="5"/>
      <c r="AF69" s="5"/>
      <c r="AG69" s="5"/>
      <c r="AH69" s="5"/>
      <c r="AK69" s="1"/>
      <c r="AL69" s="1"/>
      <c r="AM69" s="1"/>
      <c r="AN69" s="1"/>
      <c r="AO69" s="1"/>
      <c r="AP69" s="1"/>
      <c r="AQ69" s="1"/>
    </row>
    <row r="70" spans="1:43" ht="16" x14ac:dyDescent="0.2">
      <c r="A70" s="115"/>
      <c r="B70" s="39"/>
      <c r="C70" s="39"/>
      <c r="D70" s="40"/>
      <c r="E70" s="40"/>
      <c r="F70" s="40"/>
      <c r="G70" s="40"/>
      <c r="H70" s="40"/>
      <c r="I70" s="43"/>
      <c r="J70" s="70" t="s">
        <v>109</v>
      </c>
      <c r="K70" s="96">
        <f t="shared" ref="K70:R70" si="42">MIN(K7:K68)</f>
        <v>4.9614285714285717</v>
      </c>
      <c r="L70" s="96">
        <f t="shared" si="42"/>
        <v>0.93142857142857138</v>
      </c>
      <c r="M70" s="96">
        <f t="shared" si="42"/>
        <v>2.3857940035940604</v>
      </c>
      <c r="N70" s="96">
        <f t="shared" si="42"/>
        <v>1.0585714285714285</v>
      </c>
      <c r="O70" s="96">
        <f t="shared" si="42"/>
        <v>1.1767032967032967</v>
      </c>
      <c r="P70" s="96">
        <f t="shared" si="42"/>
        <v>1.4751144443362227</v>
      </c>
      <c r="Q70" s="99">
        <f t="shared" si="42"/>
        <v>176.17360513491093</v>
      </c>
      <c r="R70" s="99">
        <f t="shared" si="42"/>
        <v>482.33719769033792</v>
      </c>
      <c r="S70" s="113"/>
      <c r="T70" s="113"/>
      <c r="U70" s="111">
        <f t="shared" ref="U70" si="43">MIN(U7:U68)</f>
        <v>10.351201478743068</v>
      </c>
      <c r="V70" s="113"/>
      <c r="W70" s="111">
        <f t="shared" ref="W70" si="44">MIN(W7:W68)</f>
        <v>6.9243344231667452</v>
      </c>
      <c r="X70" s="113"/>
      <c r="Y70" s="111">
        <f t="shared" ref="Y70" si="45">MIN(Y7:Y68)</f>
        <v>9.1999999999999993</v>
      </c>
      <c r="Z70" s="113"/>
      <c r="AA70" s="5"/>
      <c r="AB70" s="5"/>
      <c r="AC70" s="5"/>
      <c r="AD70" s="5"/>
      <c r="AE70" s="5"/>
      <c r="AF70" s="5"/>
      <c r="AG70" s="5"/>
      <c r="AH70" s="5"/>
      <c r="AK70" s="1"/>
      <c r="AL70" s="1"/>
      <c r="AM70" s="1"/>
      <c r="AN70" s="1"/>
      <c r="AO70" s="1"/>
      <c r="AP70" s="1"/>
      <c r="AQ70" s="1"/>
    </row>
    <row r="71" spans="1:43" ht="16" x14ac:dyDescent="0.2">
      <c r="A71" s="115"/>
      <c r="B71" s="39"/>
      <c r="C71" s="39"/>
      <c r="D71" s="40"/>
      <c r="E71" s="40"/>
      <c r="F71" s="40"/>
      <c r="G71" s="40"/>
      <c r="H71" s="40"/>
      <c r="I71" s="43"/>
      <c r="J71" s="70" t="s">
        <v>42</v>
      </c>
      <c r="K71" s="96">
        <f t="shared" ref="K71:R71" si="46">AVERAGE(K7:K68)</f>
        <v>566.08411358863759</v>
      </c>
      <c r="L71" s="97">
        <f t="shared" si="46"/>
        <v>189.4686011944784</v>
      </c>
      <c r="M71" s="97">
        <f t="shared" si="46"/>
        <v>124.59498483556239</v>
      </c>
      <c r="N71" s="97">
        <f t="shared" si="46"/>
        <v>416.99527630959341</v>
      </c>
      <c r="O71" s="97">
        <f t="shared" si="46"/>
        <v>3.1145842754367155</v>
      </c>
      <c r="P71" s="97">
        <f t="shared" si="46"/>
        <v>5.0509520282715616</v>
      </c>
      <c r="Q71" s="100">
        <f t="shared" si="46"/>
        <v>35659.289198938146</v>
      </c>
      <c r="R71" s="100">
        <f t="shared" si="46"/>
        <v>146559.68751888641</v>
      </c>
      <c r="S71" s="114"/>
      <c r="T71" s="114"/>
      <c r="U71" s="112">
        <f t="shared" ref="U71" si="47">AVERAGE(U7:U68)</f>
        <v>28.864193851195036</v>
      </c>
      <c r="V71" s="114"/>
      <c r="W71" s="112">
        <f t="shared" ref="W71" si="48">AVERAGE(W7:W68)</f>
        <v>39.152905160064186</v>
      </c>
      <c r="X71" s="114"/>
      <c r="Y71" s="112">
        <f t="shared" ref="Y71" si="49">AVERAGE(Y7:Y68)</f>
        <v>32.61338929057117</v>
      </c>
      <c r="Z71" s="114"/>
      <c r="AA71" s="5"/>
      <c r="AB71" s="5"/>
      <c r="AC71" s="5"/>
      <c r="AD71" s="5"/>
      <c r="AE71" s="5"/>
      <c r="AF71" s="5"/>
      <c r="AG71" s="5"/>
      <c r="AH71" s="5"/>
      <c r="AK71" s="1"/>
      <c r="AL71" s="1"/>
      <c r="AM71" s="1"/>
      <c r="AN71" s="1"/>
      <c r="AO71" s="1"/>
      <c r="AP71" s="1"/>
      <c r="AQ71" s="1"/>
    </row>
    <row r="72" spans="1:43" x14ac:dyDescent="0.2">
      <c r="B72" s="71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14"/>
      <c r="T72" s="74"/>
      <c r="U72" s="74"/>
      <c r="V72" s="74"/>
      <c r="W72" s="74"/>
      <c r="X72" s="74"/>
      <c r="Y72" s="74"/>
      <c r="Z72" s="75"/>
      <c r="AA72" s="5"/>
      <c r="AB72" s="5"/>
      <c r="AC72" s="5"/>
      <c r="AD72" s="5"/>
      <c r="AE72" s="5"/>
      <c r="AF72" s="5"/>
      <c r="AG72" s="5"/>
      <c r="AH72" s="5"/>
      <c r="AN72" s="1"/>
      <c r="AO72" s="1"/>
      <c r="AP72" s="1"/>
      <c r="AQ72" s="1"/>
    </row>
    <row r="73" spans="1:43" ht="16" x14ac:dyDescent="0.2">
      <c r="B73" s="71"/>
      <c r="C73" s="72"/>
      <c r="D73" s="76" t="s">
        <v>26</v>
      </c>
      <c r="E73" s="77"/>
      <c r="F73" s="76"/>
      <c r="G73" s="76"/>
      <c r="H73" s="86"/>
      <c r="I73" s="86"/>
      <c r="J73" s="86"/>
      <c r="K73" s="72"/>
      <c r="L73" s="72"/>
      <c r="M73" s="72"/>
      <c r="N73" s="72"/>
      <c r="O73" s="72"/>
      <c r="P73" s="72"/>
      <c r="Q73" s="72"/>
      <c r="R73" s="72"/>
      <c r="S73" s="73"/>
      <c r="T73" s="72"/>
      <c r="U73" s="78"/>
      <c r="V73" s="75"/>
      <c r="W73" s="75"/>
      <c r="X73" s="75"/>
      <c r="Y73" s="75"/>
      <c r="Z73" s="75"/>
      <c r="AA73" s="5"/>
      <c r="AB73" s="5"/>
      <c r="AC73" s="5"/>
      <c r="AD73" s="5"/>
      <c r="AE73" s="5"/>
      <c r="AF73" s="5"/>
      <c r="AG73" s="5"/>
      <c r="AH73" s="5"/>
      <c r="AJ73" s="1"/>
      <c r="AK73" s="1"/>
      <c r="AL73" s="1"/>
      <c r="AM73" s="1"/>
      <c r="AN73" s="1"/>
      <c r="AO73" s="1"/>
      <c r="AP73" s="1"/>
      <c r="AQ73" s="1"/>
    </row>
    <row r="74" spans="1:43" ht="16" x14ac:dyDescent="0.2">
      <c r="B74" s="71"/>
      <c r="C74" s="72"/>
      <c r="D74" s="79" t="s">
        <v>27</v>
      </c>
      <c r="E74" s="80">
        <v>1</v>
      </c>
      <c r="F74" s="76">
        <v>1.0900000000000001</v>
      </c>
      <c r="G74" s="76" t="s">
        <v>28</v>
      </c>
      <c r="H74" s="86"/>
      <c r="I74" s="86"/>
      <c r="J74" s="86"/>
      <c r="K74" s="72"/>
      <c r="L74" s="72"/>
      <c r="M74" s="72"/>
      <c r="N74" s="72"/>
      <c r="O74" s="72"/>
      <c r="P74" s="72"/>
      <c r="Q74" s="72"/>
      <c r="R74" s="72"/>
      <c r="S74" s="73"/>
      <c r="T74" s="72"/>
      <c r="U74" s="78"/>
      <c r="V74" s="72"/>
      <c r="W74" s="72"/>
      <c r="X74" s="72"/>
      <c r="Y74" s="72"/>
      <c r="Z74" s="75"/>
      <c r="AA74" s="5"/>
      <c r="AB74" s="5"/>
      <c r="AC74" s="5"/>
      <c r="AD74" s="5"/>
      <c r="AE74" s="5"/>
      <c r="AF74" s="5"/>
      <c r="AG74" s="5"/>
      <c r="AH74" s="5"/>
      <c r="AJ74" s="1"/>
      <c r="AK74" s="1"/>
      <c r="AL74" s="1"/>
      <c r="AM74" s="1"/>
      <c r="AN74" s="1"/>
      <c r="AO74" s="1"/>
      <c r="AP74" s="1"/>
      <c r="AQ74" s="1"/>
    </row>
    <row r="75" spans="1:43" ht="16" x14ac:dyDescent="0.2">
      <c r="B75" s="71"/>
      <c r="C75" s="72"/>
      <c r="D75" s="79" t="s">
        <v>27</v>
      </c>
      <c r="E75" s="80">
        <v>1</v>
      </c>
      <c r="F75" s="76">
        <v>0.78</v>
      </c>
      <c r="G75" s="76" t="s">
        <v>29</v>
      </c>
      <c r="H75" s="86"/>
      <c r="I75" s="86"/>
      <c r="J75" s="86"/>
      <c r="K75" s="73"/>
      <c r="L75" s="73"/>
      <c r="M75" s="73"/>
      <c r="N75" s="73"/>
      <c r="O75" s="73"/>
      <c r="P75" s="73"/>
      <c r="Q75" s="73"/>
      <c r="R75" s="73"/>
      <c r="S75" s="73"/>
      <c r="T75" s="72"/>
      <c r="U75" s="78"/>
      <c r="V75" s="72"/>
      <c r="W75" s="72"/>
      <c r="X75" s="72"/>
      <c r="Y75" s="72"/>
      <c r="Z75" s="72"/>
      <c r="AA75" s="5"/>
      <c r="AB75" s="5"/>
      <c r="AC75" s="5"/>
      <c r="AD75" s="5"/>
      <c r="AE75" s="5"/>
      <c r="AF75" s="5"/>
      <c r="AG75" s="5"/>
      <c r="AH75" s="5"/>
      <c r="AJ75" s="1"/>
      <c r="AK75" s="1"/>
      <c r="AL75" s="1"/>
      <c r="AM75" s="1"/>
      <c r="AN75" s="1"/>
      <c r="AO75" s="1"/>
      <c r="AP75" s="1"/>
      <c r="AQ75" s="1"/>
    </row>
    <row r="76" spans="1:43" ht="16" x14ac:dyDescent="0.2">
      <c r="B76" s="71"/>
      <c r="C76" s="72"/>
      <c r="D76" s="79" t="s">
        <v>28</v>
      </c>
      <c r="E76" s="80">
        <v>1</v>
      </c>
      <c r="F76" s="81">
        <f>F75/F74</f>
        <v>0.71559633027522929</v>
      </c>
      <c r="G76" s="76" t="s">
        <v>29</v>
      </c>
      <c r="H76" s="86"/>
      <c r="I76" s="86"/>
      <c r="J76" s="86"/>
      <c r="K76" s="73"/>
      <c r="L76" s="73"/>
      <c r="M76" s="73"/>
      <c r="N76" s="73"/>
      <c r="O76" s="73"/>
      <c r="P76" s="73"/>
      <c r="Q76" s="73"/>
      <c r="R76" s="73"/>
      <c r="S76" s="73"/>
      <c r="T76" s="72"/>
      <c r="U76" s="72"/>
      <c r="V76" s="72"/>
      <c r="W76" s="72"/>
      <c r="X76" s="72"/>
      <c r="Y76" s="72"/>
      <c r="Z76" s="72"/>
      <c r="AC76" s="5"/>
      <c r="AD76" s="5"/>
      <c r="AE76" s="5"/>
      <c r="AF76" s="5"/>
      <c r="AG76" s="5"/>
      <c r="AH76" s="5"/>
      <c r="AL76" s="1"/>
      <c r="AM76" s="1"/>
      <c r="AN76" s="1"/>
      <c r="AO76" s="1"/>
      <c r="AP76" s="1"/>
      <c r="AQ76" s="1"/>
    </row>
    <row r="77" spans="1:43" ht="16" x14ac:dyDescent="0.2">
      <c r="B77" s="71"/>
      <c r="C77" s="72"/>
      <c r="D77" s="79" t="s">
        <v>28</v>
      </c>
      <c r="E77" s="80">
        <v>1</v>
      </c>
      <c r="F77" s="81">
        <v>66.28</v>
      </c>
      <c r="G77" s="76" t="s">
        <v>34</v>
      </c>
      <c r="H77" s="86"/>
      <c r="I77" s="86"/>
      <c r="J77" s="86"/>
      <c r="K77" s="73"/>
      <c r="L77" s="73"/>
      <c r="M77" s="73"/>
      <c r="N77" s="73"/>
      <c r="O77" s="73"/>
      <c r="P77" s="73"/>
      <c r="Q77" s="73"/>
      <c r="R77" s="73"/>
      <c r="S77" s="73"/>
      <c r="T77" s="72"/>
      <c r="U77" s="72"/>
      <c r="V77" s="72"/>
      <c r="W77" s="72"/>
      <c r="X77" s="72"/>
      <c r="Y77" s="72"/>
      <c r="Z77" s="72"/>
      <c r="AC77" s="5"/>
      <c r="AD77" s="5"/>
      <c r="AE77" s="5"/>
      <c r="AF77" s="5"/>
      <c r="AG77" s="5"/>
      <c r="AH77" s="5"/>
      <c r="AL77" s="1"/>
      <c r="AM77" s="1"/>
      <c r="AN77" s="1"/>
      <c r="AO77" s="1"/>
      <c r="AP77" s="1"/>
      <c r="AQ77" s="1"/>
    </row>
    <row r="78" spans="1:43" ht="17" thickBot="1" x14ac:dyDescent="0.25">
      <c r="B78" s="71"/>
      <c r="C78" s="72"/>
      <c r="D78" s="88" t="s">
        <v>28</v>
      </c>
      <c r="E78" s="89">
        <v>1</v>
      </c>
      <c r="F78" s="90">
        <v>1.356E-3</v>
      </c>
      <c r="G78" s="91" t="s">
        <v>60</v>
      </c>
      <c r="H78" s="87"/>
      <c r="I78" s="87"/>
      <c r="J78" s="87"/>
      <c r="K78" s="82"/>
      <c r="L78" s="82"/>
      <c r="M78" s="82"/>
      <c r="N78" s="82"/>
      <c r="O78" s="82"/>
      <c r="P78" s="82"/>
      <c r="Q78" s="82"/>
      <c r="R78" s="82"/>
      <c r="S78" s="73"/>
      <c r="T78" s="72"/>
      <c r="U78" s="72"/>
      <c r="V78" s="72"/>
      <c r="W78" s="72"/>
      <c r="X78" s="72"/>
      <c r="Y78" s="72"/>
      <c r="Z78" s="72"/>
      <c r="AC78" s="5"/>
      <c r="AD78" s="5"/>
      <c r="AE78" s="5"/>
      <c r="AF78" s="5"/>
      <c r="AG78" s="5"/>
      <c r="AH78" s="5"/>
      <c r="AL78" s="1"/>
      <c r="AM78" s="1"/>
      <c r="AN78" s="1"/>
      <c r="AO78" s="1"/>
      <c r="AP78" s="1"/>
      <c r="AQ78" s="1"/>
    </row>
    <row r="79" spans="1:43" ht="33" thickBot="1" x14ac:dyDescent="0.25">
      <c r="B79" s="71"/>
      <c r="C79" s="104" t="s">
        <v>124</v>
      </c>
      <c r="D79" s="103" t="s">
        <v>28</v>
      </c>
      <c r="E79" s="92">
        <v>1</v>
      </c>
      <c r="F79" s="93">
        <v>1</v>
      </c>
      <c r="G79" s="94" t="s">
        <v>123</v>
      </c>
      <c r="H79" s="72"/>
      <c r="I79" s="72"/>
      <c r="J79" s="72"/>
      <c r="K79" s="73"/>
      <c r="L79" s="73"/>
      <c r="M79" s="73"/>
      <c r="N79" s="73"/>
      <c r="O79" s="73"/>
      <c r="P79" s="73"/>
      <c r="Q79" s="73"/>
      <c r="R79" s="73"/>
      <c r="S79" s="73"/>
      <c r="T79" s="72"/>
      <c r="U79" s="72"/>
      <c r="V79" s="72"/>
      <c r="W79" s="72"/>
      <c r="X79" s="72"/>
      <c r="Y79" s="72"/>
      <c r="Z79" s="72"/>
      <c r="AF79" s="5"/>
      <c r="AG79" s="5"/>
      <c r="AH79" s="5"/>
      <c r="AO79" s="1"/>
      <c r="AP79" s="1"/>
      <c r="AQ79" s="1"/>
    </row>
    <row r="80" spans="1:43" ht="33" thickBot="1" x14ac:dyDescent="0.25">
      <c r="B80" s="71"/>
      <c r="C80" s="104" t="s">
        <v>125</v>
      </c>
      <c r="D80" s="103" t="s">
        <v>28</v>
      </c>
      <c r="E80" s="92">
        <v>1</v>
      </c>
      <c r="F80" s="93">
        <v>1</v>
      </c>
      <c r="G80" s="94" t="s">
        <v>123</v>
      </c>
      <c r="H80" s="72"/>
      <c r="I80" s="72"/>
      <c r="J80" s="72"/>
      <c r="K80" s="73"/>
      <c r="L80" s="73"/>
      <c r="M80" s="73"/>
      <c r="N80" s="73"/>
      <c r="O80" s="73"/>
      <c r="P80" s="73"/>
      <c r="Q80" s="73"/>
      <c r="R80" s="73"/>
      <c r="S80" s="73"/>
      <c r="T80" s="72"/>
      <c r="U80" s="72"/>
      <c r="V80" s="72"/>
      <c r="W80" s="72"/>
      <c r="X80" s="72"/>
      <c r="Y80" s="72"/>
      <c r="Z80" s="72"/>
      <c r="AG80" s="5"/>
      <c r="AH80" s="5"/>
      <c r="AP80" s="1"/>
      <c r="AQ80" s="1"/>
    </row>
    <row r="81" spans="2:43" x14ac:dyDescent="0.2"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83"/>
      <c r="T81" s="72"/>
      <c r="U81" s="72"/>
      <c r="V81" s="72"/>
      <c r="W81" s="72"/>
      <c r="X81" s="72"/>
      <c r="Y81" s="72"/>
      <c r="Z81" s="72"/>
      <c r="AG81" s="5"/>
      <c r="AH81" s="5"/>
      <c r="AP81" s="1"/>
      <c r="AQ81" s="1"/>
    </row>
    <row r="82" spans="2:43" x14ac:dyDescent="0.2"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15"/>
      <c r="AG82" s="5"/>
      <c r="AH82" s="5"/>
      <c r="AP82" s="1"/>
      <c r="AQ82" s="1"/>
    </row>
    <row r="83" spans="2:43" x14ac:dyDescent="0.2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AG83" s="5"/>
      <c r="AH83" s="5"/>
      <c r="AP83" s="1"/>
      <c r="AQ83" s="1"/>
    </row>
    <row r="84" spans="2:43" ht="16" x14ac:dyDescent="0.2">
      <c r="C84" s="9"/>
      <c r="D84" s="10"/>
      <c r="E84" s="11"/>
      <c r="F84" s="11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AG84" s="5"/>
      <c r="AH84" s="5"/>
      <c r="AP84" s="1"/>
      <c r="AQ84" s="1"/>
    </row>
    <row r="85" spans="2:43" x14ac:dyDescent="0.2">
      <c r="C85" s="9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AG85" s="5"/>
      <c r="AH85" s="5"/>
      <c r="AP85" s="1"/>
      <c r="AQ85" s="1"/>
    </row>
    <row r="86" spans="2:43" ht="16" x14ac:dyDescent="0.2">
      <c r="C86" s="9"/>
      <c r="D86" s="10"/>
      <c r="E86" s="11"/>
      <c r="F86" s="11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AG86" s="5"/>
      <c r="AH86" s="5"/>
      <c r="AP86" s="1"/>
      <c r="AQ86" s="1"/>
    </row>
    <row r="87" spans="2:43" ht="16" x14ac:dyDescent="0.2">
      <c r="C87" s="9"/>
      <c r="D87" s="10"/>
      <c r="E87" s="11"/>
      <c r="F87" s="11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AG87" s="5"/>
      <c r="AH87" s="5"/>
      <c r="AP87" s="1"/>
      <c r="AQ87" s="1"/>
    </row>
    <row r="88" spans="2:43" x14ac:dyDescent="0.2">
      <c r="C88" s="9"/>
      <c r="D88" s="9"/>
      <c r="E88" s="9"/>
      <c r="F88" s="9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AG88" s="5"/>
      <c r="AH88" s="5"/>
      <c r="AP88" s="1"/>
      <c r="AQ88" s="1"/>
    </row>
    <row r="89" spans="2:43" x14ac:dyDescent="0.2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AH89" s="5"/>
      <c r="AQ89" s="1"/>
    </row>
    <row r="90" spans="2:43" x14ac:dyDescent="0.2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AH90" s="5"/>
      <c r="AQ90" s="1"/>
    </row>
    <row r="91" spans="2:43" x14ac:dyDescent="0.2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AH91" s="5"/>
      <c r="AQ91" s="1"/>
    </row>
    <row r="92" spans="2:43" x14ac:dyDescent="0.2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AH92" s="5"/>
      <c r="AQ92" s="1"/>
    </row>
    <row r="93" spans="2:43" x14ac:dyDescent="0.2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AH93" s="5"/>
      <c r="AQ93" s="1"/>
    </row>
    <row r="94" spans="2:43" x14ac:dyDescent="0.2">
      <c r="C94" s="9"/>
      <c r="D94" s="9"/>
      <c r="E94" s="9"/>
      <c r="F94" s="13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AH94" s="5"/>
      <c r="AQ94" s="1"/>
    </row>
    <row r="95" spans="2:43" x14ac:dyDescent="0.2">
      <c r="C95" s="9"/>
      <c r="D95" s="9"/>
      <c r="E95" s="9"/>
      <c r="F95" s="13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AH95" s="5"/>
      <c r="AQ95" s="1"/>
    </row>
    <row r="96" spans="2:43" x14ac:dyDescent="0.2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AH96" s="5"/>
      <c r="AQ96" s="1"/>
    </row>
    <row r="97" spans="3:43" x14ac:dyDescent="0.2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AH97" s="5"/>
      <c r="AQ97" s="1"/>
    </row>
    <row r="98" spans="3:43" x14ac:dyDescent="0.2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AH98" s="5"/>
      <c r="AQ98" s="1"/>
    </row>
    <row r="99" spans="3:43" x14ac:dyDescent="0.2">
      <c r="AH99" s="5"/>
      <c r="AQ99" s="1"/>
    </row>
    <row r="100" spans="3:43" x14ac:dyDescent="0.2">
      <c r="AH100" s="5"/>
      <c r="AQ100" s="1"/>
    </row>
    <row r="101" spans="3:43" x14ac:dyDescent="0.2">
      <c r="AH101" s="5"/>
      <c r="AQ101" s="1"/>
    </row>
    <row r="102" spans="3:43" x14ac:dyDescent="0.2">
      <c r="AH102" s="5"/>
      <c r="AQ102" s="1"/>
    </row>
    <row r="103" spans="3:43" x14ac:dyDescent="0.2">
      <c r="AH103" s="5"/>
      <c r="AQ103" s="1"/>
    </row>
    <row r="104" spans="3:43" x14ac:dyDescent="0.2">
      <c r="AH104" s="5"/>
      <c r="AQ104" s="1"/>
    </row>
  </sheetData>
  <sortState xmlns:xlrd2="http://schemas.microsoft.com/office/spreadsheetml/2017/richdata2" ref="A7:Z65">
    <sortCondition ref="A7:A65"/>
    <sortCondition ref="C7:C65"/>
  </sortState>
  <mergeCells count="7">
    <mergeCell ref="D1:X1"/>
    <mergeCell ref="AC5:AD5"/>
    <mergeCell ref="B2:M2"/>
    <mergeCell ref="B3:M3"/>
    <mergeCell ref="B5:J5"/>
    <mergeCell ref="K5:R5"/>
    <mergeCell ref="S5:Z5"/>
  </mergeCells>
  <pageMargins left="0.51181102362204722" right="0.51181102362204722" top="0.74803149606299213" bottom="0.74803149606299213" header="0.31496062992125984" footer="0.31496062992125984"/>
  <pageSetup paperSize="9" scale="22" orientation="landscape" r:id="rId1"/>
  <headerFooter>
    <oddHeader>&amp;F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Aston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Kirit Vaidya</dc:creator>
  <cp:lastModifiedBy>Microsoft Office User</cp:lastModifiedBy>
  <cp:lastPrinted>2016-03-10T09:58:43Z</cp:lastPrinted>
  <dcterms:created xsi:type="dcterms:W3CDTF">2015-11-20T09:59:39Z</dcterms:created>
  <dcterms:modified xsi:type="dcterms:W3CDTF">2020-04-02T15:37:06Z</dcterms:modified>
</cp:coreProperties>
</file>