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fileSharing readOnlyRecommended="1" userName="Microsoft Office User" algorithmName="SHA-512" hashValue="sdp2jtF3tQb+2sW1HS854d7RaUg3BEvfQ7vjks8DMdBF268sMuM5WNSjd0lmiQyd6r+siH/H1ynuhJH2kfpxKQ==" saltValue="uoHbJ0dM3YmndtJqKNFWCA==" spinCount="100000"/>
  <workbookPr showInkAnnotation="0" autoCompressPictures="0"/>
  <mc:AlternateContent xmlns:mc="http://schemas.openxmlformats.org/markup-compatibility/2006">
    <mc:Choice Requires="x15">
      <x15ac:absPath xmlns:x15ac="http://schemas.microsoft.com/office/spreadsheetml/2010/11/ac" url="/Users/ostap/Documents/ILO/Strengthen/Latest/"/>
    </mc:Choice>
  </mc:AlternateContent>
  <xr:revisionPtr revIDLastSave="0" documentId="13_ncr:1_{315F5C64-0612-AE49-AD01-1FB3E8B1F44E}" xr6:coauthVersionLast="45" xr6:coauthVersionMax="45" xr10:uidLastSave="{00000000-0000-0000-0000-000000000000}"/>
  <bookViews>
    <workbookView xWindow="0" yWindow="460" windowWidth="23320" windowHeight="15140" tabRatio="500" xr2:uid="{00000000-000D-0000-FFFF-FFFF00000000}"/>
  </bookViews>
  <sheets>
    <sheet name="Updated MENA&amp;SAfrica-only"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5" i="2" l="1"/>
  <c r="K57" i="2"/>
  <c r="AK47" i="2" l="1"/>
  <c r="AJ35" i="2" l="1"/>
  <c r="Z35" i="2"/>
  <c r="M35" i="2"/>
  <c r="AK35" i="2" s="1"/>
  <c r="K35" i="2"/>
  <c r="AF35" i="2" s="1"/>
  <c r="AJ36" i="2"/>
  <c r="Z36" i="2"/>
  <c r="M36" i="2"/>
  <c r="AK36" i="2" s="1"/>
  <c r="K36" i="2"/>
  <c r="AE36" i="2" s="1"/>
  <c r="AJ37" i="2"/>
  <c r="AF37" i="2"/>
  <c r="AE37" i="2"/>
  <c r="Z37" i="2"/>
  <c r="Y37" i="2"/>
  <c r="N37" i="2"/>
  <c r="M37" i="2"/>
  <c r="AK37" i="2" s="1"/>
  <c r="AJ38" i="2"/>
  <c r="Z38" i="2"/>
  <c r="AF38" i="2"/>
  <c r="AE38" i="2"/>
  <c r="Y38" i="2"/>
  <c r="N38" i="2"/>
  <c r="M38" i="2"/>
  <c r="AK38" i="2" s="1"/>
  <c r="AJ39" i="2"/>
  <c r="AJ40" i="2"/>
  <c r="Z39" i="2"/>
  <c r="Z40" i="2"/>
  <c r="M40" i="2"/>
  <c r="AK40" i="2" s="1"/>
  <c r="M39" i="2"/>
  <c r="AK39" i="2" s="1"/>
  <c r="N40" i="2"/>
  <c r="K40" i="2" s="1"/>
  <c r="N39" i="2"/>
  <c r="K39" i="2" s="1"/>
  <c r="AJ41" i="2"/>
  <c r="M41" i="2"/>
  <c r="AK41" i="2" s="1"/>
  <c r="N41" i="2"/>
  <c r="K41" i="2"/>
  <c r="AF41" i="2" s="1"/>
  <c r="AJ42" i="2"/>
  <c r="Z44" i="2"/>
  <c r="M42" i="2"/>
  <c r="AK42" i="2" s="1"/>
  <c r="N42" i="2"/>
  <c r="K42" i="2" s="1"/>
  <c r="O44" i="2"/>
  <c r="N44" i="2"/>
  <c r="M44" i="2"/>
  <c r="AK44" i="2" s="1"/>
  <c r="AJ44" i="2"/>
  <c r="AH44" i="2"/>
  <c r="AH45" i="2"/>
  <c r="Q43" i="2"/>
  <c r="O43" i="2"/>
  <c r="N43" i="2"/>
  <c r="M43" i="2"/>
  <c r="Y41" i="2" l="1"/>
  <c r="O38" i="2"/>
  <c r="N36" i="2"/>
  <c r="AJ43" i="2"/>
  <c r="AK43" i="2"/>
  <c r="Y36" i="2"/>
  <c r="AH43" i="2"/>
  <c r="AF36" i="2"/>
  <c r="N35" i="2"/>
  <c r="Y35" i="2"/>
  <c r="AE35" i="2"/>
  <c r="O37" i="2"/>
  <c r="AE39" i="2"/>
  <c r="Y39" i="2"/>
  <c r="AF39" i="2"/>
  <c r="AF40" i="2"/>
  <c r="AE40" i="2"/>
  <c r="Y40" i="2"/>
  <c r="AE41" i="2"/>
  <c r="AJ45" i="2"/>
  <c r="AJ46" i="2"/>
  <c r="AF42" i="2"/>
  <c r="AF43" i="2"/>
  <c r="AF44" i="2"/>
  <c r="AF45" i="2"/>
  <c r="AE42" i="2"/>
  <c r="AE43" i="2"/>
  <c r="AE44" i="2"/>
  <c r="AE45" i="2"/>
  <c r="Z42" i="2"/>
  <c r="Z43" i="2"/>
  <c r="Z45" i="2"/>
  <c r="Y42" i="2"/>
  <c r="Y43" i="2"/>
  <c r="AI43" i="2" s="1"/>
  <c r="Y44" i="2"/>
  <c r="AI44" i="2" s="1"/>
  <c r="Y45" i="2"/>
  <c r="AI45" i="2" s="1"/>
  <c r="O45" i="2"/>
  <c r="N45" i="2"/>
  <c r="M45" i="2"/>
  <c r="AK45" i="2" s="1"/>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41" i="2"/>
  <c r="Z46" i="2"/>
  <c r="Z47" i="2"/>
  <c r="Z6" i="2"/>
  <c r="Y47" i="2"/>
  <c r="Y7" i="2"/>
  <c r="Y8" i="2"/>
  <c r="Y9" i="2"/>
  <c r="Y10" i="2"/>
  <c r="Y11" i="2"/>
  <c r="Y12" i="2"/>
  <c r="Y14" i="2"/>
  <c r="Y15" i="2"/>
  <c r="Y16" i="2"/>
  <c r="Y17" i="2"/>
  <c r="Y18" i="2"/>
  <c r="Y19" i="2"/>
  <c r="Y20" i="2"/>
  <c r="Y21" i="2"/>
  <c r="Y22" i="2"/>
  <c r="Y23" i="2"/>
  <c r="Y26" i="2"/>
  <c r="Y27" i="2"/>
  <c r="Y28" i="2"/>
  <c r="Y29" i="2"/>
  <c r="Y30" i="2"/>
  <c r="Y31" i="2"/>
  <c r="Y32" i="2"/>
  <c r="Y33" i="2"/>
  <c r="Y34" i="2"/>
  <c r="Y6" i="2"/>
  <c r="M46" i="2"/>
  <c r="AK46" i="2" s="1"/>
  <c r="K46" i="2"/>
  <c r="AF46" i="2" s="1"/>
  <c r="AJ47" i="2"/>
  <c r="AF47" i="2"/>
  <c r="AE47" i="2"/>
  <c r="M7" i="2"/>
  <c r="N7" i="2"/>
  <c r="AK7" i="2" s="1"/>
  <c r="AJ7" i="2"/>
  <c r="AJ8" i="2"/>
  <c r="AJ9" i="2"/>
  <c r="AJ10" i="2"/>
  <c r="AJ11" i="2"/>
  <c r="AJ12" i="2"/>
  <c r="AJ13" i="2"/>
  <c r="AJ15" i="2"/>
  <c r="AJ16" i="2"/>
  <c r="AJ17" i="2"/>
  <c r="AJ18" i="2"/>
  <c r="AJ19" i="2"/>
  <c r="AJ20" i="2"/>
  <c r="AJ21" i="2"/>
  <c r="AJ22" i="2"/>
  <c r="AJ23" i="2"/>
  <c r="AJ26" i="2"/>
  <c r="AJ27" i="2"/>
  <c r="AJ28" i="2"/>
  <c r="AJ29" i="2"/>
  <c r="AJ30" i="2"/>
  <c r="AJ31" i="2"/>
  <c r="AJ32" i="2"/>
  <c r="AJ33" i="2"/>
  <c r="AJ34" i="2"/>
  <c r="AJ48" i="2"/>
  <c r="AJ49" i="2"/>
  <c r="AJ6" i="2"/>
  <c r="AF7" i="2"/>
  <c r="AF8" i="2"/>
  <c r="AF9" i="2"/>
  <c r="AF10" i="2"/>
  <c r="AF11" i="2"/>
  <c r="AF12" i="2"/>
  <c r="AF14" i="2"/>
  <c r="AF15" i="2"/>
  <c r="AF16" i="2"/>
  <c r="AF17" i="2"/>
  <c r="AF18" i="2"/>
  <c r="AF19" i="2"/>
  <c r="AF20" i="2"/>
  <c r="AF21" i="2"/>
  <c r="AF22" i="2"/>
  <c r="AF23" i="2"/>
  <c r="AF26" i="2"/>
  <c r="AF27" i="2"/>
  <c r="AF28" i="2"/>
  <c r="AF29" i="2"/>
  <c r="AF30" i="2"/>
  <c r="AF31" i="2"/>
  <c r="AF32" i="2"/>
  <c r="AF33" i="2"/>
  <c r="AF34" i="2"/>
  <c r="AF48" i="2"/>
  <c r="AF49" i="2"/>
  <c r="AF6" i="2"/>
  <c r="AE7" i="2"/>
  <c r="AE8" i="2"/>
  <c r="AE9" i="2"/>
  <c r="AE10" i="2"/>
  <c r="AE11" i="2"/>
  <c r="AE12" i="2"/>
  <c r="AE15" i="2"/>
  <c r="AE16" i="2"/>
  <c r="AE17" i="2"/>
  <c r="AE18" i="2"/>
  <c r="AE19" i="2"/>
  <c r="AE20" i="2"/>
  <c r="AE21" i="2"/>
  <c r="AE22" i="2"/>
  <c r="AE23" i="2"/>
  <c r="AE26" i="2"/>
  <c r="AE27" i="2"/>
  <c r="AE28" i="2"/>
  <c r="AE29" i="2"/>
  <c r="AE30" i="2"/>
  <c r="AE31" i="2"/>
  <c r="AE32" i="2"/>
  <c r="AE33" i="2"/>
  <c r="AE34" i="2"/>
  <c r="AE48" i="2"/>
  <c r="AE49" i="2"/>
  <c r="AE6" i="2"/>
  <c r="AE46" i="2" l="1"/>
  <c r="Y46" i="2"/>
  <c r="N46" i="2"/>
  <c r="O7" i="2"/>
  <c r="N34" i="2"/>
  <c r="AK34" i="2" s="1"/>
  <c r="M34" i="2"/>
  <c r="N33" i="2"/>
  <c r="AK33" i="2" s="1"/>
  <c r="M33" i="2"/>
  <c r="N32" i="2"/>
  <c r="AK32" i="2" s="1"/>
  <c r="M32" i="2"/>
  <c r="N31" i="2"/>
  <c r="AK31" i="2" s="1"/>
  <c r="M31" i="2"/>
  <c r="N30" i="2"/>
  <c r="AK30" i="2" s="1"/>
  <c r="M30" i="2"/>
  <c r="N29" i="2"/>
  <c r="AK29" i="2" s="1"/>
  <c r="M29" i="2"/>
  <c r="N28" i="2"/>
  <c r="AK28" i="2" s="1"/>
  <c r="M28" i="2"/>
  <c r="N27" i="2"/>
  <c r="M27" i="2"/>
  <c r="N26" i="2"/>
  <c r="M26" i="2"/>
  <c r="I25" i="2"/>
  <c r="K24" i="2"/>
  <c r="Y24" i="2" s="1"/>
  <c r="I24" i="2"/>
  <c r="N23" i="2"/>
  <c r="M23" i="2"/>
  <c r="N22" i="2"/>
  <c r="AK22" i="2" s="1"/>
  <c r="M22" i="2"/>
  <c r="N21" i="2"/>
  <c r="M21" i="2"/>
  <c r="N20" i="2"/>
  <c r="AK20" i="2" s="1"/>
  <c r="M20" i="2"/>
  <c r="N19" i="2"/>
  <c r="AK19" i="2" s="1"/>
  <c r="M19" i="2"/>
  <c r="N18" i="2"/>
  <c r="AK18" i="2" s="1"/>
  <c r="M18" i="2"/>
  <c r="N17" i="2"/>
  <c r="M17" i="2"/>
  <c r="W16" i="2"/>
  <c r="N16" i="2"/>
  <c r="AK16" i="2" s="1"/>
  <c r="M16" i="2"/>
  <c r="W15" i="2"/>
  <c r="N15" i="2"/>
  <c r="M15" i="2"/>
  <c r="W14" i="2"/>
  <c r="N14" i="2"/>
  <c r="AK14" i="2" s="1"/>
  <c r="I14" i="2"/>
  <c r="M13" i="2"/>
  <c r="W12" i="2"/>
  <c r="M12" i="2"/>
  <c r="W11" i="2"/>
  <c r="N11" i="2"/>
  <c r="M11" i="2"/>
  <c r="N10" i="2"/>
  <c r="AK10" i="2" s="1"/>
  <c r="M10" i="2"/>
  <c r="N9" i="2"/>
  <c r="M9" i="2"/>
  <c r="N8" i="2"/>
  <c r="AK8" i="2" s="1"/>
  <c r="M8" i="2"/>
  <c r="W7" i="2"/>
  <c r="W6" i="2"/>
  <c r="N6" i="2"/>
  <c r="AK6" i="2" s="1"/>
  <c r="M6" i="2"/>
  <c r="O20" i="2" l="1"/>
  <c r="O16" i="2"/>
  <c r="O15" i="2"/>
  <c r="AK15" i="2"/>
  <c r="O11" i="2"/>
  <c r="AK11" i="2"/>
  <c r="AF24" i="2"/>
  <c r="AE24" i="2"/>
  <c r="O26" i="2"/>
  <c r="AK26" i="2"/>
  <c r="O9" i="2"/>
  <c r="AK9" i="2"/>
  <c r="M14" i="2"/>
  <c r="M48" i="2" s="1"/>
  <c r="AE14" i="2"/>
  <c r="AJ14" i="2"/>
  <c r="M25" i="2"/>
  <c r="AJ25" i="2"/>
  <c r="O27" i="2"/>
  <c r="AK27" i="2"/>
  <c r="M24" i="2"/>
  <c r="AJ24" i="2"/>
  <c r="O17" i="2"/>
  <c r="AK17" i="2"/>
  <c r="O8" i="2"/>
  <c r="O18" i="2"/>
  <c r="O19" i="2"/>
  <c r="O21" i="2"/>
  <c r="AK21" i="2"/>
  <c r="O23" i="2"/>
  <c r="AK23" i="2"/>
  <c r="N12" i="2"/>
  <c r="N24" i="2"/>
  <c r="O22" i="2"/>
  <c r="K25" i="2"/>
  <c r="Y25" i="2" s="1"/>
  <c r="M49" i="2"/>
  <c r="O6" i="2"/>
  <c r="O10" i="2"/>
  <c r="O14" i="2" l="1"/>
  <c r="AF25" i="2"/>
  <c r="AE25" i="2"/>
  <c r="O12" i="2"/>
  <c r="O49" i="2" s="1"/>
  <c r="AK12" i="2"/>
  <c r="O24" i="2"/>
  <c r="AK24" i="2"/>
  <c r="N25" i="2"/>
  <c r="N49" i="2"/>
  <c r="AK49" i="2" s="1"/>
  <c r="N48" i="2"/>
  <c r="AK48" i="2" s="1"/>
  <c r="O48" i="2" l="1"/>
  <c r="O25" i="2"/>
  <c r="AK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isa-template</author>
    <author>Shereen Alabbadi</author>
    <author>Lieuw-Kie-Song, Maikel R.</author>
  </authors>
  <commentList>
    <comment ref="O7" authorId="0" shapeId="0" xr:uid="{00000000-0006-0000-0000-000001000000}">
      <text>
        <r>
          <rPr>
            <b/>
            <sz val="9"/>
            <color indexed="81"/>
            <rFont val="Tahoma"/>
            <family val="2"/>
          </rPr>
          <t>isa-template:</t>
        </r>
        <r>
          <rPr>
            <sz val="9"/>
            <color indexed="81"/>
            <rFont val="Tahoma"/>
            <family val="2"/>
          </rPr>
          <t xml:space="preserve">
Not calculated from figures. Approximate number given.</t>
        </r>
      </text>
    </comment>
    <comment ref="AB10" authorId="0" shapeId="0" xr:uid="{00000000-0006-0000-0000-000002000000}">
      <text>
        <r>
          <rPr>
            <b/>
            <sz val="9"/>
            <color indexed="81"/>
            <rFont val="Tahoma"/>
            <family val="2"/>
          </rPr>
          <t>isa-template:</t>
        </r>
        <r>
          <rPr>
            <sz val="9"/>
            <color indexed="81"/>
            <rFont val="Tahoma"/>
            <family val="2"/>
          </rPr>
          <t xml:space="preserve">
O&amp;M Figure based on 1 FTE job per 4km of road then 32.5km of new road equals 8 new FTE jobs. Multiplied by 25 yers equals the above figure.</t>
        </r>
      </text>
    </comment>
    <comment ref="K17" authorId="1" shapeId="0" xr:uid="{00000000-0006-0000-0000-000003000000}">
      <text>
        <r>
          <rPr>
            <b/>
            <sz val="9"/>
            <color indexed="81"/>
            <rFont val="Tahoma"/>
            <family val="2"/>
          </rPr>
          <t>Shereen Alabbadi:</t>
        </r>
        <r>
          <rPr>
            <sz val="9"/>
            <color indexed="81"/>
            <rFont val="Tahoma"/>
            <family val="2"/>
          </rPr>
          <t xml:space="preserve">
all calculated using labor intensity</t>
        </r>
      </text>
    </comment>
    <comment ref="S17" authorId="1" shapeId="0" xr:uid="{00000000-0006-0000-0000-000004000000}">
      <text>
        <r>
          <rPr>
            <b/>
            <sz val="9"/>
            <color indexed="81"/>
            <rFont val="Tahoma"/>
            <family val="2"/>
          </rPr>
          <t>Shereen Alabbadi:</t>
        </r>
        <r>
          <rPr>
            <sz val="9"/>
            <color indexed="81"/>
            <rFont val="Tahoma"/>
            <family val="2"/>
          </rPr>
          <t xml:space="preserve">
Calculated using  transfer rate  0.101 (ZAR to EUR) which is avg of 2010 and 2011 obtained from ukforex.com accessed 9 Dec 2015</t>
        </r>
      </text>
    </comment>
    <comment ref="AH45" authorId="2" shapeId="0" xr:uid="{00000000-0006-0000-0000-000005000000}">
      <text>
        <r>
          <rPr>
            <b/>
            <sz val="9"/>
            <color indexed="81"/>
            <rFont val="Tahoma"/>
            <family val="2"/>
          </rPr>
          <t>Lieuw-Kie-Song, Maikel R.:</t>
        </r>
        <r>
          <rPr>
            <sz val="9"/>
            <color indexed="81"/>
            <rFont val="Tahoma"/>
            <family val="2"/>
          </rPr>
          <t xml:space="preserve">
Comes out of 300 days per year- and 3 year project
</t>
        </r>
      </text>
    </comment>
  </commentList>
</comments>
</file>

<file path=xl/sharedStrings.xml><?xml version="1.0" encoding="utf-8"?>
<sst xmlns="http://schemas.openxmlformats.org/spreadsheetml/2006/main" count="502" uniqueCount="151">
  <si>
    <t>Country</t>
  </si>
  <si>
    <t>Total</t>
  </si>
  <si>
    <t>Tunisia</t>
  </si>
  <si>
    <t>Jordan</t>
  </si>
  <si>
    <t>Egypt</t>
  </si>
  <si>
    <t>Solar Energy plant in Ouarzazate, 500MW Plant</t>
  </si>
  <si>
    <t>Urban Priority Roads, 12 sub-projects to reduce traffic congestion</t>
  </si>
  <si>
    <t>Ring road in Amman, 41m four-lane highway</t>
  </si>
  <si>
    <t>Power plant in Giza, 2,250MW power plant</t>
  </si>
  <si>
    <t>Egypt Power Transmission, 10 transmission lines, 1 underground cable, 10 substations and 22 transformers</t>
  </si>
  <si>
    <t>EPAPII, Pollution abatement in various industries in Alexandria and Greater Cairo governorates</t>
  </si>
  <si>
    <t>Sanitation in Oujda, Sewage network, treatment plant and storm water drainage</t>
  </si>
  <si>
    <t>Windfarm in Tafilah, 117MW wind farm with 38 turbines</t>
  </si>
  <si>
    <t>Project Details</t>
  </si>
  <si>
    <t>Transportation</t>
  </si>
  <si>
    <t>Energy</t>
  </si>
  <si>
    <t>Sanitation</t>
  </si>
  <si>
    <t>N/A</t>
  </si>
  <si>
    <t>South Africa</t>
  </si>
  <si>
    <t>Buildings</t>
  </si>
  <si>
    <t>Stormwater</t>
  </si>
  <si>
    <t>Waste management</t>
  </si>
  <si>
    <t>Water supply</t>
  </si>
  <si>
    <t>Morocco</t>
  </si>
  <si>
    <t>Sanitation in Sebou Basin, Infrastructure for collection and treatment in 17 urban centers</t>
  </si>
  <si>
    <t>Expanded Public Works Program (EPWP) (1)</t>
  </si>
  <si>
    <t>Cost (original currency) (millions)</t>
  </si>
  <si>
    <t>MAD</t>
  </si>
  <si>
    <t>Euro</t>
  </si>
  <si>
    <t>Exchange rates</t>
  </si>
  <si>
    <t>USD</t>
  </si>
  <si>
    <t>JOD</t>
  </si>
  <si>
    <t>Labour cost (original currency)</t>
  </si>
  <si>
    <t>ZAR</t>
  </si>
  <si>
    <t>(1) Part of Expanded Public Works Program (EPWP). Infrastructure works form the largest component consisting of roads, electricity, buildings, sanitation, stormwater, waste management and water supply. Total expenditure on infrastructure component is about ZAR23.1 billion.</t>
  </si>
  <si>
    <t>Power station in Sousse, Construction and operation of dual-fuel power plant (This O&amp;M figure is based on 150 full time staff for 25 years, plus 1.4 maintence staff per year for 25 years and the 63 staff on maintence contracts for 25 years).</t>
  </si>
  <si>
    <t>Maximum</t>
  </si>
  <si>
    <t>Minimum</t>
  </si>
  <si>
    <t>Global region</t>
  </si>
  <si>
    <t>MENA</t>
  </si>
  <si>
    <t>Cost (USD millions)</t>
  </si>
  <si>
    <t>Labour cost (USD millions)</t>
  </si>
  <si>
    <t>South African Rand, 09-2011</t>
  </si>
  <si>
    <t>South African Rand, 12-2015</t>
  </si>
  <si>
    <t>National Programme of Rural Roads, large scale project with many sub-projects (information for 71.13 km of roads included in the study)</t>
  </si>
  <si>
    <t>Currency</t>
  </si>
  <si>
    <t>Technology</t>
  </si>
  <si>
    <t>Equipment based</t>
  </si>
  <si>
    <t>TD</t>
  </si>
  <si>
    <t>Tunisian Dinar</t>
  </si>
  <si>
    <t>Labour Intensity (total wage bill)</t>
  </si>
  <si>
    <t>Environment</t>
  </si>
  <si>
    <t>Energy - Electricity</t>
  </si>
  <si>
    <t>Transportation - Roads (construction and maintenance)</t>
  </si>
  <si>
    <t>Female % of construction stage employees</t>
  </si>
  <si>
    <t>Youth (16 - 29 years) as % of construction stage employees</t>
  </si>
  <si>
    <t>Recommended key indicators</t>
  </si>
  <si>
    <t>Project/Programme</t>
  </si>
  <si>
    <t>PNRR2</t>
  </si>
  <si>
    <t>Solar Project (Ouarzazate)</t>
  </si>
  <si>
    <t>Sanitation Oujda</t>
  </si>
  <si>
    <t>Sanitation Sebou</t>
  </si>
  <si>
    <t>Priority Roads</t>
  </si>
  <si>
    <t>Sousse Power Station</t>
  </si>
  <si>
    <t>Amman Ring Road</t>
  </si>
  <si>
    <t>Tafila Wind Farm</t>
  </si>
  <si>
    <t>Giza Power Station</t>
  </si>
  <si>
    <t>Power Transmission</t>
  </si>
  <si>
    <t>EPAP II</t>
  </si>
  <si>
    <t>EPWP 1</t>
  </si>
  <si>
    <t>Year of study</t>
  </si>
  <si>
    <t>Short term employment (during construction phase)</t>
  </si>
  <si>
    <t>Country and project information</t>
  </si>
  <si>
    <t>Expanded Public Works Program (EPWP) (1) - Programme intended to generate employment through labour-intensive methods but potential not fully exploited as indicated by labour intensity.</t>
  </si>
  <si>
    <t>Madagascar</t>
  </si>
  <si>
    <t>Multiple projects</t>
  </si>
  <si>
    <t>Transportation - Roads  maintenance</t>
  </si>
  <si>
    <t>Labour-intensive approach</t>
  </si>
  <si>
    <t>Four road maintenance projects including rehabilitation and periodic maintenance in different terrains of  about 25km of road</t>
  </si>
  <si>
    <t>Four road maintenance projects including rehabilitation, periodic maintenance and treatment of critical areas in different terrains of  about 129km of road</t>
  </si>
  <si>
    <t>Semi-mechanized</t>
  </si>
  <si>
    <t>Three road maintenance projects including rehabilitation and periodic maintenance in different terrains of  about 180km of road</t>
  </si>
  <si>
    <t>Buildings - Schools</t>
  </si>
  <si>
    <t>Local resource-based approach</t>
  </si>
  <si>
    <t>Three schools including a total of 8 classrooms, 18 latrines, 2 tanks and one water point</t>
  </si>
  <si>
    <t>Mixed approach</t>
  </si>
  <si>
    <t>Three schools including a total of 14 classrooms, 3 latrines and 1 tank using mixed approach (Concrete roof frames and metal work for windows and doors)</t>
  </si>
  <si>
    <t>Two schools including rehabilitation and building of classrooms, offices and facilities using mixed approach (Metal roof frames and metal work for windows and doors)</t>
  </si>
  <si>
    <t>Pre-fabricated</t>
  </si>
  <si>
    <t>Irrigation</t>
  </si>
  <si>
    <t>Equipment-based</t>
  </si>
  <si>
    <t>Transportation-roads</t>
  </si>
  <si>
    <t>Pavement of two roads using cobalt stone (total surface of 2,386 square meters)</t>
  </si>
  <si>
    <t>Three schools including 78  classrooms using prefabricated components</t>
  </si>
  <si>
    <t>Rehabilitation of irrigation network serving a total area of 610 hectares of land</t>
  </si>
  <si>
    <t>Rehabilitation of irrigation network serving a total area of 760 hectares of land</t>
  </si>
  <si>
    <t>Sub-Saharan Africa</t>
  </si>
  <si>
    <t>ILO Indicator Guide for Infrastructure Employment Impact Assessment</t>
  </si>
  <si>
    <t>Micro studies summary table and placeholders for adding cases</t>
  </si>
  <si>
    <t>FTE</t>
  </si>
  <si>
    <t>Youth-Male</t>
  </si>
  <si>
    <t>Youth-Female</t>
  </si>
  <si>
    <t>Non-Youth Female</t>
  </si>
  <si>
    <t>Wage information</t>
  </si>
  <si>
    <t>Average wage</t>
  </si>
  <si>
    <t>Non-Youth Male</t>
  </si>
  <si>
    <t>NA</t>
  </si>
  <si>
    <t>Total Number of employees</t>
  </si>
  <si>
    <t>Derived Indicators</t>
  </si>
  <si>
    <t>Labour intensity</t>
  </si>
  <si>
    <t>Average income per workers</t>
  </si>
  <si>
    <t xml:space="preserve">FTE/million USD </t>
  </si>
  <si>
    <t>Ghana</t>
  </si>
  <si>
    <t>One project</t>
  </si>
  <si>
    <t>Social Housing</t>
  </si>
  <si>
    <t>Mixed approach as per local concventions</t>
  </si>
  <si>
    <t>Programme</t>
  </si>
  <si>
    <t>Lebanon</t>
  </si>
  <si>
    <t>Project</t>
  </si>
  <si>
    <t>Urban Road Construction</t>
  </si>
  <si>
    <t>units</t>
  </si>
  <si>
    <t>Employment Total</t>
  </si>
  <si>
    <t>Days</t>
  </si>
  <si>
    <t>Unit</t>
  </si>
  <si>
    <t>USD/day</t>
  </si>
  <si>
    <t>Definition of FTE</t>
  </si>
  <si>
    <t>Cost per FTE (or per day) (local currency)</t>
  </si>
  <si>
    <t>Local/month</t>
  </si>
  <si>
    <t xml:space="preserve">Rehabilitation of 1.7 km of road, Hazmieh Region </t>
  </si>
  <si>
    <t>Highway</t>
  </si>
  <si>
    <t>days</t>
  </si>
  <si>
    <t>Total wages paid</t>
  </si>
  <si>
    <t>Rural Roads</t>
  </si>
  <si>
    <t>Rehabilitation and  widening of 14.7 km of road, Chouf District</t>
  </si>
  <si>
    <t>Rehabilitation of 12 km of road, Nabatieh</t>
  </si>
  <si>
    <t>Rehabilitation of 4.3 km of rural road, Ba'albak, direct implementation</t>
  </si>
  <si>
    <t>Rehabilitation of 7.28km, Jbeil District, Mt Lebanon</t>
  </si>
  <si>
    <t>Upgrading of 110 km of major highway, Azraq (Highway 30)</t>
  </si>
  <si>
    <t>22 km of ring road for Al Salt, Jordan</t>
  </si>
  <si>
    <t>Routine road maintenance, Manshyeh, Mafraq, EIIP, ILO project</t>
  </si>
  <si>
    <t>Routine road maintenance, Balama, Mafraq, EIIP, ILO project</t>
  </si>
  <si>
    <t>Average duration of employment (days)</t>
  </si>
  <si>
    <t>Reforestation activities, ILO project, Job Creation for Syrian Refugees and Jordanian host communities through Green Works in Agriculture and Forestry</t>
  </si>
  <si>
    <t>Water Cisterns, ILO project, Job Creation for Syrian Refugees and Jordanian host communities through Green Works in Agriculture and Forestry</t>
  </si>
  <si>
    <t>Irrigation and watershed management (Green Works)</t>
  </si>
  <si>
    <t>Employment through labor Intensive Infrastructure Program in Jordan (Phase I - Work under agriculture sector-Farm improvement, Forestry and Irrigation) ILO project</t>
  </si>
  <si>
    <t>Construction of 280 Housing Units (Apartments) in 18 buildings, suburban Accra</t>
  </si>
  <si>
    <t>USD/Month</t>
  </si>
  <si>
    <t>300 days</t>
  </si>
  <si>
    <t>Infrastructure Type: Main Category</t>
  </si>
  <si>
    <t>Sub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</si>
</sst>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0.0"/>
    <numFmt numFmtId="167" formatCode="0.0%"/>
    <numFmt numFmtId="168" formatCode="#,##0.0"/>
    <numFmt numFmtId="169" formatCode="#,##0.000"/>
    <numFmt numFmtId="170" formatCode="0.000"/>
  </numFmts>
  <fonts count="19"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sz val="9"/>
      <color indexed="81"/>
      <name val="Tahoma"/>
      <family val="2"/>
    </font>
    <font>
      <b/>
      <sz val="9"/>
      <color indexed="81"/>
      <name val="Tahoma"/>
      <family val="2"/>
    </font>
    <font>
      <sz val="12"/>
      <color theme="4" tint="-0.499984740745262"/>
      <name val="Calibri"/>
      <family val="2"/>
      <scheme val="minor"/>
    </font>
    <font>
      <b/>
      <sz val="12"/>
      <color theme="1"/>
      <name val="Calibri"/>
      <family val="2"/>
      <scheme val="minor"/>
    </font>
    <font>
      <b/>
      <sz val="12"/>
      <color theme="4" tint="-0.499984740745262"/>
      <name val="Calibri"/>
      <family val="2"/>
      <scheme val="minor"/>
    </font>
    <font>
      <b/>
      <sz val="12"/>
      <color theme="1"/>
      <name val="Calibri"/>
      <family val="2"/>
    </font>
    <font>
      <b/>
      <u/>
      <sz val="12"/>
      <color theme="1"/>
      <name val="Calibri"/>
      <family val="2"/>
    </font>
    <font>
      <b/>
      <sz val="11"/>
      <color theme="1"/>
      <name val="Calibri"/>
      <family val="2"/>
    </font>
    <font>
      <b/>
      <u/>
      <sz val="14"/>
      <color theme="1"/>
      <name val="Calibri"/>
      <family val="2"/>
    </font>
    <font>
      <b/>
      <sz val="14"/>
      <color theme="1"/>
      <name val="Calibri"/>
      <family val="2"/>
    </font>
    <font>
      <sz val="12"/>
      <color rgb="FFFF0000"/>
      <name val="Calibri"/>
      <family val="2"/>
      <scheme val="minor"/>
    </font>
    <font>
      <sz val="12"/>
      <color theme="6" tint="-0.499984740745262"/>
      <name val="Calibri"/>
      <family val="2"/>
      <scheme val="minor"/>
    </font>
    <font>
      <b/>
      <sz val="12"/>
      <color theme="6" tint="-0.499984740745262"/>
      <name val="Calibri"/>
      <family val="2"/>
      <scheme val="minor"/>
    </font>
    <font>
      <b/>
      <i/>
      <sz val="12"/>
      <color theme="6" tint="-0.499984740745262"/>
      <name val="Calibri"/>
      <family val="2"/>
      <scheme val="minor"/>
    </font>
    <font>
      <i/>
      <sz val="12"/>
      <color theme="6" tint="-0.49998474074526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AE8AA"/>
        <bgColor indexed="64"/>
      </patternFill>
    </fill>
    <fill>
      <patternFill patternType="solid">
        <fgColor rgb="FFB2CCEC"/>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s>
  <cellStyleXfs count="1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cellStyleXfs>
  <cellXfs count="217">
    <xf numFmtId="0" fontId="0" fillId="0" borderId="0" xfId="0"/>
    <xf numFmtId="0" fontId="0" fillId="0" borderId="0" xfId="0" applyAlignment="1">
      <alignment vertical="top" wrapText="1"/>
    </xf>
    <xf numFmtId="0" fontId="0" fillId="0" borderId="0" xfId="0" applyAlignment="1">
      <alignment vertical="top"/>
    </xf>
    <xf numFmtId="0" fontId="0" fillId="0" borderId="0" xfId="0" applyBorder="1" applyAlignment="1">
      <alignment vertical="top" wrapText="1"/>
    </xf>
    <xf numFmtId="0" fontId="0" fillId="2" borderId="0" xfId="0" applyFill="1" applyBorder="1" applyAlignment="1">
      <alignment vertical="top"/>
    </xf>
    <xf numFmtId="0" fontId="0" fillId="2" borderId="0" xfId="0" applyFill="1" applyAlignment="1">
      <alignment vertical="top"/>
    </xf>
    <xf numFmtId="0" fontId="7" fillId="0" borderId="0" xfId="0" applyFont="1" applyAlignment="1">
      <alignment vertical="top"/>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right" vertical="top" wrapText="1"/>
    </xf>
    <xf numFmtId="2" fontId="0" fillId="0" borderId="1" xfId="0" applyNumberFormat="1" applyBorder="1" applyAlignment="1">
      <alignment vertical="top" wrapText="1"/>
    </xf>
    <xf numFmtId="2" fontId="0" fillId="0" borderId="1" xfId="0" applyNumberFormat="1" applyBorder="1" applyAlignment="1">
      <alignment vertical="top"/>
    </xf>
    <xf numFmtId="2" fontId="0" fillId="0" borderId="1" xfId="0" applyNumberFormat="1" applyBorder="1" applyAlignment="1">
      <alignment horizontal="right" vertical="top" wrapText="1"/>
    </xf>
    <xf numFmtId="0" fontId="0" fillId="0" borderId="0" xfId="0" applyAlignment="1">
      <alignment horizontal="left" vertical="top" wrapText="1"/>
    </xf>
    <xf numFmtId="2" fontId="0" fillId="0" borderId="3" xfId="0" applyNumberFormat="1" applyBorder="1" applyAlignment="1">
      <alignment horizontal="right" vertical="top" wrapText="1"/>
    </xf>
    <xf numFmtId="2" fontId="0" fillId="0" borderId="3" xfId="0" applyNumberFormat="1" applyBorder="1" applyAlignment="1">
      <alignment vertical="top" wrapText="1"/>
    </xf>
    <xf numFmtId="0" fontId="0" fillId="0" borderId="0" xfId="0" applyBorder="1" applyAlignment="1">
      <alignment vertical="top"/>
    </xf>
    <xf numFmtId="0" fontId="11" fillId="0" borderId="0" xfId="0" applyFont="1" applyBorder="1" applyAlignment="1">
      <alignment vertical="top" wrapText="1"/>
    </xf>
    <xf numFmtId="0" fontId="0" fillId="0" borderId="6" xfId="0" applyBorder="1" applyAlignment="1">
      <alignment vertical="top"/>
    </xf>
    <xf numFmtId="0" fontId="7" fillId="2" borderId="0" xfId="0" applyFont="1" applyFill="1" applyAlignment="1">
      <alignment vertical="top"/>
    </xf>
    <xf numFmtId="0" fontId="0" fillId="2" borderId="0" xfId="0" applyFill="1" applyBorder="1" applyAlignment="1">
      <alignment horizontal="left" vertical="top" wrapText="1"/>
    </xf>
    <xf numFmtId="3" fontId="0" fillId="2" borderId="0" xfId="0" applyNumberFormat="1" applyFill="1" applyBorder="1" applyAlignment="1">
      <alignment vertical="top" wrapText="1"/>
    </xf>
    <xf numFmtId="165" fontId="8" fillId="2" borderId="0" xfId="123" applyNumberFormat="1" applyFont="1" applyFill="1" applyBorder="1" applyAlignment="1">
      <alignment vertical="top" wrapText="1"/>
    </xf>
    <xf numFmtId="9" fontId="0" fillId="2" borderId="0" xfId="0" applyNumberFormat="1" applyFill="1" applyBorder="1" applyAlignment="1">
      <alignment vertical="top" wrapText="1"/>
    </xf>
    <xf numFmtId="166" fontId="8" fillId="2" borderId="0" xfId="0" applyNumberFormat="1" applyFont="1" applyFill="1" applyBorder="1" applyAlignment="1">
      <alignment vertical="top" wrapText="1"/>
    </xf>
    <xf numFmtId="165" fontId="7" fillId="2" borderId="0" xfId="123" applyNumberFormat="1" applyFont="1" applyFill="1" applyBorder="1" applyAlignment="1">
      <alignment vertical="top" wrapText="1"/>
    </xf>
    <xf numFmtId="0" fontId="0" fillId="2" borderId="0" xfId="0" applyFill="1" applyBorder="1" applyAlignment="1">
      <alignment vertical="top" wrapText="1"/>
    </xf>
    <xf numFmtId="9" fontId="8" fillId="2" borderId="0" xfId="0" applyNumberFormat="1" applyFont="1" applyFill="1" applyBorder="1" applyAlignment="1">
      <alignment vertical="top" wrapText="1"/>
    </xf>
    <xf numFmtId="9" fontId="7" fillId="2" borderId="0" xfId="0" applyNumberFormat="1" applyFont="1" applyFill="1" applyBorder="1" applyAlignment="1">
      <alignment vertical="top" wrapText="1"/>
    </xf>
    <xf numFmtId="0" fontId="7" fillId="2" borderId="0" xfId="0" applyFont="1" applyFill="1" applyBorder="1" applyAlignment="1">
      <alignment vertical="top"/>
    </xf>
    <xf numFmtId="0" fontId="7" fillId="2" borderId="0" xfId="0" applyFont="1" applyFill="1" applyBorder="1" applyAlignment="1">
      <alignment horizontal="left" vertical="top" wrapText="1"/>
    </xf>
    <xf numFmtId="0" fontId="10" fillId="0" borderId="0" xfId="0" applyFont="1" applyBorder="1" applyAlignment="1">
      <alignment horizontal="right" vertical="top" wrapText="1"/>
    </xf>
    <xf numFmtId="0" fontId="0" fillId="0" borderId="0" xfId="0" applyAlignment="1">
      <alignment horizontal="right" vertical="top" wrapText="1"/>
    </xf>
    <xf numFmtId="3" fontId="0" fillId="2" borderId="0" xfId="0" applyNumberFormat="1" applyFill="1" applyAlignment="1">
      <alignment horizontal="right" vertical="top" wrapText="1"/>
    </xf>
    <xf numFmtId="0" fontId="11" fillId="0" borderId="0" xfId="0" applyFont="1" applyBorder="1" applyAlignment="1">
      <alignment horizontal="right" vertical="top" wrapText="1"/>
    </xf>
    <xf numFmtId="3" fontId="0" fillId="2" borderId="0" xfId="0" applyNumberFormat="1" applyFill="1" applyBorder="1" applyAlignment="1">
      <alignment horizontal="right" vertical="top" wrapText="1"/>
    </xf>
    <xf numFmtId="166" fontId="6" fillId="2" borderId="0" xfId="123" applyNumberFormat="1" applyFont="1" applyFill="1" applyBorder="1" applyAlignment="1">
      <alignment horizontal="right" vertical="top" wrapText="1"/>
    </xf>
    <xf numFmtId="0" fontId="0" fillId="0" borderId="0" xfId="0" applyBorder="1" applyAlignment="1">
      <alignment horizontal="right" vertical="top" wrapText="1"/>
    </xf>
    <xf numFmtId="2" fontId="0" fillId="0" borderId="0" xfId="0" applyNumberFormat="1" applyBorder="1" applyAlignment="1">
      <alignment horizontal="right" vertical="top" wrapText="1"/>
    </xf>
    <xf numFmtId="9" fontId="0" fillId="2" borderId="0" xfId="0" applyNumberFormat="1" applyFill="1" applyBorder="1" applyAlignment="1">
      <alignment horizontal="right" vertical="top" wrapText="1"/>
    </xf>
    <xf numFmtId="0" fontId="7" fillId="0" borderId="0" xfId="0" applyFont="1" applyBorder="1" applyAlignment="1">
      <alignment vertical="top"/>
    </xf>
    <xf numFmtId="0" fontId="10" fillId="0" borderId="0" xfId="0" applyFont="1" applyBorder="1" applyAlignment="1">
      <alignment horizontal="left" vertical="top" wrapText="1"/>
    </xf>
    <xf numFmtId="0" fontId="0" fillId="4" borderId="1" xfId="0" applyFill="1" applyBorder="1" applyAlignment="1">
      <alignment horizontal="left" vertical="top" wrapText="1"/>
    </xf>
    <xf numFmtId="0" fontId="0" fillId="4" borderId="7" xfId="0" applyFill="1" applyBorder="1" applyAlignment="1">
      <alignment horizontal="left" vertical="top" wrapText="1"/>
    </xf>
    <xf numFmtId="0" fontId="0" fillId="4" borderId="7" xfId="0" applyFill="1" applyBorder="1" applyAlignment="1">
      <alignment horizontal="right" vertical="top" wrapText="1"/>
    </xf>
    <xf numFmtId="0" fontId="0" fillId="4" borderId="7" xfId="0" applyFill="1" applyBorder="1" applyAlignment="1">
      <alignment vertical="top" wrapText="1"/>
    </xf>
    <xf numFmtId="0" fontId="0" fillId="4" borderId="1" xfId="0" applyFont="1" applyFill="1" applyBorder="1" applyAlignment="1">
      <alignment horizontal="right" vertical="top" wrapText="1"/>
    </xf>
    <xf numFmtId="0" fontId="0" fillId="4" borderId="1" xfId="0" applyFill="1" applyBorder="1" applyAlignment="1">
      <alignment vertical="top" wrapText="1"/>
    </xf>
    <xf numFmtId="0" fontId="0" fillId="4" borderId="1" xfId="0" applyFill="1" applyBorder="1" applyAlignment="1">
      <alignment horizontal="right" vertical="top" wrapText="1"/>
    </xf>
    <xf numFmtId="165" fontId="6" fillId="4" borderId="1" xfId="123" applyNumberFormat="1" applyFont="1" applyFill="1" applyBorder="1" applyAlignment="1">
      <alignment horizontal="right" vertical="top" wrapText="1"/>
    </xf>
    <xf numFmtId="165" fontId="6" fillId="4" borderId="1" xfId="123" applyNumberFormat="1" applyFont="1" applyFill="1" applyBorder="1" applyAlignment="1">
      <alignment vertical="top" wrapText="1"/>
    </xf>
    <xf numFmtId="3" fontId="0" fillId="4" borderId="1" xfId="0" applyNumberFormat="1" applyFont="1" applyFill="1" applyBorder="1" applyAlignment="1">
      <alignment horizontal="right" vertical="top" wrapText="1"/>
    </xf>
    <xf numFmtId="3" fontId="0" fillId="4" borderId="1" xfId="0" applyNumberFormat="1" applyFill="1" applyBorder="1" applyAlignment="1">
      <alignment vertical="top" wrapText="1"/>
    </xf>
    <xf numFmtId="3" fontId="6" fillId="4" borderId="1" xfId="123" applyNumberFormat="1" applyFont="1" applyFill="1" applyBorder="1" applyAlignment="1">
      <alignment horizontal="right" vertical="top" wrapText="1"/>
    </xf>
    <xf numFmtId="0" fontId="7" fillId="4" borderId="1" xfId="0" applyFont="1" applyFill="1" applyBorder="1" applyAlignment="1">
      <alignment horizontal="left" vertical="top" wrapText="1"/>
    </xf>
    <xf numFmtId="3" fontId="0" fillId="4" borderId="1" xfId="0" applyNumberFormat="1" applyFill="1" applyBorder="1" applyAlignment="1">
      <alignment horizontal="right" vertical="top" wrapText="1"/>
    </xf>
    <xf numFmtId="165" fontId="8" fillId="4" borderId="1" xfId="123" applyNumberFormat="1" applyFont="1" applyFill="1" applyBorder="1" applyAlignment="1">
      <alignment vertical="top" wrapText="1"/>
    </xf>
    <xf numFmtId="3" fontId="0" fillId="4" borderId="1" xfId="0" applyNumberFormat="1" applyFill="1" applyBorder="1" applyAlignment="1">
      <alignment horizontal="left" vertical="top" wrapText="1"/>
    </xf>
    <xf numFmtId="0" fontId="0" fillId="4" borderId="1" xfId="0" applyNumberFormat="1" applyFill="1" applyBorder="1" applyAlignment="1">
      <alignment horizontal="left" vertical="top" wrapText="1"/>
    </xf>
    <xf numFmtId="4" fontId="0" fillId="4" borderId="1" xfId="0" applyNumberFormat="1" applyFill="1" applyBorder="1" applyAlignment="1">
      <alignment horizontal="right" vertical="top" wrapText="1"/>
    </xf>
    <xf numFmtId="168" fontId="0" fillId="4" borderId="1" xfId="0" applyNumberFormat="1" applyFill="1" applyBorder="1" applyAlignment="1">
      <alignment horizontal="right" vertical="top" wrapText="1"/>
    </xf>
    <xf numFmtId="169" fontId="0" fillId="4" borderId="1" xfId="0" applyNumberFormat="1" applyFill="1" applyBorder="1" applyAlignment="1">
      <alignment horizontal="right" vertical="top" wrapText="1"/>
    </xf>
    <xf numFmtId="169" fontId="0" fillId="4" borderId="1" xfId="0" applyNumberFormat="1" applyFill="1" applyBorder="1" applyAlignment="1">
      <alignment horizontal="left" vertical="top" wrapText="1"/>
    </xf>
    <xf numFmtId="0" fontId="0" fillId="3" borderId="1" xfId="0" applyFill="1" applyBorder="1" applyAlignment="1">
      <alignment horizontal="right" vertical="top" wrapText="1"/>
    </xf>
    <xf numFmtId="0" fontId="0" fillId="3" borderId="1" xfId="0" applyFill="1" applyBorder="1" applyAlignment="1">
      <alignment vertical="top" wrapText="1"/>
    </xf>
    <xf numFmtId="9" fontId="0" fillId="3" borderId="1" xfId="0" applyNumberFormat="1" applyFill="1" applyBorder="1" applyAlignment="1">
      <alignment horizontal="right" vertical="top" wrapText="1"/>
    </xf>
    <xf numFmtId="166" fontId="0" fillId="3" borderId="1" xfId="0" applyNumberFormat="1" applyFill="1" applyBorder="1" applyAlignment="1">
      <alignment vertical="top" wrapText="1"/>
    </xf>
    <xf numFmtId="1" fontId="0" fillId="3" borderId="1" xfId="0" applyNumberFormat="1" applyFill="1" applyBorder="1" applyAlignment="1">
      <alignment vertical="top" wrapText="1"/>
    </xf>
    <xf numFmtId="167" fontId="0" fillId="3" borderId="1" xfId="0" applyNumberFormat="1" applyFill="1" applyBorder="1" applyAlignment="1">
      <alignment vertical="top" wrapText="1"/>
    </xf>
    <xf numFmtId="0" fontId="0" fillId="3" borderId="1" xfId="0" applyNumberFormat="1" applyFill="1" applyBorder="1" applyAlignment="1">
      <alignment horizontal="right" vertical="top" wrapText="1"/>
    </xf>
    <xf numFmtId="166" fontId="0" fillId="3" borderId="1" xfId="0" applyNumberFormat="1" applyFill="1" applyBorder="1" applyAlignment="1">
      <alignment horizontal="right" vertical="top" wrapText="1"/>
    </xf>
    <xf numFmtId="167" fontId="0" fillId="3" borderId="1" xfId="0" applyNumberFormat="1" applyFill="1" applyBorder="1" applyAlignment="1">
      <alignment horizontal="right" vertical="top" wrapText="1"/>
    </xf>
    <xf numFmtId="3" fontId="0" fillId="3" borderId="1" xfId="0" applyNumberFormat="1" applyFont="1" applyFill="1" applyBorder="1" applyAlignment="1">
      <alignment horizontal="right" vertical="top" wrapText="1"/>
    </xf>
    <xf numFmtId="166" fontId="6" fillId="3" borderId="1" xfId="0" applyNumberFormat="1" applyFont="1" applyFill="1" applyBorder="1" applyAlignment="1">
      <alignment vertical="top" wrapText="1"/>
    </xf>
    <xf numFmtId="166" fontId="8" fillId="3" borderId="1" xfId="0" applyNumberFormat="1" applyFont="1" applyFill="1" applyBorder="1" applyAlignment="1">
      <alignment vertical="top" wrapText="1"/>
    </xf>
    <xf numFmtId="165" fontId="7" fillId="3" borderId="1" xfId="123" applyNumberFormat="1" applyFont="1" applyFill="1" applyBorder="1" applyAlignment="1">
      <alignment horizontal="right" vertical="top" wrapText="1"/>
    </xf>
    <xf numFmtId="166" fontId="8" fillId="3" borderId="1" xfId="0" applyNumberFormat="1" applyFont="1" applyFill="1" applyBorder="1" applyAlignment="1">
      <alignment horizontal="right" vertical="top" wrapText="1"/>
    </xf>
    <xf numFmtId="10" fontId="0" fillId="3" borderId="1" xfId="0" applyNumberFormat="1" applyFill="1" applyBorder="1" applyAlignment="1">
      <alignment horizontal="right" vertical="top" wrapText="1"/>
    </xf>
    <xf numFmtId="167" fontId="6" fillId="3" borderId="1" xfId="123" applyNumberFormat="1" applyFont="1" applyFill="1" applyBorder="1" applyAlignment="1">
      <alignment horizontal="right" vertical="top" wrapText="1"/>
    </xf>
    <xf numFmtId="167" fontId="6" fillId="3" borderId="1" xfId="123" applyNumberFormat="1" applyFont="1" applyFill="1" applyBorder="1" applyAlignment="1">
      <alignment vertical="top" wrapText="1"/>
    </xf>
    <xf numFmtId="166" fontId="6" fillId="3" borderId="1" xfId="123" applyNumberFormat="1" applyFont="1" applyFill="1" applyBorder="1" applyAlignment="1">
      <alignment vertical="top" wrapText="1"/>
    </xf>
    <xf numFmtId="166" fontId="6" fillId="3" borderId="1" xfId="123" applyNumberFormat="1" applyFont="1" applyFill="1" applyBorder="1" applyAlignment="1">
      <alignment horizontal="right" vertical="top" wrapText="1"/>
    </xf>
    <xf numFmtId="0" fontId="0" fillId="5" borderId="1" xfId="0" applyFill="1" applyBorder="1" applyAlignment="1">
      <alignment vertical="top" wrapText="1"/>
    </xf>
    <xf numFmtId="1" fontId="0" fillId="5" borderId="1" xfId="0" applyNumberFormat="1" applyFill="1" applyBorder="1" applyAlignment="1">
      <alignment horizontal="right" vertical="top" wrapText="1"/>
    </xf>
    <xf numFmtId="3" fontId="0" fillId="5" borderId="1" xfId="0" applyNumberFormat="1" applyFill="1" applyBorder="1" applyAlignment="1">
      <alignment horizontal="right" vertical="top" wrapText="1"/>
    </xf>
    <xf numFmtId="165" fontId="0" fillId="5" borderId="1" xfId="123" applyNumberFormat="1" applyFont="1" applyFill="1" applyBorder="1" applyAlignment="1">
      <alignment horizontal="right" vertical="top" wrapText="1"/>
    </xf>
    <xf numFmtId="0" fontId="0" fillId="4" borderId="3" xfId="0" applyFont="1" applyFill="1" applyBorder="1" applyAlignment="1">
      <alignment horizontal="right" vertical="top"/>
    </xf>
    <xf numFmtId="165" fontId="8" fillId="4" borderId="3" xfId="123" applyNumberFormat="1" applyFont="1" applyFill="1" applyBorder="1" applyAlignment="1">
      <alignment vertical="top" wrapText="1"/>
    </xf>
    <xf numFmtId="167" fontId="6" fillId="3" borderId="3" xfId="123" applyNumberFormat="1" applyFont="1" applyFill="1" applyBorder="1" applyAlignment="1">
      <alignment horizontal="right" vertical="top" wrapText="1"/>
    </xf>
    <xf numFmtId="167" fontId="6" fillId="3" borderId="3" xfId="123" applyNumberFormat="1" applyFont="1" applyFill="1" applyBorder="1" applyAlignment="1">
      <alignment vertical="top" wrapText="1"/>
    </xf>
    <xf numFmtId="166" fontId="6" fillId="3" borderId="3" xfId="123" applyNumberFormat="1" applyFont="1" applyFill="1" applyBorder="1" applyAlignment="1">
      <alignment vertical="top" wrapText="1"/>
    </xf>
    <xf numFmtId="1" fontId="0" fillId="3" borderId="3" xfId="0" applyNumberFormat="1" applyFill="1" applyBorder="1" applyAlignment="1">
      <alignment vertical="top" wrapText="1"/>
    </xf>
    <xf numFmtId="166" fontId="6" fillId="3" borderId="3" xfId="123" applyNumberFormat="1" applyFont="1" applyFill="1" applyBorder="1" applyAlignment="1">
      <alignment horizontal="right" vertical="top" wrapText="1"/>
    </xf>
    <xf numFmtId="0" fontId="9" fillId="5" borderId="8" xfId="0" applyFont="1" applyFill="1" applyBorder="1" applyAlignment="1">
      <alignment horizontal="center" vertical="top" wrapText="1"/>
    </xf>
    <xf numFmtId="0" fontId="0" fillId="3" borderId="2" xfId="0" applyFill="1" applyBorder="1" applyAlignment="1">
      <alignment vertical="top" wrapText="1"/>
    </xf>
    <xf numFmtId="0" fontId="0" fillId="3" borderId="0" xfId="0" applyFill="1" applyAlignment="1">
      <alignment vertical="top" wrapText="1"/>
    </xf>
    <xf numFmtId="0" fontId="7" fillId="3" borderId="1" xfId="0" applyFont="1" applyFill="1" applyBorder="1" applyAlignment="1">
      <alignment vertical="top" wrapText="1"/>
    </xf>
    <xf numFmtId="1" fontId="7" fillId="3" borderId="1" xfId="0" applyNumberFormat="1" applyFont="1" applyFill="1" applyBorder="1" applyAlignment="1">
      <alignment vertical="top" wrapText="1"/>
    </xf>
    <xf numFmtId="0" fontId="7" fillId="4" borderId="7" xfId="0" applyFont="1" applyFill="1" applyBorder="1" applyAlignment="1">
      <alignment horizontal="right" vertical="top" wrapText="1"/>
    </xf>
    <xf numFmtId="166" fontId="7" fillId="4" borderId="1" xfId="0" applyNumberFormat="1" applyFont="1" applyFill="1" applyBorder="1" applyAlignment="1">
      <alignment horizontal="right" vertical="top" wrapText="1"/>
    </xf>
    <xf numFmtId="166" fontId="8" fillId="4" borderId="1" xfId="123" applyNumberFormat="1" applyFont="1" applyFill="1" applyBorder="1" applyAlignment="1">
      <alignment horizontal="right" vertical="top" wrapText="1"/>
    </xf>
    <xf numFmtId="2" fontId="8" fillId="4" borderId="1" xfId="123" applyNumberFormat="1" applyFont="1" applyFill="1" applyBorder="1" applyAlignment="1">
      <alignment horizontal="right" vertical="top" wrapText="1"/>
    </xf>
    <xf numFmtId="170" fontId="8" fillId="4" borderId="1" xfId="123" applyNumberFormat="1" applyFont="1" applyFill="1" applyBorder="1" applyAlignment="1">
      <alignment horizontal="right" vertical="top" wrapText="1"/>
    </xf>
    <xf numFmtId="169" fontId="7" fillId="4" borderId="1" xfId="0" applyNumberFormat="1" applyFont="1" applyFill="1" applyBorder="1" applyAlignment="1">
      <alignment horizontal="right" vertical="top" wrapText="1"/>
    </xf>
    <xf numFmtId="166" fontId="8" fillId="4" borderId="3" xfId="123" applyNumberFormat="1" applyFont="1" applyFill="1" applyBorder="1" applyAlignment="1">
      <alignment horizontal="right" vertical="top" wrapText="1"/>
    </xf>
    <xf numFmtId="4" fontId="7" fillId="4" borderId="1" xfId="0" applyNumberFormat="1" applyFont="1" applyFill="1" applyBorder="1" applyAlignment="1">
      <alignment horizontal="right" vertical="top" wrapText="1"/>
    </xf>
    <xf numFmtId="0" fontId="14" fillId="4" borderId="1" xfId="0" applyFont="1" applyFill="1" applyBorder="1" applyAlignment="1">
      <alignment vertical="top" wrapText="1"/>
    </xf>
    <xf numFmtId="3" fontId="0" fillId="4" borderId="3" xfId="0" applyNumberFormat="1" applyFill="1" applyBorder="1" applyAlignment="1">
      <alignment horizontal="left" vertical="top" wrapText="1"/>
    </xf>
    <xf numFmtId="169" fontId="0" fillId="4" borderId="3" xfId="0" applyNumberFormat="1" applyFill="1" applyBorder="1" applyAlignment="1">
      <alignment horizontal="left" vertical="top" wrapText="1"/>
    </xf>
    <xf numFmtId="1" fontId="7" fillId="3" borderId="3" xfId="0" applyNumberFormat="1" applyFont="1" applyFill="1" applyBorder="1" applyAlignment="1">
      <alignment vertical="top" wrapText="1"/>
    </xf>
    <xf numFmtId="0" fontId="0" fillId="5" borderId="2" xfId="0" applyFill="1" applyBorder="1" applyAlignment="1">
      <alignment vertical="top" wrapText="1"/>
    </xf>
    <xf numFmtId="167" fontId="0" fillId="5" borderId="2" xfId="126" applyNumberFormat="1" applyFont="1" applyFill="1" applyBorder="1" applyAlignment="1">
      <alignment horizontal="right" vertical="top" wrapText="1"/>
    </xf>
    <xf numFmtId="0" fontId="0" fillId="3" borderId="15" xfId="0" applyFill="1" applyBorder="1" applyAlignment="1">
      <alignment vertical="top" wrapText="1"/>
    </xf>
    <xf numFmtId="0" fontId="0" fillId="3" borderId="16" xfId="0" applyFill="1" applyBorder="1" applyAlignment="1">
      <alignment vertical="top" wrapText="1"/>
    </xf>
    <xf numFmtId="165" fontId="0" fillId="3" borderId="15" xfId="123" applyNumberFormat="1" applyFont="1" applyFill="1" applyBorder="1" applyAlignment="1">
      <alignment vertical="top" wrapText="1"/>
    </xf>
    <xf numFmtId="166" fontId="0" fillId="3" borderId="16" xfId="0" applyNumberFormat="1" applyFill="1" applyBorder="1" applyAlignment="1">
      <alignment horizontal="right" vertical="top" wrapText="1"/>
    </xf>
    <xf numFmtId="166" fontId="6" fillId="3" borderId="16" xfId="123" applyNumberFormat="1" applyFont="1" applyFill="1" applyBorder="1" applyAlignment="1">
      <alignment vertical="top" wrapText="1"/>
    </xf>
    <xf numFmtId="166" fontId="6" fillId="3" borderId="17" xfId="123" applyNumberFormat="1" applyFont="1" applyFill="1" applyBorder="1" applyAlignment="1">
      <alignment vertical="top" wrapText="1"/>
    </xf>
    <xf numFmtId="0" fontId="7" fillId="3" borderId="15" xfId="0" applyFont="1" applyFill="1" applyBorder="1" applyAlignment="1">
      <alignment vertical="top" wrapText="1"/>
    </xf>
    <xf numFmtId="1" fontId="7" fillId="3" borderId="15" xfId="0" applyNumberFormat="1" applyFont="1" applyFill="1" applyBorder="1" applyAlignment="1">
      <alignment vertical="top" wrapText="1"/>
    </xf>
    <xf numFmtId="167" fontId="0" fillId="3" borderId="16" xfId="0" applyNumberFormat="1" applyFill="1" applyBorder="1" applyAlignment="1">
      <alignment vertical="top" wrapText="1"/>
    </xf>
    <xf numFmtId="167" fontId="0" fillId="3" borderId="16" xfId="0" applyNumberFormat="1" applyFill="1" applyBorder="1" applyAlignment="1">
      <alignment horizontal="right" vertical="top" wrapText="1"/>
    </xf>
    <xf numFmtId="4" fontId="0" fillId="5" borderId="1" xfId="0" applyNumberFormat="1" applyFill="1" applyBorder="1" applyAlignment="1">
      <alignment horizontal="right" vertical="top" wrapText="1"/>
    </xf>
    <xf numFmtId="3" fontId="0" fillId="5" borderId="3" xfId="0" applyNumberFormat="1" applyFill="1" applyBorder="1" applyAlignment="1">
      <alignment horizontal="right" vertical="top" wrapText="1"/>
    </xf>
    <xf numFmtId="165" fontId="0" fillId="3" borderId="2" xfId="123" applyNumberFormat="1" applyFont="1" applyFill="1" applyBorder="1" applyAlignment="1">
      <alignment vertical="top" wrapText="1"/>
    </xf>
    <xf numFmtId="165" fontId="0" fillId="3" borderId="10" xfId="123" applyNumberFormat="1" applyFont="1" applyFill="1" applyBorder="1" applyAlignment="1">
      <alignment vertical="top" wrapText="1"/>
    </xf>
    <xf numFmtId="1" fontId="10" fillId="0" borderId="0" xfId="0" applyNumberFormat="1" applyFont="1" applyBorder="1" applyAlignment="1">
      <alignment horizontal="right" vertical="top" wrapText="1"/>
    </xf>
    <xf numFmtId="1" fontId="11" fillId="0" borderId="0" xfId="0" applyNumberFormat="1" applyFont="1" applyBorder="1" applyAlignment="1">
      <alignment horizontal="right" vertical="top" wrapText="1"/>
    </xf>
    <xf numFmtId="1" fontId="0" fillId="3" borderId="0" xfId="0" applyNumberFormat="1" applyFill="1" applyAlignment="1">
      <alignment vertical="top" wrapText="1"/>
    </xf>
    <xf numFmtId="1" fontId="0" fillId="3" borderId="4" xfId="0" applyNumberFormat="1" applyFill="1" applyBorder="1" applyAlignment="1">
      <alignment horizontal="right" vertical="top" wrapText="1"/>
    </xf>
    <xf numFmtId="1" fontId="6" fillId="3" borderId="4" xfId="123" applyNumberFormat="1" applyFont="1" applyFill="1" applyBorder="1" applyAlignment="1">
      <alignment horizontal="right" vertical="top" wrapText="1"/>
    </xf>
    <xf numFmtId="1" fontId="6" fillId="3" borderId="12" xfId="123" applyNumberFormat="1" applyFont="1" applyFill="1" applyBorder="1" applyAlignment="1">
      <alignment horizontal="right" vertical="top" wrapText="1"/>
    </xf>
    <xf numFmtId="1" fontId="0" fillId="2" borderId="0" xfId="0" applyNumberFormat="1" applyFill="1" applyBorder="1" applyAlignment="1">
      <alignment horizontal="right" vertical="top" wrapText="1"/>
    </xf>
    <xf numFmtId="1" fontId="0" fillId="0" borderId="0" xfId="0" applyNumberFormat="1" applyAlignment="1">
      <alignment horizontal="right" vertical="top" wrapText="1"/>
    </xf>
    <xf numFmtId="3" fontId="0" fillId="0" borderId="0" xfId="0" applyNumberFormat="1" applyBorder="1" applyAlignment="1">
      <alignment vertical="top" wrapText="1"/>
    </xf>
    <xf numFmtId="3" fontId="9" fillId="5" borderId="8" xfId="0" applyNumberFormat="1" applyFont="1" applyFill="1" applyBorder="1" applyAlignment="1">
      <alignment horizontal="center" vertical="top" wrapText="1"/>
    </xf>
    <xf numFmtId="3" fontId="0" fillId="5" borderId="1" xfId="0" applyNumberFormat="1" applyFill="1" applyBorder="1" applyAlignment="1">
      <alignment vertical="top" wrapText="1"/>
    </xf>
    <xf numFmtId="3" fontId="7" fillId="5" borderId="1" xfId="0" applyNumberFormat="1" applyFont="1" applyFill="1" applyBorder="1" applyAlignment="1">
      <alignment horizontal="right" vertical="top" wrapText="1"/>
    </xf>
    <xf numFmtId="3" fontId="6" fillId="5" borderId="1" xfId="123" applyNumberFormat="1" applyFont="1" applyFill="1" applyBorder="1" applyAlignment="1">
      <alignment vertical="top" wrapText="1"/>
    </xf>
    <xf numFmtId="3" fontId="6" fillId="5" borderId="3" xfId="123" applyNumberFormat="1" applyFont="1" applyFill="1" applyBorder="1" applyAlignment="1">
      <alignment vertical="top" wrapText="1"/>
    </xf>
    <xf numFmtId="3" fontId="7" fillId="2" borderId="0" xfId="0" applyNumberFormat="1" applyFont="1" applyFill="1" applyBorder="1" applyAlignment="1">
      <alignment vertical="top" wrapText="1"/>
    </xf>
    <xf numFmtId="3" fontId="0" fillId="0" borderId="0" xfId="0" applyNumberFormat="1" applyAlignment="1">
      <alignment vertical="top" wrapText="1"/>
    </xf>
    <xf numFmtId="1" fontId="0" fillId="0" borderId="0" xfId="0" applyNumberFormat="1" applyBorder="1" applyAlignment="1">
      <alignment vertical="top" wrapText="1"/>
    </xf>
    <xf numFmtId="1" fontId="9" fillId="5" borderId="8" xfId="0" applyNumberFormat="1" applyFont="1" applyFill="1" applyBorder="1" applyAlignment="1">
      <alignment horizontal="center" vertical="top" wrapText="1"/>
    </xf>
    <xf numFmtId="1" fontId="0" fillId="5" borderId="1" xfId="0" applyNumberFormat="1" applyFill="1" applyBorder="1" applyAlignment="1">
      <alignment vertical="top" wrapText="1"/>
    </xf>
    <xf numFmtId="1" fontId="6" fillId="5" borderId="1" xfId="123" applyNumberFormat="1" applyFont="1" applyFill="1" applyBorder="1" applyAlignment="1">
      <alignment vertical="top" wrapText="1"/>
    </xf>
    <xf numFmtId="1" fontId="6" fillId="5" borderId="3" xfId="123" applyNumberFormat="1" applyFont="1" applyFill="1" applyBorder="1" applyAlignment="1">
      <alignment vertical="top" wrapText="1"/>
    </xf>
    <xf numFmtId="1" fontId="0" fillId="2" borderId="0" xfId="0" applyNumberFormat="1" applyFill="1" applyBorder="1" applyAlignment="1">
      <alignment vertical="top" wrapText="1"/>
    </xf>
    <xf numFmtId="1" fontId="0" fillId="0" borderId="0" xfId="0" applyNumberFormat="1" applyAlignment="1">
      <alignment vertical="top" wrapText="1"/>
    </xf>
    <xf numFmtId="167" fontId="10" fillId="0" borderId="0" xfId="0" applyNumberFormat="1" applyFont="1" applyBorder="1" applyAlignment="1">
      <alignment horizontal="left" vertical="top" wrapText="1"/>
    </xf>
    <xf numFmtId="167" fontId="11" fillId="0" borderId="0" xfId="0" applyNumberFormat="1" applyFont="1" applyBorder="1" applyAlignment="1">
      <alignment vertical="top" wrapText="1"/>
    </xf>
    <xf numFmtId="167" fontId="6" fillId="3" borderId="1" xfId="0" applyNumberFormat="1" applyFont="1" applyFill="1" applyBorder="1" applyAlignment="1">
      <alignment horizontal="right" vertical="top" wrapText="1"/>
    </xf>
    <xf numFmtId="167" fontId="6" fillId="3" borderId="16" xfId="0" applyNumberFormat="1" applyFont="1" applyFill="1" applyBorder="1" applyAlignment="1">
      <alignment horizontal="right" vertical="top" wrapText="1"/>
    </xf>
    <xf numFmtId="167" fontId="8" fillId="3" borderId="1" xfId="0" applyNumberFormat="1" applyFont="1" applyFill="1" applyBorder="1" applyAlignment="1">
      <alignment horizontal="right" vertical="top" wrapText="1"/>
    </xf>
    <xf numFmtId="167" fontId="8" fillId="3" borderId="16" xfId="0" applyNumberFormat="1" applyFont="1" applyFill="1" applyBorder="1" applyAlignment="1">
      <alignment horizontal="right" vertical="top" wrapText="1"/>
    </xf>
    <xf numFmtId="167" fontId="6" fillId="3" borderId="16" xfId="123" applyNumberFormat="1" applyFont="1" applyFill="1" applyBorder="1" applyAlignment="1">
      <alignment vertical="top" wrapText="1"/>
    </xf>
    <xf numFmtId="167" fontId="6" fillId="3" borderId="17" xfId="123" applyNumberFormat="1" applyFont="1" applyFill="1" applyBorder="1" applyAlignment="1">
      <alignment vertical="top" wrapText="1"/>
    </xf>
    <xf numFmtId="167" fontId="8" fillId="2" borderId="0" xfId="0" applyNumberFormat="1" applyFont="1" applyFill="1" applyBorder="1" applyAlignment="1">
      <alignment vertical="top" wrapText="1"/>
    </xf>
    <xf numFmtId="167" fontId="0" fillId="0" borderId="0" xfId="0" applyNumberFormat="1" applyAlignment="1">
      <alignment vertical="top" wrapText="1"/>
    </xf>
    <xf numFmtId="3" fontId="15" fillId="4" borderId="1" xfId="0" applyNumberFormat="1" applyFont="1" applyFill="1" applyBorder="1" applyAlignment="1">
      <alignment horizontal="left" vertical="top" wrapText="1"/>
    </xf>
    <xf numFmtId="169" fontId="15" fillId="4" borderId="1" xfId="0" applyNumberFormat="1" applyFont="1" applyFill="1" applyBorder="1" applyAlignment="1">
      <alignment horizontal="left" vertical="top" wrapText="1"/>
    </xf>
    <xf numFmtId="0" fontId="15" fillId="4" borderId="1" xfId="0" applyNumberFormat="1" applyFont="1" applyFill="1" applyBorder="1" applyAlignment="1">
      <alignment horizontal="left" vertical="top" wrapText="1"/>
    </xf>
    <xf numFmtId="169" fontId="15" fillId="4" borderId="1" xfId="0" applyNumberFormat="1" applyFont="1" applyFill="1" applyBorder="1" applyAlignment="1">
      <alignment horizontal="right" vertical="top" wrapText="1"/>
    </xf>
    <xf numFmtId="165" fontId="16" fillId="4" borderId="1" xfId="123" applyNumberFormat="1" applyFont="1" applyFill="1" applyBorder="1" applyAlignment="1">
      <alignment vertical="top" wrapText="1"/>
    </xf>
    <xf numFmtId="4" fontId="16" fillId="4" borderId="1" xfId="0" applyNumberFormat="1" applyFont="1" applyFill="1" applyBorder="1" applyAlignment="1">
      <alignment horizontal="right" vertical="top" wrapText="1"/>
    </xf>
    <xf numFmtId="169" fontId="16" fillId="4" borderId="1" xfId="0" applyNumberFormat="1" applyFont="1" applyFill="1" applyBorder="1" applyAlignment="1">
      <alignment horizontal="right" vertical="top" wrapText="1"/>
    </xf>
    <xf numFmtId="167" fontId="15" fillId="3" borderId="1" xfId="0" applyNumberFormat="1" applyFont="1" applyFill="1" applyBorder="1" applyAlignment="1">
      <alignment horizontal="right" vertical="top" wrapText="1"/>
    </xf>
    <xf numFmtId="1" fontId="15" fillId="3" borderId="4" xfId="0" applyNumberFormat="1" applyFont="1" applyFill="1" applyBorder="1" applyAlignment="1">
      <alignment horizontal="right" vertical="top" wrapText="1"/>
    </xf>
    <xf numFmtId="1" fontId="16" fillId="3" borderId="15" xfId="0" applyNumberFormat="1" applyFont="1" applyFill="1" applyBorder="1" applyAlignment="1">
      <alignment vertical="top" wrapText="1"/>
    </xf>
    <xf numFmtId="1" fontId="16" fillId="3" borderId="1" xfId="0" applyNumberFormat="1" applyFont="1" applyFill="1" applyBorder="1" applyAlignment="1">
      <alignment vertical="top" wrapText="1"/>
    </xf>
    <xf numFmtId="166" fontId="16" fillId="3" borderId="1" xfId="0" applyNumberFormat="1" applyFont="1" applyFill="1" applyBorder="1" applyAlignment="1">
      <alignment vertical="top" wrapText="1"/>
    </xf>
    <xf numFmtId="166" fontId="15" fillId="3" borderId="1" xfId="0" applyNumberFormat="1" applyFont="1" applyFill="1" applyBorder="1" applyAlignment="1">
      <alignment vertical="top" wrapText="1"/>
    </xf>
    <xf numFmtId="165" fontId="16" fillId="3" borderId="1" xfId="123" applyNumberFormat="1" applyFont="1" applyFill="1" applyBorder="1" applyAlignment="1">
      <alignment horizontal="right" vertical="top" wrapText="1"/>
    </xf>
    <xf numFmtId="167" fontId="16" fillId="3" borderId="1" xfId="0" applyNumberFormat="1" applyFont="1" applyFill="1" applyBorder="1" applyAlignment="1">
      <alignment horizontal="right" vertical="top" wrapText="1"/>
    </xf>
    <xf numFmtId="167" fontId="16" fillId="3" borderId="16" xfId="0" applyNumberFormat="1" applyFont="1" applyFill="1" applyBorder="1" applyAlignment="1">
      <alignment horizontal="right" vertical="top" wrapText="1"/>
    </xf>
    <xf numFmtId="165" fontId="15" fillId="3" borderId="15" xfId="123" applyNumberFormat="1" applyFont="1" applyFill="1" applyBorder="1" applyAlignment="1">
      <alignment vertical="top" wrapText="1"/>
    </xf>
    <xf numFmtId="165" fontId="15" fillId="3" borderId="2" xfId="123" applyNumberFormat="1" applyFont="1" applyFill="1" applyBorder="1" applyAlignment="1">
      <alignment vertical="top" wrapText="1"/>
    </xf>
    <xf numFmtId="166" fontId="16" fillId="3" borderId="1" xfId="0" applyNumberFormat="1" applyFont="1" applyFill="1" applyBorder="1" applyAlignment="1">
      <alignment horizontal="right" vertical="top" wrapText="1"/>
    </xf>
    <xf numFmtId="0" fontId="15" fillId="3" borderId="1" xfId="0" applyFont="1" applyFill="1" applyBorder="1" applyAlignment="1">
      <alignment horizontal="right" vertical="top" wrapText="1"/>
    </xf>
    <xf numFmtId="166" fontId="15" fillId="3" borderId="16" xfId="0" applyNumberFormat="1" applyFont="1" applyFill="1" applyBorder="1" applyAlignment="1">
      <alignment horizontal="right" vertical="top" wrapText="1"/>
    </xf>
    <xf numFmtId="167" fontId="15" fillId="5" borderId="2" xfId="126" applyNumberFormat="1" applyFont="1" applyFill="1" applyBorder="1" applyAlignment="1">
      <alignment horizontal="right" vertical="top" wrapText="1"/>
    </xf>
    <xf numFmtId="4" fontId="15" fillId="5" borderId="1" xfId="0" applyNumberFormat="1" applyFont="1" applyFill="1" applyBorder="1" applyAlignment="1">
      <alignment horizontal="right" vertical="top" wrapText="1"/>
    </xf>
    <xf numFmtId="3" fontId="15" fillId="5" borderId="1" xfId="0" applyNumberFormat="1" applyFont="1" applyFill="1" applyBorder="1" applyAlignment="1">
      <alignment horizontal="right" vertical="top" wrapText="1"/>
    </xf>
    <xf numFmtId="1" fontId="15" fillId="5" borderId="1" xfId="0" applyNumberFormat="1" applyFont="1" applyFill="1" applyBorder="1" applyAlignment="1">
      <alignment horizontal="right" vertical="top" wrapText="1"/>
    </xf>
    <xf numFmtId="3" fontId="16" fillId="5" borderId="1" xfId="0" applyNumberFormat="1" applyFont="1" applyFill="1" applyBorder="1" applyAlignment="1">
      <alignment horizontal="right" vertical="top" wrapText="1"/>
    </xf>
    <xf numFmtId="165" fontId="15" fillId="5" borderId="1" xfId="123" applyNumberFormat="1" applyFont="1" applyFill="1" applyBorder="1" applyAlignment="1">
      <alignment horizontal="right" vertical="top" wrapText="1"/>
    </xf>
    <xf numFmtId="167" fontId="18" fillId="3" borderId="1" xfId="0" applyNumberFormat="1" applyFont="1" applyFill="1" applyBorder="1" applyAlignment="1">
      <alignment horizontal="right" vertical="top" wrapText="1"/>
    </xf>
    <xf numFmtId="169" fontId="18" fillId="4" borderId="1" xfId="0" applyNumberFormat="1" applyFont="1" applyFill="1" applyBorder="1" applyAlignment="1">
      <alignment horizontal="right" vertical="top" wrapText="1"/>
    </xf>
    <xf numFmtId="1" fontId="16" fillId="3" borderId="4" xfId="0" applyNumberFormat="1" applyFont="1" applyFill="1" applyBorder="1" applyAlignment="1">
      <alignment horizontal="right" vertical="top" wrapText="1"/>
    </xf>
    <xf numFmtId="1" fontId="16" fillId="5" borderId="1" xfId="0" applyNumberFormat="1" applyFont="1" applyFill="1" applyBorder="1" applyAlignment="1">
      <alignment horizontal="right" vertical="top" wrapText="1"/>
    </xf>
    <xf numFmtId="169" fontId="17" fillId="4" borderId="1" xfId="0" applyNumberFormat="1" applyFont="1" applyFill="1" applyBorder="1" applyAlignment="1">
      <alignment horizontal="right" vertical="top" wrapText="1"/>
    </xf>
    <xf numFmtId="0" fontId="15" fillId="4" borderId="1" xfId="0" applyFont="1" applyFill="1" applyBorder="1" applyAlignment="1">
      <alignment horizontal="left" vertical="top" wrapText="1"/>
    </xf>
    <xf numFmtId="0" fontId="15" fillId="4" borderId="1" xfId="0" applyFont="1" applyFill="1" applyBorder="1" applyAlignment="1">
      <alignment horizontal="right" vertical="top" wrapText="1"/>
    </xf>
    <xf numFmtId="0" fontId="15" fillId="4" borderId="1" xfId="0" applyFont="1" applyFill="1" applyBorder="1" applyAlignment="1">
      <alignment vertical="top" wrapText="1"/>
    </xf>
    <xf numFmtId="9" fontId="8" fillId="3" borderId="16" xfId="0" applyNumberFormat="1" applyFont="1" applyFill="1" applyBorder="1" applyAlignment="1">
      <alignment horizontal="right" vertical="top" wrapText="1"/>
    </xf>
    <xf numFmtId="165" fontId="16" fillId="3" borderId="15" xfId="123" applyNumberFormat="1" applyFont="1" applyFill="1" applyBorder="1" applyAlignment="1">
      <alignment vertical="top" wrapText="1"/>
    </xf>
    <xf numFmtId="165" fontId="17" fillId="3" borderId="15" xfId="123" applyNumberFormat="1" applyFont="1" applyFill="1" applyBorder="1" applyAlignment="1">
      <alignment vertical="top" wrapText="1"/>
    </xf>
    <xf numFmtId="165" fontId="7" fillId="3" borderId="15" xfId="123" applyNumberFormat="1" applyFont="1" applyFill="1" applyBorder="1" applyAlignment="1">
      <alignment vertical="top" wrapText="1"/>
    </xf>
    <xf numFmtId="17" fontId="0" fillId="0" borderId="4" xfId="0" applyNumberFormat="1" applyBorder="1" applyAlignment="1">
      <alignment horizontal="left" vertical="top" wrapText="1"/>
    </xf>
    <xf numFmtId="17" fontId="0" fillId="0" borderId="2" xfId="0" applyNumberForma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5" borderId="8" xfId="0" applyFill="1" applyBorder="1" applyAlignment="1">
      <alignment horizontal="center" vertical="top" wrapText="1"/>
    </xf>
    <xf numFmtId="0" fontId="0" fillId="5"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8" xfId="0" applyFill="1" applyBorder="1" applyAlignment="1">
      <alignment horizontal="center" vertical="top" wrapText="1"/>
    </xf>
    <xf numFmtId="0" fontId="0" fillId="3" borderId="14" xfId="0" applyFill="1" applyBorder="1" applyAlignment="1">
      <alignment horizontal="center"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9" fillId="4"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8" xfId="0" applyFont="1" applyFill="1" applyBorder="1" applyAlignment="1">
      <alignment horizontal="center" vertical="top" wrapText="1"/>
    </xf>
    <xf numFmtId="0" fontId="9" fillId="3" borderId="2" xfId="0" applyFont="1" applyFill="1" applyBorder="1" applyAlignment="1">
      <alignment horizontal="center" vertical="top" wrapText="1"/>
    </xf>
    <xf numFmtId="0" fontId="0" fillId="0" borderId="0" xfId="0" applyBorder="1" applyAlignment="1">
      <alignment horizontal="left" vertical="top" wrapText="1"/>
    </xf>
  </cellXfs>
  <cellStyles count="127">
    <cellStyle name="Comma" xfId="123"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4" builtinId="8" hidden="1"/>
    <cellStyle name="Normal" xfId="0" builtinId="0"/>
    <cellStyle name="Per cent" xfId="126" builtinId="5"/>
  </cellStyles>
  <dxfs count="0"/>
  <tableStyles count="0" defaultTableStyle="TableStyleMedium9" defaultPivotStyle="PivotStyleMedium4"/>
  <colors>
    <mruColors>
      <color rgb="FFEAF1FA"/>
      <color rgb="FFFFFFC9"/>
      <color rgb="FFE5F4D4"/>
      <color rgb="FFDAEFC3"/>
      <color rgb="FFB2CCEC"/>
      <color rgb="FFCAE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60"/>
  <sheetViews>
    <sheetView tabSelected="1" zoomScale="60" zoomScaleNormal="60" zoomScalePageLayoutView="75" workbookViewId="0">
      <pane ySplit="3020" topLeftCell="A28" activePane="bottomLeft"/>
      <selection activeCell="E5" sqref="E5"/>
      <selection pane="bottomLeft" activeCell="F58" sqref="F58"/>
    </sheetView>
  </sheetViews>
  <sheetFormatPr baseColWidth="10" defaultColWidth="11" defaultRowHeight="16" x14ac:dyDescent="0.2"/>
  <cols>
    <col min="1" max="1" width="14.83203125" style="13" bestFit="1" customWidth="1"/>
    <col min="2" max="2" width="12.1640625" style="13" customWidth="1"/>
    <col min="3" max="3" width="17" style="13" customWidth="1"/>
    <col min="4" max="5" width="19" style="13" customWidth="1"/>
    <col min="6" max="6" width="54.1640625" style="13" customWidth="1"/>
    <col min="7" max="7" width="15.33203125" style="13" customWidth="1"/>
    <col min="8" max="8" width="8.5" style="13" customWidth="1"/>
    <col min="9" max="9" width="12" style="32" customWidth="1"/>
    <col min="10" max="10" width="8.6640625" style="1" customWidth="1"/>
    <col min="11" max="11" width="11.83203125" style="32" customWidth="1"/>
    <col min="12" max="12" width="9.6640625" style="1" customWidth="1"/>
    <col min="13" max="13" width="11.1640625" style="32" customWidth="1"/>
    <col min="14" max="14" width="15.6640625" style="32" customWidth="1"/>
    <col min="15" max="15" width="15.83203125" style="32" customWidth="1"/>
    <col min="16" max="16" width="15.83203125" style="133" customWidth="1"/>
    <col min="17" max="17" width="14" style="1" customWidth="1"/>
    <col min="18" max="18" width="8.6640625" style="1" customWidth="1"/>
    <col min="19" max="19" width="6" style="1" customWidth="1"/>
    <col min="20" max="20" width="7.33203125" style="1" customWidth="1"/>
    <col min="21" max="21" width="7" style="1" customWidth="1"/>
    <col min="22" max="22" width="7.5" style="1" customWidth="1"/>
    <col min="23" max="23" width="14.6640625" style="158" customWidth="1"/>
    <col min="24" max="24" width="12.6640625" style="158" customWidth="1"/>
    <col min="25" max="25" width="16.6640625" style="1" customWidth="1"/>
    <col min="26" max="26" width="14.5" style="1" customWidth="1"/>
    <col min="27" max="27" width="6.1640625" style="1" customWidth="1"/>
    <col min="28" max="28" width="7.33203125" style="1" customWidth="1"/>
    <col min="29" max="29" width="7.1640625" style="1" customWidth="1"/>
    <col min="30" max="30" width="7.6640625" style="1" customWidth="1"/>
    <col min="31" max="31" width="9.1640625" style="1" customWidth="1"/>
    <col min="32" max="33" width="8.5" style="1" customWidth="1"/>
    <col min="34" max="34" width="11.5" style="148" bestFit="1" customWidth="1"/>
    <col min="35" max="35" width="9.33203125" style="141" bestFit="1" customWidth="1"/>
    <col min="36" max="36" width="12.1640625" style="1" customWidth="1"/>
    <col min="37" max="37" width="11.83203125" style="1" customWidth="1"/>
    <col min="38" max="88" width="11" style="16"/>
    <col min="89" max="16384" width="11" style="2"/>
  </cols>
  <sheetData>
    <row r="1" spans="1:88" s="16" customFormat="1" ht="24.75" customHeight="1" x14ac:dyDescent="0.2">
      <c r="A1" s="207" t="s">
        <v>97</v>
      </c>
      <c r="B1" s="207"/>
      <c r="C1" s="207"/>
      <c r="D1" s="207"/>
      <c r="E1" s="207"/>
      <c r="F1" s="207"/>
      <c r="G1" s="207"/>
      <c r="H1" s="207"/>
      <c r="I1" s="207"/>
      <c r="J1" s="207"/>
      <c r="K1" s="207"/>
      <c r="L1" s="207"/>
      <c r="M1" s="207"/>
      <c r="N1" s="31"/>
      <c r="O1" s="31"/>
      <c r="P1" s="126"/>
      <c r="Q1" s="41"/>
      <c r="R1" s="41"/>
      <c r="S1" s="41"/>
      <c r="T1" s="41"/>
      <c r="U1" s="41"/>
      <c r="V1" s="41"/>
      <c r="W1" s="149"/>
      <c r="X1" s="149"/>
      <c r="Y1" s="41"/>
      <c r="Z1" s="41"/>
      <c r="AA1" s="41"/>
      <c r="AB1" s="3"/>
      <c r="AC1" s="3"/>
      <c r="AD1" s="3"/>
      <c r="AE1" s="41"/>
      <c r="AF1" s="3"/>
      <c r="AG1" s="3"/>
      <c r="AH1" s="142"/>
      <c r="AI1" s="134"/>
      <c r="AJ1" s="3"/>
      <c r="AK1" s="3"/>
    </row>
    <row r="2" spans="1:88" s="16" customFormat="1" ht="25.5" customHeight="1" x14ac:dyDescent="0.2">
      <c r="A2" s="208" t="s">
        <v>98</v>
      </c>
      <c r="B2" s="208"/>
      <c r="C2" s="208"/>
      <c r="D2" s="208"/>
      <c r="E2" s="208"/>
      <c r="F2" s="208"/>
      <c r="G2" s="208"/>
      <c r="H2" s="208"/>
      <c r="I2" s="208"/>
      <c r="J2" s="208"/>
      <c r="K2" s="208"/>
      <c r="L2" s="208"/>
      <c r="M2" s="208"/>
      <c r="N2" s="34"/>
      <c r="O2" s="34"/>
      <c r="P2" s="127"/>
      <c r="Q2" s="17"/>
      <c r="R2" s="17"/>
      <c r="S2" s="17"/>
      <c r="T2" s="17"/>
      <c r="U2" s="17"/>
      <c r="V2" s="17"/>
      <c r="W2" s="150"/>
      <c r="X2" s="149"/>
      <c r="Y2" s="41"/>
      <c r="Z2" s="41"/>
      <c r="AA2" s="41"/>
      <c r="AB2" s="3"/>
      <c r="AC2" s="3"/>
      <c r="AD2" s="3"/>
      <c r="AE2" s="3"/>
      <c r="AF2" s="3"/>
      <c r="AG2" s="3"/>
      <c r="AH2" s="142"/>
      <c r="AI2" s="134"/>
      <c r="AJ2" s="3"/>
      <c r="AK2" s="3"/>
    </row>
    <row r="3" spans="1:88" s="18" customFormat="1" ht="30.75" customHeight="1" x14ac:dyDescent="0.2">
      <c r="A3" s="209" t="s">
        <v>72</v>
      </c>
      <c r="B3" s="209"/>
      <c r="C3" s="209"/>
      <c r="D3" s="209"/>
      <c r="E3" s="209"/>
      <c r="F3" s="209"/>
      <c r="G3" s="209"/>
      <c r="H3" s="209"/>
      <c r="I3" s="209"/>
      <c r="J3" s="209"/>
      <c r="K3" s="209"/>
      <c r="L3" s="209"/>
      <c r="M3" s="209"/>
      <c r="N3" s="210"/>
      <c r="O3" s="213" t="s">
        <v>56</v>
      </c>
      <c r="P3" s="214"/>
      <c r="Q3" s="214"/>
      <c r="R3" s="214"/>
      <c r="S3" s="214"/>
      <c r="T3" s="214"/>
      <c r="U3" s="214"/>
      <c r="V3" s="214"/>
      <c r="W3" s="214"/>
      <c r="X3" s="214"/>
      <c r="Y3" s="214"/>
      <c r="Z3" s="214"/>
      <c r="AA3" s="214"/>
      <c r="AB3" s="214"/>
      <c r="AC3" s="214"/>
      <c r="AD3" s="215"/>
      <c r="AE3" s="93"/>
      <c r="AF3" s="93"/>
      <c r="AG3" s="93"/>
      <c r="AH3" s="143"/>
      <c r="AI3" s="135"/>
      <c r="AJ3" s="93"/>
      <c r="AK3" s="93"/>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row>
    <row r="4" spans="1:88" s="1" customFormat="1" ht="39.75" customHeight="1" x14ac:dyDescent="0.2">
      <c r="A4" s="211"/>
      <c r="B4" s="211"/>
      <c r="C4" s="211"/>
      <c r="D4" s="211"/>
      <c r="E4" s="211"/>
      <c r="F4" s="211"/>
      <c r="G4" s="211"/>
      <c r="H4" s="211"/>
      <c r="I4" s="211"/>
      <c r="J4" s="211"/>
      <c r="K4" s="211"/>
      <c r="L4" s="211"/>
      <c r="M4" s="211"/>
      <c r="N4" s="212"/>
      <c r="O4" s="95"/>
      <c r="P4" s="128"/>
      <c r="Q4" s="204" t="s">
        <v>71</v>
      </c>
      <c r="R4" s="205"/>
      <c r="S4" s="205"/>
      <c r="T4" s="205"/>
      <c r="U4" s="205"/>
      <c r="V4" s="205"/>
      <c r="W4" s="205"/>
      <c r="X4" s="206"/>
      <c r="Y4" s="204" t="s">
        <v>103</v>
      </c>
      <c r="Z4" s="205"/>
      <c r="AA4" s="205"/>
      <c r="AB4" s="205"/>
      <c r="AC4" s="205"/>
      <c r="AD4" s="206"/>
      <c r="AE4" s="202" t="s">
        <v>108</v>
      </c>
      <c r="AF4" s="202"/>
      <c r="AG4" s="202"/>
      <c r="AH4" s="202"/>
      <c r="AI4" s="202"/>
      <c r="AJ4" s="202"/>
      <c r="AK4" s="203"/>
      <c r="AL4" s="3" t="s">
        <v>125</v>
      </c>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row>
    <row r="5" spans="1:88" s="1" customFormat="1" ht="114" customHeight="1" x14ac:dyDescent="0.2">
      <c r="A5" s="42" t="s">
        <v>38</v>
      </c>
      <c r="B5" s="43" t="s">
        <v>0</v>
      </c>
      <c r="C5" s="43" t="s">
        <v>57</v>
      </c>
      <c r="D5" s="43" t="s">
        <v>149</v>
      </c>
      <c r="E5" s="43" t="s">
        <v>150</v>
      </c>
      <c r="F5" s="43" t="s">
        <v>13</v>
      </c>
      <c r="G5" s="43" t="s">
        <v>46</v>
      </c>
      <c r="H5" s="43" t="s">
        <v>70</v>
      </c>
      <c r="I5" s="44" t="s">
        <v>26</v>
      </c>
      <c r="J5" s="45" t="s">
        <v>45</v>
      </c>
      <c r="K5" s="44" t="s">
        <v>32</v>
      </c>
      <c r="L5" s="45" t="s">
        <v>45</v>
      </c>
      <c r="M5" s="98" t="s">
        <v>40</v>
      </c>
      <c r="N5" s="98" t="s">
        <v>41</v>
      </c>
      <c r="O5" s="63" t="s">
        <v>50</v>
      </c>
      <c r="P5" s="129" t="s">
        <v>107</v>
      </c>
      <c r="Q5" s="118" t="s">
        <v>121</v>
      </c>
      <c r="R5" s="96" t="s">
        <v>120</v>
      </c>
      <c r="S5" s="64" t="s">
        <v>105</v>
      </c>
      <c r="T5" s="64" t="s">
        <v>102</v>
      </c>
      <c r="U5" s="64" t="s">
        <v>100</v>
      </c>
      <c r="V5" s="64" t="s">
        <v>101</v>
      </c>
      <c r="W5" s="68" t="s">
        <v>54</v>
      </c>
      <c r="X5" s="120" t="s">
        <v>55</v>
      </c>
      <c r="Y5" s="112" t="s">
        <v>131</v>
      </c>
      <c r="Z5" s="94" t="s">
        <v>45</v>
      </c>
      <c r="AA5" s="64" t="s">
        <v>105</v>
      </c>
      <c r="AB5" s="64" t="s">
        <v>102</v>
      </c>
      <c r="AC5" s="64" t="s">
        <v>100</v>
      </c>
      <c r="AD5" s="113" t="s">
        <v>101</v>
      </c>
      <c r="AE5" s="110" t="s">
        <v>109</v>
      </c>
      <c r="AF5" s="82" t="s">
        <v>104</v>
      </c>
      <c r="AG5" s="82" t="s">
        <v>123</v>
      </c>
      <c r="AH5" s="144" t="s">
        <v>141</v>
      </c>
      <c r="AI5" s="136" t="s">
        <v>110</v>
      </c>
      <c r="AJ5" s="82" t="s">
        <v>126</v>
      </c>
      <c r="AK5" s="82" t="s">
        <v>111</v>
      </c>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row>
    <row r="6" spans="1:88" ht="51" x14ac:dyDescent="0.2">
      <c r="A6" s="42" t="s">
        <v>39</v>
      </c>
      <c r="B6" s="42" t="s">
        <v>23</v>
      </c>
      <c r="C6" s="42" t="s">
        <v>58</v>
      </c>
      <c r="D6" s="42" t="s">
        <v>14</v>
      </c>
      <c r="E6" s="42"/>
      <c r="F6" s="42" t="s">
        <v>44</v>
      </c>
      <c r="G6" s="42" t="s">
        <v>47</v>
      </c>
      <c r="H6" s="42">
        <v>2015</v>
      </c>
      <c r="I6" s="46">
        <v>88</v>
      </c>
      <c r="J6" s="47" t="s">
        <v>27</v>
      </c>
      <c r="K6" s="48">
        <v>10.4</v>
      </c>
      <c r="L6" s="47" t="s">
        <v>27</v>
      </c>
      <c r="M6" s="99">
        <f>I6/K$56</f>
        <v>8.9795918367346932</v>
      </c>
      <c r="N6" s="99">
        <f>K6/K$56</f>
        <v>1.0612244897959184</v>
      </c>
      <c r="O6" s="65">
        <f t="shared" ref="O6:O12" si="0">N6/M6</f>
        <v>0.11818181818181819</v>
      </c>
      <c r="P6" s="129"/>
      <c r="Q6" s="119">
        <v>218</v>
      </c>
      <c r="R6" s="97" t="s">
        <v>99</v>
      </c>
      <c r="S6" s="66"/>
      <c r="T6" s="67"/>
      <c r="U6" s="63"/>
      <c r="V6" s="63"/>
      <c r="W6" s="68">
        <f>AI6</f>
        <v>0</v>
      </c>
      <c r="X6" s="120"/>
      <c r="Y6" s="114">
        <f>K6*1000000</f>
        <v>10400000</v>
      </c>
      <c r="Z6" s="124" t="str">
        <f>L6</f>
        <v>MAD</v>
      </c>
      <c r="AA6" s="64"/>
      <c r="AB6" s="69"/>
      <c r="AC6" s="70"/>
      <c r="AD6" s="115"/>
      <c r="AE6" s="111">
        <f t="shared" ref="AE6:AE12" si="1">K6/I6</f>
        <v>0.11818181818181818</v>
      </c>
      <c r="AF6" s="84">
        <f t="shared" ref="AF6:AF12" si="2">(K6/Q6)*1000000/12</f>
        <v>3975.5351681957186</v>
      </c>
      <c r="AG6" s="84" t="s">
        <v>127</v>
      </c>
      <c r="AH6" s="83"/>
      <c r="AI6" s="84"/>
      <c r="AJ6" s="85">
        <f>(I6/Q6)*1000000</f>
        <v>403669.72477064223</v>
      </c>
      <c r="AK6" s="84">
        <f t="shared" ref="AK6:AK34" si="3">Q6/N6</f>
        <v>205.42307692307691</v>
      </c>
      <c r="AL6" s="3"/>
      <c r="AM6" s="3"/>
    </row>
    <row r="7" spans="1:88" ht="34" x14ac:dyDescent="0.2">
      <c r="A7" s="42" t="s">
        <v>39</v>
      </c>
      <c r="B7" s="42" t="s">
        <v>23</v>
      </c>
      <c r="C7" s="42" t="s">
        <v>59</v>
      </c>
      <c r="D7" s="42" t="s">
        <v>15</v>
      </c>
      <c r="E7" s="42"/>
      <c r="F7" s="42" t="s">
        <v>5</v>
      </c>
      <c r="G7" s="42" t="s">
        <v>47</v>
      </c>
      <c r="H7" s="42">
        <v>2015</v>
      </c>
      <c r="I7" s="46">
        <v>1000</v>
      </c>
      <c r="J7" s="106" t="s">
        <v>30</v>
      </c>
      <c r="K7" s="48">
        <v>106</v>
      </c>
      <c r="L7" s="47" t="s">
        <v>27</v>
      </c>
      <c r="M7" s="99">
        <f>I7/K$56</f>
        <v>102.0408163265306</v>
      </c>
      <c r="N7" s="99">
        <f>K7/K$56</f>
        <v>10.816326530612244</v>
      </c>
      <c r="O7" s="65">
        <f t="shared" si="0"/>
        <v>0.106</v>
      </c>
      <c r="P7" s="129"/>
      <c r="Q7" s="119">
        <v>950</v>
      </c>
      <c r="R7" s="97" t="s">
        <v>99</v>
      </c>
      <c r="S7" s="70"/>
      <c r="T7" s="67"/>
      <c r="U7" s="63"/>
      <c r="V7" s="63"/>
      <c r="W7" s="68">
        <f>AI7</f>
        <v>0</v>
      </c>
      <c r="X7" s="120"/>
      <c r="Y7" s="114">
        <f t="shared" ref="Y7:Y34" si="4">K7*1000000</f>
        <v>106000000</v>
      </c>
      <c r="Z7" s="124" t="str">
        <f t="shared" ref="Z7:Z47" si="5">L7</f>
        <v>MAD</v>
      </c>
      <c r="AA7" s="64"/>
      <c r="AB7" s="69"/>
      <c r="AC7" s="70"/>
      <c r="AD7" s="115"/>
      <c r="AE7" s="111">
        <f t="shared" si="1"/>
        <v>0.106</v>
      </c>
      <c r="AF7" s="84">
        <f t="shared" si="2"/>
        <v>9298.2456140350878</v>
      </c>
      <c r="AG7" s="84" t="s">
        <v>127</v>
      </c>
      <c r="AH7" s="83"/>
      <c r="AI7" s="84"/>
      <c r="AJ7" s="85">
        <f t="shared" ref="AJ7:AJ49" si="6">(I7/Q7)*1000000</f>
        <v>1052631.5789473683</v>
      </c>
      <c r="AK7" s="84">
        <f t="shared" si="3"/>
        <v>87.830188679245296</v>
      </c>
      <c r="AL7" s="3"/>
      <c r="AM7" s="3"/>
    </row>
    <row r="8" spans="1:88" ht="34" x14ac:dyDescent="0.2">
      <c r="A8" s="42" t="s">
        <v>39</v>
      </c>
      <c r="B8" s="42" t="s">
        <v>23</v>
      </c>
      <c r="C8" s="42" t="s">
        <v>60</v>
      </c>
      <c r="D8" s="42" t="s">
        <v>16</v>
      </c>
      <c r="E8" s="42"/>
      <c r="F8" s="42" t="s">
        <v>11</v>
      </c>
      <c r="G8" s="42" t="s">
        <v>47</v>
      </c>
      <c r="H8" s="42">
        <v>2015</v>
      </c>
      <c r="I8" s="46">
        <v>437</v>
      </c>
      <c r="J8" s="47" t="s">
        <v>27</v>
      </c>
      <c r="K8" s="48">
        <v>49</v>
      </c>
      <c r="L8" s="47" t="s">
        <v>27</v>
      </c>
      <c r="M8" s="99">
        <f>I8/K$56</f>
        <v>44.591836734693871</v>
      </c>
      <c r="N8" s="99">
        <f>K8/K$56</f>
        <v>5</v>
      </c>
      <c r="O8" s="71">
        <f t="shared" si="0"/>
        <v>0.11212814645308926</v>
      </c>
      <c r="P8" s="129"/>
      <c r="Q8" s="119">
        <v>850</v>
      </c>
      <c r="R8" s="97" t="s">
        <v>99</v>
      </c>
      <c r="S8" s="66"/>
      <c r="T8" s="67"/>
      <c r="U8" s="63"/>
      <c r="V8" s="63"/>
      <c r="W8" s="68"/>
      <c r="X8" s="120"/>
      <c r="Y8" s="114">
        <f t="shared" si="4"/>
        <v>49000000</v>
      </c>
      <c r="Z8" s="124" t="str">
        <f t="shared" si="5"/>
        <v>MAD</v>
      </c>
      <c r="AA8" s="64"/>
      <c r="AB8" s="69"/>
      <c r="AC8" s="70"/>
      <c r="AD8" s="115"/>
      <c r="AE8" s="111">
        <f t="shared" si="1"/>
        <v>0.11212814645308924</v>
      </c>
      <c r="AF8" s="84">
        <f t="shared" si="2"/>
        <v>4803.9215686274511</v>
      </c>
      <c r="AG8" s="84" t="s">
        <v>127</v>
      </c>
      <c r="AH8" s="83"/>
      <c r="AI8" s="84"/>
      <c r="AJ8" s="85">
        <f t="shared" si="6"/>
        <v>514117.64705882355</v>
      </c>
      <c r="AK8" s="84">
        <f t="shared" si="3"/>
        <v>170</v>
      </c>
      <c r="AL8" s="3"/>
      <c r="AM8" s="3"/>
    </row>
    <row r="9" spans="1:88" ht="34" x14ac:dyDescent="0.2">
      <c r="A9" s="42" t="s">
        <v>39</v>
      </c>
      <c r="B9" s="42" t="s">
        <v>23</v>
      </c>
      <c r="C9" s="42" t="s">
        <v>61</v>
      </c>
      <c r="D9" s="42" t="s">
        <v>16</v>
      </c>
      <c r="E9" s="42"/>
      <c r="F9" s="42" t="s">
        <v>24</v>
      </c>
      <c r="G9" s="42" t="s">
        <v>47</v>
      </c>
      <c r="H9" s="42">
        <v>2015</v>
      </c>
      <c r="I9" s="46">
        <v>237</v>
      </c>
      <c r="J9" s="47" t="s">
        <v>27</v>
      </c>
      <c r="K9" s="48">
        <v>13</v>
      </c>
      <c r="L9" s="47" t="s">
        <v>27</v>
      </c>
      <c r="M9" s="99">
        <f>I9/K$56</f>
        <v>24.183673469387752</v>
      </c>
      <c r="N9" s="99">
        <f>K9/K$56</f>
        <v>1.3265306122448979</v>
      </c>
      <c r="O9" s="71">
        <f t="shared" si="0"/>
        <v>5.4852320675105488E-2</v>
      </c>
      <c r="P9" s="129"/>
      <c r="Q9" s="119">
        <v>496</v>
      </c>
      <c r="R9" s="97" t="s">
        <v>99</v>
      </c>
      <c r="S9" s="66"/>
      <c r="T9" s="67"/>
      <c r="U9" s="63"/>
      <c r="V9" s="63"/>
      <c r="W9" s="68"/>
      <c r="X9" s="120"/>
      <c r="Y9" s="114">
        <f t="shared" si="4"/>
        <v>13000000</v>
      </c>
      <c r="Z9" s="124" t="str">
        <f t="shared" si="5"/>
        <v>MAD</v>
      </c>
      <c r="AA9" s="64"/>
      <c r="AB9" s="69"/>
      <c r="AC9" s="70"/>
      <c r="AD9" s="115"/>
      <c r="AE9" s="111">
        <f t="shared" si="1"/>
        <v>5.4852320675105488E-2</v>
      </c>
      <c r="AF9" s="84">
        <f t="shared" si="2"/>
        <v>2184.1397849462369</v>
      </c>
      <c r="AG9" s="84" t="s">
        <v>127</v>
      </c>
      <c r="AH9" s="83"/>
      <c r="AI9" s="84"/>
      <c r="AJ9" s="85">
        <f t="shared" si="6"/>
        <v>477822.58064516133</v>
      </c>
      <c r="AK9" s="84">
        <f t="shared" si="3"/>
        <v>373.90769230769234</v>
      </c>
      <c r="AL9" s="3"/>
      <c r="AM9" s="3"/>
    </row>
    <row r="10" spans="1:88" ht="34" x14ac:dyDescent="0.2">
      <c r="A10" s="42" t="s">
        <v>39</v>
      </c>
      <c r="B10" s="42" t="s">
        <v>2</v>
      </c>
      <c r="C10" s="42" t="s">
        <v>62</v>
      </c>
      <c r="D10" s="42" t="s">
        <v>14</v>
      </c>
      <c r="E10" s="42"/>
      <c r="F10" s="42" t="s">
        <v>6</v>
      </c>
      <c r="G10" s="42" t="s">
        <v>47</v>
      </c>
      <c r="H10" s="42">
        <v>2015</v>
      </c>
      <c r="I10" s="46">
        <v>41.9</v>
      </c>
      <c r="J10" s="47" t="s">
        <v>28</v>
      </c>
      <c r="K10" s="48">
        <v>5.96</v>
      </c>
      <c r="L10" s="47" t="s">
        <v>28</v>
      </c>
      <c r="M10" s="99">
        <f>I10*K$53</f>
        <v>45.670999999999999</v>
      </c>
      <c r="N10" s="99">
        <f>K10*K$53</f>
        <v>6.4964000000000004</v>
      </c>
      <c r="O10" s="71">
        <f t="shared" si="0"/>
        <v>0.14224343675417661</v>
      </c>
      <c r="P10" s="129"/>
      <c r="Q10" s="119">
        <v>1096</v>
      </c>
      <c r="R10" s="97" t="s">
        <v>99</v>
      </c>
      <c r="S10" s="66"/>
      <c r="T10" s="67"/>
      <c r="U10" s="63"/>
      <c r="V10" s="63"/>
      <c r="W10" s="68"/>
      <c r="X10" s="120"/>
      <c r="Y10" s="114">
        <f t="shared" si="4"/>
        <v>5960000</v>
      </c>
      <c r="Z10" s="124" t="str">
        <f t="shared" si="5"/>
        <v>Euro</v>
      </c>
      <c r="AA10" s="64"/>
      <c r="AB10" s="69"/>
      <c r="AC10" s="70"/>
      <c r="AD10" s="115"/>
      <c r="AE10" s="111">
        <f t="shared" si="1"/>
        <v>0.14224343675417661</v>
      </c>
      <c r="AF10" s="84">
        <f t="shared" si="2"/>
        <v>453.16301703163009</v>
      </c>
      <c r="AG10" s="84" t="s">
        <v>127</v>
      </c>
      <c r="AH10" s="83"/>
      <c r="AI10" s="84"/>
      <c r="AJ10" s="85">
        <f t="shared" si="6"/>
        <v>38229.927007299266</v>
      </c>
      <c r="AK10" s="84">
        <f t="shared" si="3"/>
        <v>168.70882334831597</v>
      </c>
      <c r="AL10" s="3"/>
    </row>
    <row r="11" spans="1:88" ht="68" x14ac:dyDescent="0.2">
      <c r="A11" s="42" t="s">
        <v>39</v>
      </c>
      <c r="B11" s="42" t="s">
        <v>2</v>
      </c>
      <c r="C11" s="42" t="s">
        <v>63</v>
      </c>
      <c r="D11" s="42" t="s">
        <v>15</v>
      </c>
      <c r="E11" s="42"/>
      <c r="F11" s="42" t="s">
        <v>35</v>
      </c>
      <c r="G11" s="42" t="s">
        <v>47</v>
      </c>
      <c r="H11" s="42">
        <v>2015</v>
      </c>
      <c r="I11" s="46">
        <v>300</v>
      </c>
      <c r="J11" s="47" t="s">
        <v>28</v>
      </c>
      <c r="K11" s="48">
        <v>28.2</v>
      </c>
      <c r="L11" s="47" t="s">
        <v>28</v>
      </c>
      <c r="M11" s="99">
        <f>I11*K$53</f>
        <v>327</v>
      </c>
      <c r="N11" s="99">
        <f>K11*K$53</f>
        <v>30.738000000000003</v>
      </c>
      <c r="O11" s="71">
        <f t="shared" si="0"/>
        <v>9.4000000000000014E-2</v>
      </c>
      <c r="P11" s="129"/>
      <c r="Q11" s="119">
        <v>6265</v>
      </c>
      <c r="R11" s="97" t="s">
        <v>99</v>
      </c>
      <c r="S11" s="66"/>
      <c r="T11" s="67"/>
      <c r="U11" s="63"/>
      <c r="V11" s="63"/>
      <c r="W11" s="68">
        <f>AI11</f>
        <v>0</v>
      </c>
      <c r="X11" s="121"/>
      <c r="Y11" s="114">
        <f t="shared" si="4"/>
        <v>28200000</v>
      </c>
      <c r="Z11" s="124" t="str">
        <f t="shared" si="5"/>
        <v>Euro</v>
      </c>
      <c r="AA11" s="64"/>
      <c r="AB11" s="69"/>
      <c r="AC11" s="70"/>
      <c r="AD11" s="115"/>
      <c r="AE11" s="111">
        <f t="shared" si="1"/>
        <v>9.4E-2</v>
      </c>
      <c r="AF11" s="84">
        <f t="shared" si="2"/>
        <v>375.09976057462092</v>
      </c>
      <c r="AG11" s="84" t="s">
        <v>127</v>
      </c>
      <c r="AH11" s="83"/>
      <c r="AI11" s="84"/>
      <c r="AJ11" s="85">
        <f t="shared" si="6"/>
        <v>47885.075818036712</v>
      </c>
      <c r="AK11" s="84">
        <f t="shared" si="3"/>
        <v>203.8193766673173</v>
      </c>
      <c r="AL11" s="3"/>
    </row>
    <row r="12" spans="1:88" ht="34" x14ac:dyDescent="0.2">
      <c r="A12" s="42" t="s">
        <v>39</v>
      </c>
      <c r="B12" s="42" t="s">
        <v>3</v>
      </c>
      <c r="C12" s="42" t="s">
        <v>64</v>
      </c>
      <c r="D12" s="42" t="s">
        <v>14</v>
      </c>
      <c r="E12" s="42"/>
      <c r="F12" s="42" t="s">
        <v>7</v>
      </c>
      <c r="G12" s="42" t="s">
        <v>47</v>
      </c>
      <c r="H12" s="42">
        <v>2015</v>
      </c>
      <c r="I12" s="46">
        <v>160</v>
      </c>
      <c r="J12" s="47" t="s">
        <v>31</v>
      </c>
      <c r="K12" s="48">
        <v>41</v>
      </c>
      <c r="L12" s="47" t="s">
        <v>31</v>
      </c>
      <c r="M12" s="99">
        <f>I12/K55</f>
        <v>223.58974358974362</v>
      </c>
      <c r="N12" s="99">
        <f>K12/K55</f>
        <v>57.294871794871803</v>
      </c>
      <c r="O12" s="71">
        <f t="shared" si="0"/>
        <v>0.25624999999999998</v>
      </c>
      <c r="P12" s="129"/>
      <c r="Q12" s="119">
        <v>4727</v>
      </c>
      <c r="R12" s="97" t="s">
        <v>99</v>
      </c>
      <c r="S12" s="66"/>
      <c r="T12" s="67"/>
      <c r="U12" s="63"/>
      <c r="V12" s="63"/>
      <c r="W12" s="68">
        <f>AI12</f>
        <v>0</v>
      </c>
      <c r="X12" s="120"/>
      <c r="Y12" s="114">
        <f t="shared" si="4"/>
        <v>41000000</v>
      </c>
      <c r="Z12" s="124" t="str">
        <f t="shared" si="5"/>
        <v>JOD</v>
      </c>
      <c r="AA12" s="64"/>
      <c r="AB12" s="69"/>
      <c r="AC12" s="70"/>
      <c r="AD12" s="115"/>
      <c r="AE12" s="111">
        <f t="shared" si="1"/>
        <v>0.25624999999999998</v>
      </c>
      <c r="AF12" s="84">
        <f t="shared" si="2"/>
        <v>722.79811014738027</v>
      </c>
      <c r="AG12" s="84" t="s">
        <v>127</v>
      </c>
      <c r="AH12" s="83"/>
      <c r="AI12" s="84"/>
      <c r="AJ12" s="85">
        <f t="shared" si="6"/>
        <v>33848.106621535859</v>
      </c>
      <c r="AK12" s="84">
        <f t="shared" si="3"/>
        <v>82.503020810024609</v>
      </c>
      <c r="AL12" s="3"/>
    </row>
    <row r="13" spans="1:88" ht="34" x14ac:dyDescent="0.2">
      <c r="A13" s="42" t="s">
        <v>39</v>
      </c>
      <c r="B13" s="42" t="s">
        <v>3</v>
      </c>
      <c r="C13" s="42" t="s">
        <v>65</v>
      </c>
      <c r="D13" s="42" t="s">
        <v>15</v>
      </c>
      <c r="E13" s="42"/>
      <c r="F13" s="42" t="s">
        <v>12</v>
      </c>
      <c r="G13" s="42" t="s">
        <v>47</v>
      </c>
      <c r="H13" s="42">
        <v>2015</v>
      </c>
      <c r="I13" s="46">
        <v>230</v>
      </c>
      <c r="J13" s="47" t="s">
        <v>28</v>
      </c>
      <c r="K13" s="48" t="s">
        <v>17</v>
      </c>
      <c r="L13" s="47"/>
      <c r="M13" s="99">
        <f>I13*K$53</f>
        <v>250.70000000000002</v>
      </c>
      <c r="N13" s="99" t="s">
        <v>17</v>
      </c>
      <c r="O13" s="71" t="s">
        <v>17</v>
      </c>
      <c r="P13" s="129"/>
      <c r="Q13" s="119">
        <v>230</v>
      </c>
      <c r="R13" s="97" t="s">
        <v>99</v>
      </c>
      <c r="S13" s="66"/>
      <c r="T13" s="66"/>
      <c r="U13" s="63"/>
      <c r="V13" s="63"/>
      <c r="W13" s="68"/>
      <c r="X13" s="120"/>
      <c r="Y13" s="114" t="s">
        <v>106</v>
      </c>
      <c r="Z13" s="124">
        <f t="shared" si="5"/>
        <v>0</v>
      </c>
      <c r="AA13" s="64"/>
      <c r="AB13" s="69"/>
      <c r="AC13" s="70"/>
      <c r="AD13" s="115"/>
      <c r="AE13" s="111" t="s">
        <v>106</v>
      </c>
      <c r="AF13" s="84" t="s">
        <v>106</v>
      </c>
      <c r="AG13" s="84" t="s">
        <v>127</v>
      </c>
      <c r="AH13" s="83"/>
      <c r="AI13" s="84"/>
      <c r="AJ13" s="85">
        <f t="shared" si="6"/>
        <v>1000000</v>
      </c>
      <c r="AK13" s="84" t="s">
        <v>106</v>
      </c>
      <c r="AL13" s="3"/>
    </row>
    <row r="14" spans="1:88" ht="34" x14ac:dyDescent="0.2">
      <c r="A14" s="42" t="s">
        <v>39</v>
      </c>
      <c r="B14" s="42" t="s">
        <v>4</v>
      </c>
      <c r="C14" s="42" t="s">
        <v>66</v>
      </c>
      <c r="D14" s="42" t="s">
        <v>15</v>
      </c>
      <c r="E14" s="42"/>
      <c r="F14" s="42" t="s">
        <v>8</v>
      </c>
      <c r="G14" s="42" t="s">
        <v>47</v>
      </c>
      <c r="H14" s="42">
        <v>2015</v>
      </c>
      <c r="I14" s="46">
        <f>307+186+67+91</f>
        <v>651</v>
      </c>
      <c r="J14" s="47" t="s">
        <v>30</v>
      </c>
      <c r="K14" s="48">
        <v>65</v>
      </c>
      <c r="L14" s="47" t="s">
        <v>30</v>
      </c>
      <c r="M14" s="99">
        <f>I14</f>
        <v>651</v>
      </c>
      <c r="N14" s="99">
        <f>K14</f>
        <v>65</v>
      </c>
      <c r="O14" s="71">
        <f t="shared" ref="O14:O26" si="7">N14/M14</f>
        <v>9.9846390168970817E-2</v>
      </c>
      <c r="P14" s="129"/>
      <c r="Q14" s="119">
        <v>4879</v>
      </c>
      <c r="R14" s="97" t="s">
        <v>99</v>
      </c>
      <c r="S14" s="66"/>
      <c r="T14" s="67"/>
      <c r="U14" s="63"/>
      <c r="V14" s="63"/>
      <c r="W14" s="68">
        <f>AI14</f>
        <v>0</v>
      </c>
      <c r="X14" s="120"/>
      <c r="Y14" s="114">
        <f t="shared" si="4"/>
        <v>65000000</v>
      </c>
      <c r="Z14" s="124" t="str">
        <f t="shared" si="5"/>
        <v>USD</v>
      </c>
      <c r="AA14" s="64"/>
      <c r="AB14" s="72"/>
      <c r="AC14" s="70"/>
      <c r="AD14" s="115"/>
      <c r="AE14" s="111">
        <f t="shared" ref="AE14:AE34" si="8">K14/I14</f>
        <v>9.9846390168970817E-2</v>
      </c>
      <c r="AF14" s="84">
        <f t="shared" ref="AF14:AF34" si="9">(K14/Q14)*1000000/12</f>
        <v>1110.2001776320285</v>
      </c>
      <c r="AG14" s="84" t="s">
        <v>127</v>
      </c>
      <c r="AH14" s="83"/>
      <c r="AI14" s="84"/>
      <c r="AJ14" s="85">
        <f t="shared" si="6"/>
        <v>133428.981348637</v>
      </c>
      <c r="AK14" s="84">
        <f t="shared" si="3"/>
        <v>75.061538461538461</v>
      </c>
      <c r="AL14" s="3"/>
    </row>
    <row r="15" spans="1:88" ht="34" x14ac:dyDescent="0.2">
      <c r="A15" s="42" t="s">
        <v>39</v>
      </c>
      <c r="B15" s="42" t="s">
        <v>4</v>
      </c>
      <c r="C15" s="42" t="s">
        <v>67</v>
      </c>
      <c r="D15" s="42" t="s">
        <v>15</v>
      </c>
      <c r="E15" s="42"/>
      <c r="F15" s="42" t="s">
        <v>9</v>
      </c>
      <c r="G15" s="42" t="s">
        <v>47</v>
      </c>
      <c r="H15" s="42">
        <v>2015</v>
      </c>
      <c r="I15" s="46">
        <v>49</v>
      </c>
      <c r="J15" s="47" t="s">
        <v>30</v>
      </c>
      <c r="K15" s="48">
        <v>5.5</v>
      </c>
      <c r="L15" s="47" t="s">
        <v>30</v>
      </c>
      <c r="M15" s="99">
        <f>I15</f>
        <v>49</v>
      </c>
      <c r="N15" s="99">
        <f>K15</f>
        <v>5.5</v>
      </c>
      <c r="O15" s="71">
        <f t="shared" si="7"/>
        <v>0.11224489795918367</v>
      </c>
      <c r="P15" s="129"/>
      <c r="Q15" s="119">
        <v>1439</v>
      </c>
      <c r="R15" s="97" t="s">
        <v>99</v>
      </c>
      <c r="S15" s="66"/>
      <c r="T15" s="67"/>
      <c r="U15" s="63"/>
      <c r="V15" s="63"/>
      <c r="W15" s="68">
        <f>AI15</f>
        <v>0</v>
      </c>
      <c r="X15" s="120"/>
      <c r="Y15" s="114">
        <f t="shared" si="4"/>
        <v>5500000</v>
      </c>
      <c r="Z15" s="124" t="str">
        <f t="shared" si="5"/>
        <v>USD</v>
      </c>
      <c r="AA15" s="64"/>
      <c r="AB15" s="69"/>
      <c r="AC15" s="70"/>
      <c r="AD15" s="115"/>
      <c r="AE15" s="111">
        <f t="shared" si="8"/>
        <v>0.11224489795918367</v>
      </c>
      <c r="AF15" s="84">
        <f t="shared" si="9"/>
        <v>318.50822330321984</v>
      </c>
      <c r="AG15" s="84" t="s">
        <v>127</v>
      </c>
      <c r="AH15" s="83"/>
      <c r="AI15" s="84"/>
      <c r="AJ15" s="85">
        <f t="shared" si="6"/>
        <v>34051.424600416954</v>
      </c>
      <c r="AK15" s="84">
        <f t="shared" si="3"/>
        <v>261.63636363636363</v>
      </c>
      <c r="AL15" s="3"/>
    </row>
    <row r="16" spans="1:88" ht="34" x14ac:dyDescent="0.2">
      <c r="A16" s="42" t="s">
        <v>39</v>
      </c>
      <c r="B16" s="42" t="s">
        <v>4</v>
      </c>
      <c r="C16" s="42" t="s">
        <v>68</v>
      </c>
      <c r="D16" s="42" t="s">
        <v>51</v>
      </c>
      <c r="E16" s="42"/>
      <c r="F16" s="42" t="s">
        <v>10</v>
      </c>
      <c r="G16" s="42" t="s">
        <v>47</v>
      </c>
      <c r="H16" s="42">
        <v>2015</v>
      </c>
      <c r="I16" s="46">
        <v>86.5</v>
      </c>
      <c r="J16" s="47" t="s">
        <v>30</v>
      </c>
      <c r="K16" s="48">
        <v>3.2</v>
      </c>
      <c r="L16" s="47" t="s">
        <v>30</v>
      </c>
      <c r="M16" s="99">
        <f>I16</f>
        <v>86.5</v>
      </c>
      <c r="N16" s="99">
        <f>K16</f>
        <v>3.2</v>
      </c>
      <c r="O16" s="71">
        <f t="shared" si="7"/>
        <v>3.6994219653179193E-2</v>
      </c>
      <c r="P16" s="129"/>
      <c r="Q16" s="119">
        <v>178</v>
      </c>
      <c r="R16" s="97" t="s">
        <v>99</v>
      </c>
      <c r="S16" s="66"/>
      <c r="T16" s="67"/>
      <c r="U16" s="63"/>
      <c r="V16" s="63"/>
      <c r="W16" s="68">
        <f>AI16</f>
        <v>0</v>
      </c>
      <c r="X16" s="120"/>
      <c r="Y16" s="114">
        <f t="shared" si="4"/>
        <v>3200000</v>
      </c>
      <c r="Z16" s="124" t="str">
        <f t="shared" si="5"/>
        <v>USD</v>
      </c>
      <c r="AA16" s="64"/>
      <c r="AB16" s="69"/>
      <c r="AC16" s="70"/>
      <c r="AD16" s="115"/>
      <c r="AE16" s="111">
        <f t="shared" si="8"/>
        <v>3.6994219653179193E-2</v>
      </c>
      <c r="AF16" s="84">
        <f t="shared" si="9"/>
        <v>1498.1273408239701</v>
      </c>
      <c r="AG16" s="84" t="s">
        <v>127</v>
      </c>
      <c r="AH16" s="83"/>
      <c r="AI16" s="84"/>
      <c r="AJ16" s="85">
        <f t="shared" si="6"/>
        <v>485955.05617977527</v>
      </c>
      <c r="AK16" s="84">
        <f t="shared" si="3"/>
        <v>55.625</v>
      </c>
      <c r="AL16" s="3"/>
    </row>
    <row r="17" spans="1:88" s="1" customFormat="1" ht="68" x14ac:dyDescent="0.2">
      <c r="A17" s="57" t="s">
        <v>96</v>
      </c>
      <c r="B17" s="42" t="s">
        <v>18</v>
      </c>
      <c r="C17" s="42" t="s">
        <v>69</v>
      </c>
      <c r="D17" s="42" t="s">
        <v>19</v>
      </c>
      <c r="E17" s="42"/>
      <c r="F17" s="42" t="s">
        <v>73</v>
      </c>
      <c r="G17" s="42" t="s">
        <v>47</v>
      </c>
      <c r="H17" s="42">
        <v>2011</v>
      </c>
      <c r="I17" s="48">
        <v>13815</v>
      </c>
      <c r="J17" s="47" t="s">
        <v>33</v>
      </c>
      <c r="K17" s="49">
        <v>359</v>
      </c>
      <c r="L17" s="50" t="s">
        <v>33</v>
      </c>
      <c r="M17" s="100">
        <f t="shared" ref="M17:M24" si="10">I17/K$59</f>
        <v>1945.7746478873241</v>
      </c>
      <c r="N17" s="100">
        <f t="shared" ref="N17:N24" si="11">K17/K$59</f>
        <v>50.563380281690144</v>
      </c>
      <c r="O17" s="71">
        <f t="shared" si="7"/>
        <v>2.5986246833152371E-2</v>
      </c>
      <c r="P17" s="129"/>
      <c r="Q17" s="119">
        <v>21523</v>
      </c>
      <c r="R17" s="97" t="s">
        <v>99</v>
      </c>
      <c r="S17" s="73"/>
      <c r="T17" s="67"/>
      <c r="U17" s="63"/>
      <c r="V17" s="63"/>
      <c r="W17" s="151"/>
      <c r="X17" s="152"/>
      <c r="Y17" s="114">
        <f t="shared" si="4"/>
        <v>359000000</v>
      </c>
      <c r="Z17" s="124" t="str">
        <f t="shared" si="5"/>
        <v>ZAR</v>
      </c>
      <c r="AA17" s="64"/>
      <c r="AB17" s="63"/>
      <c r="AC17" s="63"/>
      <c r="AD17" s="115"/>
      <c r="AE17" s="111">
        <f t="shared" si="8"/>
        <v>2.5986246833152371E-2</v>
      </c>
      <c r="AF17" s="84">
        <f t="shared" si="9"/>
        <v>1389.9859065495828</v>
      </c>
      <c r="AG17" s="84" t="s">
        <v>127</v>
      </c>
      <c r="AH17" s="83"/>
      <c r="AI17" s="84"/>
      <c r="AJ17" s="85">
        <f t="shared" si="6"/>
        <v>641871.48631696322</v>
      </c>
      <c r="AK17" s="84">
        <f t="shared" si="3"/>
        <v>425.66378830083562</v>
      </c>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row>
    <row r="18" spans="1:88" ht="34" x14ac:dyDescent="0.2">
      <c r="A18" s="57" t="s">
        <v>96</v>
      </c>
      <c r="B18" s="42" t="s">
        <v>18</v>
      </c>
      <c r="C18" s="42" t="s">
        <v>69</v>
      </c>
      <c r="D18" s="42" t="s">
        <v>52</v>
      </c>
      <c r="E18" s="42"/>
      <c r="F18" s="42" t="s">
        <v>25</v>
      </c>
      <c r="G18" s="42"/>
      <c r="H18" s="42">
        <v>2011</v>
      </c>
      <c r="I18" s="51">
        <v>223</v>
      </c>
      <c r="J18" s="52" t="s">
        <v>33</v>
      </c>
      <c r="K18" s="53">
        <v>51</v>
      </c>
      <c r="L18" s="50" t="s">
        <v>33</v>
      </c>
      <c r="M18" s="100">
        <f t="shared" si="10"/>
        <v>31.408450704225352</v>
      </c>
      <c r="N18" s="100">
        <f t="shared" si="11"/>
        <v>7.183098591549296</v>
      </c>
      <c r="O18" s="71">
        <f t="shared" si="7"/>
        <v>0.22869955156950672</v>
      </c>
      <c r="P18" s="129"/>
      <c r="Q18" s="119">
        <v>2011</v>
      </c>
      <c r="R18" s="97" t="s">
        <v>99</v>
      </c>
      <c r="S18" s="73"/>
      <c r="T18" s="67"/>
      <c r="U18" s="63"/>
      <c r="V18" s="63"/>
      <c r="W18" s="151"/>
      <c r="X18" s="152"/>
      <c r="Y18" s="114">
        <f t="shared" si="4"/>
        <v>51000000</v>
      </c>
      <c r="Z18" s="124" t="str">
        <f t="shared" si="5"/>
        <v>ZAR</v>
      </c>
      <c r="AA18" s="64"/>
      <c r="AB18" s="63"/>
      <c r="AC18" s="63"/>
      <c r="AD18" s="115"/>
      <c r="AE18" s="111">
        <f t="shared" si="8"/>
        <v>0.22869955156950672</v>
      </c>
      <c r="AF18" s="84">
        <f t="shared" si="9"/>
        <v>2113.3764296369968</v>
      </c>
      <c r="AG18" s="84" t="s">
        <v>127</v>
      </c>
      <c r="AH18" s="83"/>
      <c r="AI18" s="84"/>
      <c r="AJ18" s="85">
        <f t="shared" si="6"/>
        <v>110890.10442565888</v>
      </c>
      <c r="AK18" s="84">
        <f t="shared" si="3"/>
        <v>279.96274509803919</v>
      </c>
      <c r="AL18" s="3"/>
    </row>
    <row r="19" spans="1:88" s="5" customFormat="1" ht="51" x14ac:dyDescent="0.2">
      <c r="A19" s="57" t="s">
        <v>96</v>
      </c>
      <c r="B19" s="42" t="s">
        <v>18</v>
      </c>
      <c r="C19" s="42" t="s">
        <v>69</v>
      </c>
      <c r="D19" s="42" t="s">
        <v>53</v>
      </c>
      <c r="E19" s="42"/>
      <c r="F19" s="42" t="s">
        <v>25</v>
      </c>
      <c r="G19" s="42"/>
      <c r="H19" s="42">
        <v>2011</v>
      </c>
      <c r="I19" s="51">
        <v>6430</v>
      </c>
      <c r="J19" s="52" t="s">
        <v>33</v>
      </c>
      <c r="K19" s="53">
        <v>714</v>
      </c>
      <c r="L19" s="50" t="s">
        <v>33</v>
      </c>
      <c r="M19" s="100">
        <f t="shared" si="10"/>
        <v>905.63380281690149</v>
      </c>
      <c r="N19" s="100">
        <f t="shared" si="11"/>
        <v>100.56338028169014</v>
      </c>
      <c r="O19" s="71">
        <f t="shared" si="7"/>
        <v>0.11104199066874028</v>
      </c>
      <c r="P19" s="129"/>
      <c r="Q19" s="119">
        <v>46089</v>
      </c>
      <c r="R19" s="97" t="s">
        <v>99</v>
      </c>
      <c r="S19" s="73"/>
      <c r="T19" s="67"/>
      <c r="U19" s="63"/>
      <c r="V19" s="63"/>
      <c r="W19" s="151"/>
      <c r="X19" s="152"/>
      <c r="Y19" s="114">
        <f t="shared" si="4"/>
        <v>714000000</v>
      </c>
      <c r="Z19" s="124" t="str">
        <f t="shared" si="5"/>
        <v>ZAR</v>
      </c>
      <c r="AA19" s="64"/>
      <c r="AB19" s="63"/>
      <c r="AC19" s="63"/>
      <c r="AD19" s="115"/>
      <c r="AE19" s="111">
        <f t="shared" si="8"/>
        <v>0.11104199066874028</v>
      </c>
      <c r="AF19" s="84">
        <f t="shared" si="9"/>
        <v>1290.9804942611036</v>
      </c>
      <c r="AG19" s="84" t="s">
        <v>127</v>
      </c>
      <c r="AH19" s="83"/>
      <c r="AI19" s="84"/>
      <c r="AJ19" s="85">
        <f t="shared" si="6"/>
        <v>139512.68198485539</v>
      </c>
      <c r="AK19" s="84">
        <f t="shared" si="3"/>
        <v>458.30798319327732</v>
      </c>
      <c r="AL19" s="3"/>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row>
    <row r="20" spans="1:88" ht="34" x14ac:dyDescent="0.2">
      <c r="A20" s="57" t="s">
        <v>96</v>
      </c>
      <c r="B20" s="42" t="s">
        <v>18</v>
      </c>
      <c r="C20" s="42" t="s">
        <v>69</v>
      </c>
      <c r="D20" s="42" t="s">
        <v>16</v>
      </c>
      <c r="E20" s="42"/>
      <c r="F20" s="42" t="s">
        <v>25</v>
      </c>
      <c r="G20" s="42"/>
      <c r="H20" s="42">
        <v>2011</v>
      </c>
      <c r="I20" s="51">
        <v>816</v>
      </c>
      <c r="J20" s="52" t="s">
        <v>33</v>
      </c>
      <c r="K20" s="53">
        <v>65</v>
      </c>
      <c r="L20" s="50" t="s">
        <v>33</v>
      </c>
      <c r="M20" s="100">
        <f t="shared" si="10"/>
        <v>114.92957746478874</v>
      </c>
      <c r="N20" s="100">
        <f t="shared" si="11"/>
        <v>9.1549295774647899</v>
      </c>
      <c r="O20" s="71">
        <f t="shared" si="7"/>
        <v>7.9656862745098048E-2</v>
      </c>
      <c r="P20" s="129"/>
      <c r="Q20" s="119">
        <v>3586</v>
      </c>
      <c r="R20" s="97" t="s">
        <v>99</v>
      </c>
      <c r="S20" s="73"/>
      <c r="T20" s="67"/>
      <c r="U20" s="63"/>
      <c r="V20" s="63"/>
      <c r="W20" s="151"/>
      <c r="X20" s="152"/>
      <c r="Y20" s="114">
        <f t="shared" si="4"/>
        <v>65000000</v>
      </c>
      <c r="Z20" s="124" t="str">
        <f t="shared" si="5"/>
        <v>ZAR</v>
      </c>
      <c r="AA20" s="64"/>
      <c r="AB20" s="63"/>
      <c r="AC20" s="63"/>
      <c r="AD20" s="115"/>
      <c r="AE20" s="111">
        <f t="shared" si="8"/>
        <v>7.9656862745098034E-2</v>
      </c>
      <c r="AF20" s="84">
        <f t="shared" si="9"/>
        <v>1510.503811117308</v>
      </c>
      <c r="AG20" s="84" t="s">
        <v>127</v>
      </c>
      <c r="AH20" s="83"/>
      <c r="AI20" s="84"/>
      <c r="AJ20" s="85">
        <f t="shared" si="6"/>
        <v>227551.58951477968</v>
      </c>
      <c r="AK20" s="84">
        <f t="shared" si="3"/>
        <v>391.70153846153841</v>
      </c>
      <c r="AL20" s="3"/>
    </row>
    <row r="21" spans="1:88" ht="34" x14ac:dyDescent="0.2">
      <c r="A21" s="57" t="s">
        <v>96</v>
      </c>
      <c r="B21" s="42" t="s">
        <v>18</v>
      </c>
      <c r="C21" s="42" t="s">
        <v>69</v>
      </c>
      <c r="D21" s="42" t="s">
        <v>20</v>
      </c>
      <c r="E21" s="42"/>
      <c r="F21" s="42" t="s">
        <v>25</v>
      </c>
      <c r="G21" s="42"/>
      <c r="H21" s="42">
        <v>2011</v>
      </c>
      <c r="I21" s="51">
        <v>344</v>
      </c>
      <c r="J21" s="52" t="s">
        <v>33</v>
      </c>
      <c r="K21" s="53">
        <v>13</v>
      </c>
      <c r="L21" s="50" t="s">
        <v>33</v>
      </c>
      <c r="M21" s="100">
        <f t="shared" si="10"/>
        <v>48.450704225352112</v>
      </c>
      <c r="N21" s="100">
        <f t="shared" si="11"/>
        <v>1.8309859154929577</v>
      </c>
      <c r="O21" s="71">
        <f t="shared" si="7"/>
        <v>3.7790697674418602E-2</v>
      </c>
      <c r="P21" s="129"/>
      <c r="Q21" s="119">
        <v>573</v>
      </c>
      <c r="R21" s="97" t="s">
        <v>99</v>
      </c>
      <c r="S21" s="73"/>
      <c r="T21" s="67"/>
      <c r="U21" s="63"/>
      <c r="V21" s="63"/>
      <c r="W21" s="151"/>
      <c r="X21" s="152"/>
      <c r="Y21" s="114">
        <f t="shared" si="4"/>
        <v>13000000</v>
      </c>
      <c r="Z21" s="124" t="str">
        <f t="shared" si="5"/>
        <v>ZAR</v>
      </c>
      <c r="AA21" s="64"/>
      <c r="AB21" s="63"/>
      <c r="AC21" s="63"/>
      <c r="AD21" s="115"/>
      <c r="AE21" s="111">
        <f t="shared" si="8"/>
        <v>3.7790697674418602E-2</v>
      </c>
      <c r="AF21" s="84">
        <f t="shared" si="9"/>
        <v>1890.6340895869689</v>
      </c>
      <c r="AG21" s="84" t="s">
        <v>127</v>
      </c>
      <c r="AH21" s="83"/>
      <c r="AI21" s="84"/>
      <c r="AJ21" s="85">
        <f t="shared" si="6"/>
        <v>600349.04013961612</v>
      </c>
      <c r="AK21" s="84">
        <f t="shared" si="3"/>
        <v>312.94615384615383</v>
      </c>
      <c r="AL21" s="3"/>
    </row>
    <row r="22" spans="1:88" ht="34" x14ac:dyDescent="0.2">
      <c r="A22" s="57" t="s">
        <v>96</v>
      </c>
      <c r="B22" s="42" t="s">
        <v>18</v>
      </c>
      <c r="C22" s="42" t="s">
        <v>69</v>
      </c>
      <c r="D22" s="42" t="s">
        <v>21</v>
      </c>
      <c r="E22" s="42"/>
      <c r="F22" s="42" t="s">
        <v>25</v>
      </c>
      <c r="G22" s="42"/>
      <c r="H22" s="42">
        <v>2011</v>
      </c>
      <c r="I22" s="51">
        <v>51</v>
      </c>
      <c r="J22" s="52" t="s">
        <v>33</v>
      </c>
      <c r="K22" s="53">
        <v>20</v>
      </c>
      <c r="L22" s="50" t="s">
        <v>33</v>
      </c>
      <c r="M22" s="100">
        <f t="shared" si="10"/>
        <v>7.183098591549296</v>
      </c>
      <c r="N22" s="100">
        <f t="shared" si="11"/>
        <v>2.8169014084507045</v>
      </c>
      <c r="O22" s="71">
        <f t="shared" si="7"/>
        <v>0.39215686274509809</v>
      </c>
      <c r="P22" s="129"/>
      <c r="Q22" s="119">
        <v>1188</v>
      </c>
      <c r="R22" s="97" t="s">
        <v>99</v>
      </c>
      <c r="S22" s="73"/>
      <c r="T22" s="67"/>
      <c r="U22" s="63"/>
      <c r="V22" s="63"/>
      <c r="W22" s="151"/>
      <c r="X22" s="152"/>
      <c r="Y22" s="114">
        <f t="shared" si="4"/>
        <v>20000000</v>
      </c>
      <c r="Z22" s="124" t="str">
        <f t="shared" si="5"/>
        <v>ZAR</v>
      </c>
      <c r="AA22" s="64"/>
      <c r="AB22" s="63"/>
      <c r="AC22" s="63"/>
      <c r="AD22" s="115"/>
      <c r="AE22" s="111">
        <f t="shared" si="8"/>
        <v>0.39215686274509803</v>
      </c>
      <c r="AF22" s="84">
        <f t="shared" si="9"/>
        <v>1402.9180695847363</v>
      </c>
      <c r="AG22" s="84" t="s">
        <v>127</v>
      </c>
      <c r="AH22" s="83"/>
      <c r="AI22" s="84"/>
      <c r="AJ22" s="85">
        <f t="shared" si="6"/>
        <v>42929.292929292926</v>
      </c>
      <c r="AK22" s="84">
        <f t="shared" si="3"/>
        <v>421.73999999999995</v>
      </c>
      <c r="AL22" s="3"/>
    </row>
    <row r="23" spans="1:88" ht="34" x14ac:dyDescent="0.2">
      <c r="A23" s="57" t="s">
        <v>96</v>
      </c>
      <c r="B23" s="42" t="s">
        <v>18</v>
      </c>
      <c r="C23" s="42" t="s">
        <v>69</v>
      </c>
      <c r="D23" s="42" t="s">
        <v>22</v>
      </c>
      <c r="E23" s="42"/>
      <c r="F23" s="42" t="s">
        <v>25</v>
      </c>
      <c r="G23" s="42"/>
      <c r="H23" s="42">
        <v>2011</v>
      </c>
      <c r="I23" s="51">
        <v>1175</v>
      </c>
      <c r="J23" s="52" t="s">
        <v>33</v>
      </c>
      <c r="K23" s="53">
        <v>136</v>
      </c>
      <c r="L23" s="50" t="s">
        <v>33</v>
      </c>
      <c r="M23" s="100">
        <f t="shared" si="10"/>
        <v>165.49295774647888</v>
      </c>
      <c r="N23" s="100">
        <f t="shared" si="11"/>
        <v>19.154929577464788</v>
      </c>
      <c r="O23" s="71">
        <f t="shared" si="7"/>
        <v>0.11574468085106382</v>
      </c>
      <c r="P23" s="129"/>
      <c r="Q23" s="119">
        <v>6474</v>
      </c>
      <c r="R23" s="97" t="s">
        <v>99</v>
      </c>
      <c r="S23" s="73"/>
      <c r="T23" s="67"/>
      <c r="U23" s="63"/>
      <c r="V23" s="63"/>
      <c r="W23" s="151"/>
      <c r="X23" s="152"/>
      <c r="Y23" s="114">
        <f t="shared" si="4"/>
        <v>136000000</v>
      </c>
      <c r="Z23" s="124" t="str">
        <f t="shared" si="5"/>
        <v>ZAR</v>
      </c>
      <c r="AA23" s="64"/>
      <c r="AB23" s="63"/>
      <c r="AC23" s="63"/>
      <c r="AD23" s="115"/>
      <c r="AE23" s="111">
        <f t="shared" si="8"/>
        <v>0.11574468085106383</v>
      </c>
      <c r="AF23" s="84">
        <f t="shared" si="9"/>
        <v>1750.592112037895</v>
      </c>
      <c r="AG23" s="84" t="s">
        <v>127</v>
      </c>
      <c r="AH23" s="83"/>
      <c r="AI23" s="84"/>
      <c r="AJ23" s="85">
        <f t="shared" si="6"/>
        <v>181495.21161569355</v>
      </c>
      <c r="AK23" s="84">
        <f t="shared" si="3"/>
        <v>337.98088235294119</v>
      </c>
      <c r="AL23" s="3"/>
    </row>
    <row r="24" spans="1:88" s="6" customFormat="1" ht="34" x14ac:dyDescent="0.2">
      <c r="A24" s="57" t="s">
        <v>96</v>
      </c>
      <c r="B24" s="42" t="s">
        <v>18</v>
      </c>
      <c r="C24" s="42" t="s">
        <v>69</v>
      </c>
      <c r="D24" s="54" t="s">
        <v>1</v>
      </c>
      <c r="E24" s="54"/>
      <c r="F24" s="42" t="s">
        <v>25</v>
      </c>
      <c r="G24" s="42"/>
      <c r="H24" s="42">
        <v>2011</v>
      </c>
      <c r="I24" s="55">
        <f>SUM(I17:I23)</f>
        <v>22854</v>
      </c>
      <c r="J24" s="52" t="s">
        <v>33</v>
      </c>
      <c r="K24" s="55">
        <f>SUM(K17:K23)</f>
        <v>1358</v>
      </c>
      <c r="L24" s="56" t="s">
        <v>33</v>
      </c>
      <c r="M24" s="100">
        <f t="shared" si="10"/>
        <v>3218.8732394366198</v>
      </c>
      <c r="N24" s="100">
        <f t="shared" si="11"/>
        <v>191.26760563380282</v>
      </c>
      <c r="O24" s="71">
        <f t="shared" si="7"/>
        <v>5.9420670342172049E-2</v>
      </c>
      <c r="P24" s="129"/>
      <c r="Q24" s="119">
        <v>81444</v>
      </c>
      <c r="R24" s="97" t="s">
        <v>99</v>
      </c>
      <c r="S24" s="74"/>
      <c r="T24" s="67"/>
      <c r="U24" s="75"/>
      <c r="V24" s="75"/>
      <c r="W24" s="153"/>
      <c r="X24" s="154"/>
      <c r="Y24" s="114">
        <f t="shared" si="4"/>
        <v>1358000000</v>
      </c>
      <c r="Z24" s="124" t="str">
        <f t="shared" si="5"/>
        <v>ZAR</v>
      </c>
      <c r="AA24" s="64"/>
      <c r="AB24" s="63"/>
      <c r="AC24" s="63"/>
      <c r="AD24" s="115"/>
      <c r="AE24" s="111">
        <f t="shared" si="8"/>
        <v>5.9420670342172049E-2</v>
      </c>
      <c r="AF24" s="84">
        <f t="shared" si="9"/>
        <v>1389.5028076551578</v>
      </c>
      <c r="AG24" s="84" t="s">
        <v>127</v>
      </c>
      <c r="AH24" s="83"/>
      <c r="AI24" s="137"/>
      <c r="AJ24" s="85">
        <f t="shared" si="6"/>
        <v>280609.98968616471</v>
      </c>
      <c r="AK24" s="84">
        <f t="shared" si="3"/>
        <v>425.81178203240057</v>
      </c>
      <c r="AL24" s="3"/>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row>
    <row r="25" spans="1:88" s="19" customFormat="1" ht="36" customHeight="1" x14ac:dyDescent="0.2">
      <c r="A25" s="57" t="s">
        <v>96</v>
      </c>
      <c r="B25" s="57" t="s">
        <v>74</v>
      </c>
      <c r="C25" s="57" t="s">
        <v>75</v>
      </c>
      <c r="D25" s="57" t="s">
        <v>76</v>
      </c>
      <c r="E25" s="57"/>
      <c r="F25" s="57" t="s">
        <v>78</v>
      </c>
      <c r="G25" s="57" t="s">
        <v>77</v>
      </c>
      <c r="H25" s="58">
        <v>2007</v>
      </c>
      <c r="I25" s="59">
        <f>(10950*4+2547*7.63+16261*4+6044*9)/1000000</f>
        <v>0.18267360999999999</v>
      </c>
      <c r="J25" s="52" t="s">
        <v>30</v>
      </c>
      <c r="K25" s="59">
        <f>I25*0.2646</f>
        <v>4.8335437205999997E-2</v>
      </c>
      <c r="L25" s="56" t="s">
        <v>30</v>
      </c>
      <c r="M25" s="100">
        <f t="shared" ref="M25:M34" si="12">I25</f>
        <v>0.18267360999999999</v>
      </c>
      <c r="N25" s="101">
        <f t="shared" ref="N25:N34" si="13">K25</f>
        <v>4.8335437205999997E-2</v>
      </c>
      <c r="O25" s="71">
        <f t="shared" si="7"/>
        <v>0.2646</v>
      </c>
      <c r="P25" s="129"/>
      <c r="Q25" s="119">
        <v>20.2</v>
      </c>
      <c r="R25" s="97" t="s">
        <v>99</v>
      </c>
      <c r="S25" s="74"/>
      <c r="T25" s="67"/>
      <c r="U25" s="75"/>
      <c r="V25" s="75"/>
      <c r="W25" s="153"/>
      <c r="X25" s="154"/>
      <c r="Y25" s="114">
        <f t="shared" si="4"/>
        <v>48335.437205999995</v>
      </c>
      <c r="Z25" s="124" t="str">
        <f t="shared" si="5"/>
        <v>USD</v>
      </c>
      <c r="AA25" s="76"/>
      <c r="AB25" s="63"/>
      <c r="AC25" s="63"/>
      <c r="AD25" s="115"/>
      <c r="AE25" s="111">
        <f t="shared" si="8"/>
        <v>0.2646</v>
      </c>
      <c r="AF25" s="84">
        <f t="shared" si="9"/>
        <v>199.40361883663365</v>
      </c>
      <c r="AG25" s="84" t="s">
        <v>127</v>
      </c>
      <c r="AH25" s="83"/>
      <c r="AI25" s="137"/>
      <c r="AJ25" s="85">
        <f t="shared" si="6"/>
        <v>9043.2480198019803</v>
      </c>
      <c r="AK25" s="84">
        <f t="shared" si="3"/>
        <v>417.91284340534577</v>
      </c>
      <c r="AL25" s="26"/>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row>
    <row r="26" spans="1:88" s="19" customFormat="1" ht="50.25" customHeight="1" x14ac:dyDescent="0.2">
      <c r="A26" s="57" t="s">
        <v>96</v>
      </c>
      <c r="B26" s="57" t="s">
        <v>74</v>
      </c>
      <c r="C26" s="57" t="s">
        <v>75</v>
      </c>
      <c r="D26" s="57" t="s">
        <v>76</v>
      </c>
      <c r="E26" s="57"/>
      <c r="F26" s="57" t="s">
        <v>79</v>
      </c>
      <c r="G26" s="57" t="s">
        <v>80</v>
      </c>
      <c r="H26" s="58">
        <v>2007</v>
      </c>
      <c r="I26" s="60">
        <v>1.9</v>
      </c>
      <c r="J26" s="52" t="s">
        <v>30</v>
      </c>
      <c r="K26" s="59">
        <v>0.47</v>
      </c>
      <c r="L26" s="56" t="s">
        <v>30</v>
      </c>
      <c r="M26" s="100">
        <f t="shared" si="12"/>
        <v>1.9</v>
      </c>
      <c r="N26" s="101">
        <f t="shared" si="13"/>
        <v>0.47</v>
      </c>
      <c r="O26" s="71">
        <f t="shared" si="7"/>
        <v>0.24736842105263157</v>
      </c>
      <c r="P26" s="129"/>
      <c r="Q26" s="119">
        <v>122</v>
      </c>
      <c r="R26" s="97" t="s">
        <v>99</v>
      </c>
      <c r="S26" s="74"/>
      <c r="T26" s="67"/>
      <c r="U26" s="75"/>
      <c r="V26" s="75"/>
      <c r="W26" s="153"/>
      <c r="X26" s="154"/>
      <c r="Y26" s="114">
        <f t="shared" si="4"/>
        <v>470000</v>
      </c>
      <c r="Z26" s="124" t="str">
        <f t="shared" si="5"/>
        <v>USD</v>
      </c>
      <c r="AA26" s="76"/>
      <c r="AB26" s="63"/>
      <c r="AC26" s="63"/>
      <c r="AD26" s="115"/>
      <c r="AE26" s="111">
        <f t="shared" si="8"/>
        <v>0.24736842105263157</v>
      </c>
      <c r="AF26" s="84">
        <f t="shared" si="9"/>
        <v>321.03825136612022</v>
      </c>
      <c r="AG26" s="84" t="s">
        <v>127</v>
      </c>
      <c r="AH26" s="83"/>
      <c r="AI26" s="137"/>
      <c r="AJ26" s="85">
        <f t="shared" si="6"/>
        <v>15573.770491803278</v>
      </c>
      <c r="AK26" s="84">
        <f t="shared" si="3"/>
        <v>259.57446808510639</v>
      </c>
      <c r="AL26" s="26"/>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row>
    <row r="27" spans="1:88" s="19" customFormat="1" ht="51" x14ac:dyDescent="0.2">
      <c r="A27" s="57" t="s">
        <v>96</v>
      </c>
      <c r="B27" s="57" t="s">
        <v>74</v>
      </c>
      <c r="C27" s="57" t="s">
        <v>75</v>
      </c>
      <c r="D27" s="57" t="s">
        <v>76</v>
      </c>
      <c r="E27" s="57"/>
      <c r="F27" s="57" t="s">
        <v>81</v>
      </c>
      <c r="G27" s="57" t="s">
        <v>47</v>
      </c>
      <c r="H27" s="58">
        <v>2007</v>
      </c>
      <c r="I27" s="60">
        <v>9.9</v>
      </c>
      <c r="J27" s="57" t="s">
        <v>30</v>
      </c>
      <c r="K27" s="59">
        <v>0.79</v>
      </c>
      <c r="L27" s="56" t="s">
        <v>30</v>
      </c>
      <c r="M27" s="100">
        <f t="shared" si="12"/>
        <v>9.9</v>
      </c>
      <c r="N27" s="101">
        <f t="shared" si="13"/>
        <v>0.79</v>
      </c>
      <c r="O27" s="77">
        <f>N27/M27</f>
        <v>7.9797979797979798E-2</v>
      </c>
      <c r="P27" s="129"/>
      <c r="Q27" s="119">
        <v>41.2</v>
      </c>
      <c r="R27" s="97" t="s">
        <v>99</v>
      </c>
      <c r="S27" s="74"/>
      <c r="T27" s="67"/>
      <c r="U27" s="75"/>
      <c r="V27" s="75"/>
      <c r="W27" s="153"/>
      <c r="X27" s="154"/>
      <c r="Y27" s="114">
        <f t="shared" si="4"/>
        <v>790000</v>
      </c>
      <c r="Z27" s="124" t="str">
        <f t="shared" si="5"/>
        <v>USD</v>
      </c>
      <c r="AA27" s="76"/>
      <c r="AB27" s="63"/>
      <c r="AC27" s="63"/>
      <c r="AD27" s="115"/>
      <c r="AE27" s="111">
        <f t="shared" si="8"/>
        <v>7.9797979797979798E-2</v>
      </c>
      <c r="AF27" s="84">
        <f t="shared" si="9"/>
        <v>1597.89644012945</v>
      </c>
      <c r="AG27" s="84" t="s">
        <v>127</v>
      </c>
      <c r="AH27" s="83"/>
      <c r="AI27" s="137"/>
      <c r="AJ27" s="85">
        <f t="shared" si="6"/>
        <v>240291.26213592233</v>
      </c>
      <c r="AK27" s="84">
        <f t="shared" si="3"/>
        <v>52.151898734177216</v>
      </c>
      <c r="AL27" s="26"/>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row>
    <row r="28" spans="1:88" s="19" customFormat="1" ht="38.25" customHeight="1" x14ac:dyDescent="0.2">
      <c r="A28" s="57" t="s">
        <v>96</v>
      </c>
      <c r="B28" s="57" t="s">
        <v>74</v>
      </c>
      <c r="C28" s="57" t="s">
        <v>75</v>
      </c>
      <c r="D28" s="57" t="s">
        <v>82</v>
      </c>
      <c r="E28" s="57"/>
      <c r="F28" s="57" t="s">
        <v>84</v>
      </c>
      <c r="G28" s="57" t="s">
        <v>83</v>
      </c>
      <c r="H28" s="58">
        <v>2007</v>
      </c>
      <c r="I28" s="59">
        <v>0.05</v>
      </c>
      <c r="J28" s="57" t="s">
        <v>30</v>
      </c>
      <c r="K28" s="61">
        <v>6.0000000000000001E-3</v>
      </c>
      <c r="L28" s="56" t="s">
        <v>30</v>
      </c>
      <c r="M28" s="101">
        <f t="shared" si="12"/>
        <v>0.05</v>
      </c>
      <c r="N28" s="102">
        <f t="shared" si="13"/>
        <v>6.0000000000000001E-3</v>
      </c>
      <c r="O28" s="77">
        <v>0.1134</v>
      </c>
      <c r="P28" s="129"/>
      <c r="Q28" s="119"/>
      <c r="R28" s="97"/>
      <c r="S28" s="74"/>
      <c r="T28" s="66"/>
      <c r="U28" s="75"/>
      <c r="V28" s="75"/>
      <c r="W28" s="153"/>
      <c r="X28" s="154"/>
      <c r="Y28" s="114">
        <f t="shared" si="4"/>
        <v>6000</v>
      </c>
      <c r="Z28" s="124" t="str">
        <f t="shared" si="5"/>
        <v>USD</v>
      </c>
      <c r="AA28" s="76"/>
      <c r="AB28" s="63"/>
      <c r="AC28" s="63"/>
      <c r="AD28" s="115"/>
      <c r="AE28" s="111">
        <f t="shared" si="8"/>
        <v>0.12</v>
      </c>
      <c r="AF28" s="84" t="e">
        <f t="shared" si="9"/>
        <v>#DIV/0!</v>
      </c>
      <c r="AG28" s="84" t="s">
        <v>127</v>
      </c>
      <c r="AH28" s="83"/>
      <c r="AI28" s="137"/>
      <c r="AJ28" s="85" t="e">
        <f t="shared" si="6"/>
        <v>#DIV/0!</v>
      </c>
      <c r="AK28" s="84">
        <f t="shared" si="3"/>
        <v>0</v>
      </c>
      <c r="AL28" s="26"/>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row>
    <row r="29" spans="1:88" s="19" customFormat="1" ht="51" x14ac:dyDescent="0.2">
      <c r="A29" s="57" t="s">
        <v>96</v>
      </c>
      <c r="B29" s="57" t="s">
        <v>74</v>
      </c>
      <c r="C29" s="57" t="s">
        <v>75</v>
      </c>
      <c r="D29" s="57" t="s">
        <v>82</v>
      </c>
      <c r="E29" s="57"/>
      <c r="F29" s="57" t="s">
        <v>86</v>
      </c>
      <c r="G29" s="57" t="s">
        <v>85</v>
      </c>
      <c r="H29" s="58">
        <v>2007</v>
      </c>
      <c r="I29" s="59">
        <v>0.12</v>
      </c>
      <c r="J29" s="57" t="s">
        <v>30</v>
      </c>
      <c r="K29" s="61">
        <v>1.7000000000000001E-2</v>
      </c>
      <c r="L29" s="56" t="s">
        <v>30</v>
      </c>
      <c r="M29" s="103">
        <f t="shared" si="12"/>
        <v>0.12</v>
      </c>
      <c r="N29" s="103">
        <f t="shared" si="13"/>
        <v>1.7000000000000001E-2</v>
      </c>
      <c r="O29" s="77">
        <v>0.1348</v>
      </c>
      <c r="P29" s="129"/>
      <c r="Q29" s="119"/>
      <c r="R29" s="97"/>
      <c r="S29" s="74"/>
      <c r="T29" s="66"/>
      <c r="U29" s="75"/>
      <c r="V29" s="75"/>
      <c r="W29" s="153"/>
      <c r="X29" s="154"/>
      <c r="Y29" s="114">
        <f t="shared" si="4"/>
        <v>17000</v>
      </c>
      <c r="Z29" s="124" t="str">
        <f t="shared" si="5"/>
        <v>USD</v>
      </c>
      <c r="AA29" s="76"/>
      <c r="AB29" s="63"/>
      <c r="AC29" s="63"/>
      <c r="AD29" s="115"/>
      <c r="AE29" s="111">
        <f t="shared" si="8"/>
        <v>0.14166666666666669</v>
      </c>
      <c r="AF29" s="84" t="e">
        <f t="shared" si="9"/>
        <v>#DIV/0!</v>
      </c>
      <c r="AG29" s="84" t="s">
        <v>127</v>
      </c>
      <c r="AH29" s="83"/>
      <c r="AI29" s="137"/>
      <c r="AJ29" s="85" t="e">
        <f t="shared" si="6"/>
        <v>#DIV/0!</v>
      </c>
      <c r="AK29" s="84">
        <f t="shared" si="3"/>
        <v>0</v>
      </c>
      <c r="AL29" s="26"/>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row>
    <row r="30" spans="1:88" s="19" customFormat="1" ht="51" x14ac:dyDescent="0.2">
      <c r="A30" s="57" t="s">
        <v>96</v>
      </c>
      <c r="B30" s="57" t="s">
        <v>74</v>
      </c>
      <c r="C30" s="57" t="s">
        <v>75</v>
      </c>
      <c r="D30" s="57" t="s">
        <v>82</v>
      </c>
      <c r="E30" s="57"/>
      <c r="F30" s="57" t="s">
        <v>87</v>
      </c>
      <c r="G30" s="57" t="s">
        <v>85</v>
      </c>
      <c r="H30" s="58">
        <v>2007</v>
      </c>
      <c r="I30" s="59">
        <v>0.1</v>
      </c>
      <c r="J30" s="57" t="s">
        <v>30</v>
      </c>
      <c r="K30" s="61">
        <v>1.2E-2</v>
      </c>
      <c r="L30" s="56" t="s">
        <v>30</v>
      </c>
      <c r="M30" s="100">
        <f t="shared" si="12"/>
        <v>0.1</v>
      </c>
      <c r="N30" s="103">
        <f t="shared" si="13"/>
        <v>1.2E-2</v>
      </c>
      <c r="O30" s="71">
        <v>0.121</v>
      </c>
      <c r="P30" s="129"/>
      <c r="Q30" s="119"/>
      <c r="R30" s="97"/>
      <c r="S30" s="74"/>
      <c r="T30" s="66"/>
      <c r="U30" s="75"/>
      <c r="V30" s="75"/>
      <c r="W30" s="153"/>
      <c r="X30" s="154"/>
      <c r="Y30" s="114">
        <f t="shared" si="4"/>
        <v>12000</v>
      </c>
      <c r="Z30" s="124" t="str">
        <f t="shared" si="5"/>
        <v>USD</v>
      </c>
      <c r="AA30" s="76"/>
      <c r="AB30" s="63"/>
      <c r="AC30" s="63"/>
      <c r="AD30" s="115"/>
      <c r="AE30" s="111">
        <f t="shared" si="8"/>
        <v>0.12</v>
      </c>
      <c r="AF30" s="84" t="e">
        <f t="shared" si="9"/>
        <v>#DIV/0!</v>
      </c>
      <c r="AG30" s="84" t="s">
        <v>127</v>
      </c>
      <c r="AH30" s="83"/>
      <c r="AI30" s="137"/>
      <c r="AJ30" s="85" t="e">
        <f t="shared" si="6"/>
        <v>#DIV/0!</v>
      </c>
      <c r="AK30" s="84">
        <f t="shared" si="3"/>
        <v>0</v>
      </c>
      <c r="AL30" s="26"/>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row>
    <row r="31" spans="1:88" s="19" customFormat="1" ht="34" x14ac:dyDescent="0.2">
      <c r="A31" s="57" t="s">
        <v>96</v>
      </c>
      <c r="B31" s="57" t="s">
        <v>74</v>
      </c>
      <c r="C31" s="57" t="s">
        <v>75</v>
      </c>
      <c r="D31" s="57" t="s">
        <v>82</v>
      </c>
      <c r="E31" s="57"/>
      <c r="F31" s="57" t="s">
        <v>93</v>
      </c>
      <c r="G31" s="57" t="s">
        <v>88</v>
      </c>
      <c r="H31" s="58">
        <v>2007</v>
      </c>
      <c r="I31" s="59">
        <v>0.8</v>
      </c>
      <c r="J31" s="57" t="s">
        <v>30</v>
      </c>
      <c r="K31" s="61">
        <v>0.06</v>
      </c>
      <c r="L31" s="56" t="s">
        <v>30</v>
      </c>
      <c r="M31" s="100">
        <f t="shared" si="12"/>
        <v>0.8</v>
      </c>
      <c r="N31" s="103">
        <f t="shared" si="13"/>
        <v>0.06</v>
      </c>
      <c r="O31" s="71">
        <v>7.3700000000000002E-2</v>
      </c>
      <c r="P31" s="129"/>
      <c r="Q31" s="119"/>
      <c r="R31" s="97"/>
      <c r="S31" s="74"/>
      <c r="T31" s="66"/>
      <c r="U31" s="75"/>
      <c r="V31" s="75"/>
      <c r="W31" s="153"/>
      <c r="X31" s="154"/>
      <c r="Y31" s="114">
        <f t="shared" si="4"/>
        <v>60000</v>
      </c>
      <c r="Z31" s="124" t="str">
        <f t="shared" si="5"/>
        <v>USD</v>
      </c>
      <c r="AA31" s="76"/>
      <c r="AB31" s="63"/>
      <c r="AC31" s="63"/>
      <c r="AD31" s="115"/>
      <c r="AE31" s="111">
        <f t="shared" si="8"/>
        <v>7.4999999999999997E-2</v>
      </c>
      <c r="AF31" s="84" t="e">
        <f t="shared" si="9"/>
        <v>#DIV/0!</v>
      </c>
      <c r="AG31" s="84" t="s">
        <v>127</v>
      </c>
      <c r="AH31" s="83"/>
      <c r="AI31" s="137"/>
      <c r="AJ31" s="85" t="e">
        <f t="shared" si="6"/>
        <v>#DIV/0!</v>
      </c>
      <c r="AK31" s="84">
        <f t="shared" si="3"/>
        <v>0</v>
      </c>
      <c r="AL31" s="26"/>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row>
    <row r="32" spans="1:88" s="19" customFormat="1" ht="34" x14ac:dyDescent="0.2">
      <c r="A32" s="57" t="s">
        <v>96</v>
      </c>
      <c r="B32" s="57" t="s">
        <v>74</v>
      </c>
      <c r="C32" s="57" t="s">
        <v>75</v>
      </c>
      <c r="D32" s="57" t="s">
        <v>89</v>
      </c>
      <c r="E32" s="57"/>
      <c r="F32" s="57" t="s">
        <v>94</v>
      </c>
      <c r="G32" s="57" t="s">
        <v>77</v>
      </c>
      <c r="H32" s="58">
        <v>2007</v>
      </c>
      <c r="I32" s="59">
        <v>0.22</v>
      </c>
      <c r="J32" s="57" t="s">
        <v>30</v>
      </c>
      <c r="K32" s="61">
        <v>0.04</v>
      </c>
      <c r="L32" s="56" t="s">
        <v>30</v>
      </c>
      <c r="M32" s="105">
        <f t="shared" si="12"/>
        <v>0.22</v>
      </c>
      <c r="N32" s="103">
        <f t="shared" si="13"/>
        <v>0.04</v>
      </c>
      <c r="O32" s="71">
        <v>0.18</v>
      </c>
      <c r="P32" s="129"/>
      <c r="Q32" s="119"/>
      <c r="R32" s="97"/>
      <c r="S32" s="74"/>
      <c r="T32" s="66"/>
      <c r="U32" s="75"/>
      <c r="V32" s="75"/>
      <c r="W32" s="153"/>
      <c r="X32" s="154"/>
      <c r="Y32" s="114">
        <f t="shared" si="4"/>
        <v>40000</v>
      </c>
      <c r="Z32" s="124" t="str">
        <f t="shared" si="5"/>
        <v>USD</v>
      </c>
      <c r="AA32" s="76"/>
      <c r="AB32" s="63"/>
      <c r="AC32" s="63"/>
      <c r="AD32" s="115"/>
      <c r="AE32" s="111">
        <f t="shared" si="8"/>
        <v>0.18181818181818182</v>
      </c>
      <c r="AF32" s="84" t="e">
        <f t="shared" si="9"/>
        <v>#DIV/0!</v>
      </c>
      <c r="AG32" s="84" t="s">
        <v>127</v>
      </c>
      <c r="AH32" s="83"/>
      <c r="AI32" s="137"/>
      <c r="AJ32" s="85" t="e">
        <f t="shared" si="6"/>
        <v>#DIV/0!</v>
      </c>
      <c r="AK32" s="84">
        <f t="shared" si="3"/>
        <v>0</v>
      </c>
      <c r="AL32" s="26"/>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row>
    <row r="33" spans="1:88" s="19" customFormat="1" ht="34" x14ac:dyDescent="0.2">
      <c r="A33" s="57" t="s">
        <v>96</v>
      </c>
      <c r="B33" s="57" t="s">
        <v>74</v>
      </c>
      <c r="C33" s="57" t="s">
        <v>75</v>
      </c>
      <c r="D33" s="57" t="s">
        <v>89</v>
      </c>
      <c r="E33" s="57"/>
      <c r="F33" s="57" t="s">
        <v>95</v>
      </c>
      <c r="G33" s="57" t="s">
        <v>90</v>
      </c>
      <c r="H33" s="58">
        <v>2007</v>
      </c>
      <c r="I33" s="59">
        <v>0.35</v>
      </c>
      <c r="J33" s="57" t="s">
        <v>30</v>
      </c>
      <c r="K33" s="61">
        <v>0.03</v>
      </c>
      <c r="L33" s="56" t="s">
        <v>30</v>
      </c>
      <c r="M33" s="105">
        <f t="shared" si="12"/>
        <v>0.35</v>
      </c>
      <c r="N33" s="103">
        <f t="shared" si="13"/>
        <v>0.03</v>
      </c>
      <c r="O33" s="71">
        <v>0.11</v>
      </c>
      <c r="P33" s="129"/>
      <c r="Q33" s="119"/>
      <c r="R33" s="97"/>
      <c r="S33" s="74"/>
      <c r="T33" s="66"/>
      <c r="U33" s="75"/>
      <c r="V33" s="75"/>
      <c r="W33" s="153"/>
      <c r="X33" s="154"/>
      <c r="Y33" s="114">
        <f t="shared" si="4"/>
        <v>30000</v>
      </c>
      <c r="Z33" s="124" t="str">
        <f t="shared" si="5"/>
        <v>USD</v>
      </c>
      <c r="AA33" s="76"/>
      <c r="AB33" s="63"/>
      <c r="AC33" s="63"/>
      <c r="AD33" s="115"/>
      <c r="AE33" s="111">
        <f t="shared" si="8"/>
        <v>8.5714285714285715E-2</v>
      </c>
      <c r="AF33" s="84" t="e">
        <f t="shared" si="9"/>
        <v>#DIV/0!</v>
      </c>
      <c r="AG33" s="84" t="s">
        <v>127</v>
      </c>
      <c r="AH33" s="83"/>
      <c r="AI33" s="137"/>
      <c r="AJ33" s="85" t="e">
        <f t="shared" si="6"/>
        <v>#DIV/0!</v>
      </c>
      <c r="AK33" s="84">
        <f t="shared" si="3"/>
        <v>0</v>
      </c>
      <c r="AL33" s="26"/>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row>
    <row r="34" spans="1:88" s="19" customFormat="1" ht="34" x14ac:dyDescent="0.2">
      <c r="A34" s="57" t="s">
        <v>96</v>
      </c>
      <c r="B34" s="57" t="s">
        <v>74</v>
      </c>
      <c r="C34" s="57" t="s">
        <v>75</v>
      </c>
      <c r="D34" s="62" t="s">
        <v>91</v>
      </c>
      <c r="E34" s="62"/>
      <c r="F34" s="62" t="s">
        <v>92</v>
      </c>
      <c r="G34" s="62" t="s">
        <v>83</v>
      </c>
      <c r="H34" s="58">
        <v>2007</v>
      </c>
      <c r="I34" s="61">
        <v>5.81</v>
      </c>
      <c r="J34" s="62" t="s">
        <v>30</v>
      </c>
      <c r="K34" s="61">
        <v>1.93</v>
      </c>
      <c r="L34" s="56" t="s">
        <v>30</v>
      </c>
      <c r="M34" s="105">
        <f t="shared" si="12"/>
        <v>5.81</v>
      </c>
      <c r="N34" s="103">
        <f t="shared" si="13"/>
        <v>1.93</v>
      </c>
      <c r="O34" s="71">
        <v>0.33</v>
      </c>
      <c r="P34" s="129"/>
      <c r="Q34" s="119"/>
      <c r="R34" s="97"/>
      <c r="S34" s="74"/>
      <c r="T34" s="66"/>
      <c r="U34" s="75"/>
      <c r="V34" s="75"/>
      <c r="W34" s="153"/>
      <c r="X34" s="154"/>
      <c r="Y34" s="114">
        <f t="shared" si="4"/>
        <v>1930000</v>
      </c>
      <c r="Z34" s="124" t="str">
        <f t="shared" si="5"/>
        <v>USD</v>
      </c>
      <c r="AA34" s="76"/>
      <c r="AB34" s="63"/>
      <c r="AC34" s="63"/>
      <c r="AD34" s="115"/>
      <c r="AE34" s="111">
        <f t="shared" si="8"/>
        <v>0.33218588640275387</v>
      </c>
      <c r="AF34" s="84" t="e">
        <f t="shared" si="9"/>
        <v>#DIV/0!</v>
      </c>
      <c r="AG34" s="84" t="s">
        <v>127</v>
      </c>
      <c r="AH34" s="83"/>
      <c r="AI34" s="137"/>
      <c r="AJ34" s="85" t="e">
        <f t="shared" si="6"/>
        <v>#DIV/0!</v>
      </c>
      <c r="AK34" s="84">
        <f t="shared" si="3"/>
        <v>0</v>
      </c>
      <c r="AL34" s="26"/>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row>
    <row r="35" spans="1:88" s="19" customFormat="1" ht="38.25" customHeight="1" x14ac:dyDescent="0.2">
      <c r="A35" s="107" t="s">
        <v>96</v>
      </c>
      <c r="B35" s="107" t="s">
        <v>112</v>
      </c>
      <c r="C35" s="107" t="s">
        <v>113</v>
      </c>
      <c r="D35" s="108" t="s">
        <v>114</v>
      </c>
      <c r="E35" s="108"/>
      <c r="F35" s="108" t="s">
        <v>146</v>
      </c>
      <c r="G35" s="108" t="s">
        <v>115</v>
      </c>
      <c r="H35" s="58">
        <v>2018</v>
      </c>
      <c r="I35" s="61">
        <v>10.667999999999999</v>
      </c>
      <c r="J35" s="62" t="s">
        <v>30</v>
      </c>
      <c r="K35" s="61">
        <f>O35*I35</f>
        <v>4.6939199999999994</v>
      </c>
      <c r="L35" s="56" t="s">
        <v>30</v>
      </c>
      <c r="M35" s="105">
        <f>I35</f>
        <v>10.667999999999999</v>
      </c>
      <c r="N35" s="103">
        <f>K35</f>
        <v>4.6939199999999994</v>
      </c>
      <c r="O35" s="71">
        <v>0.44</v>
      </c>
      <c r="P35" s="129"/>
      <c r="Q35" s="119">
        <v>1197</v>
      </c>
      <c r="R35" s="97" t="s">
        <v>99</v>
      </c>
      <c r="S35" s="74"/>
      <c r="T35" s="66"/>
      <c r="U35" s="75"/>
      <c r="V35" s="75"/>
      <c r="W35" s="153">
        <v>4.0000000000000001E-3</v>
      </c>
      <c r="X35" s="154" t="s">
        <v>106</v>
      </c>
      <c r="Y35" s="114">
        <f t="shared" ref="Y35" si="14">K35*1000000</f>
        <v>4693919.9999999991</v>
      </c>
      <c r="Z35" s="124" t="str">
        <f t="shared" si="5"/>
        <v>USD</v>
      </c>
      <c r="AA35" s="76"/>
      <c r="AB35" s="63"/>
      <c r="AC35" s="63"/>
      <c r="AD35" s="115"/>
      <c r="AE35" s="111">
        <f t="shared" ref="AE35" si="15">K35/I35</f>
        <v>0.44</v>
      </c>
      <c r="AF35" s="122">
        <f>((K35/Q35)*1000000)/12</f>
        <v>326.78362573099412</v>
      </c>
      <c r="AG35" s="84" t="s">
        <v>147</v>
      </c>
      <c r="AH35" s="83"/>
      <c r="AI35" s="137"/>
      <c r="AJ35" s="85">
        <f t="shared" si="6"/>
        <v>8912.2807017543855</v>
      </c>
      <c r="AK35" s="84">
        <f>(Q35/M35)</f>
        <v>112.20472440944883</v>
      </c>
      <c r="AL35" s="26"/>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row>
    <row r="36" spans="1:88" s="19" customFormat="1" ht="68" x14ac:dyDescent="0.2">
      <c r="A36" s="57" t="s">
        <v>39</v>
      </c>
      <c r="B36" s="57" t="s">
        <v>3</v>
      </c>
      <c r="C36" s="57" t="s">
        <v>116</v>
      </c>
      <c r="D36" s="62" t="s">
        <v>144</v>
      </c>
      <c r="E36" s="62"/>
      <c r="F36" s="62" t="s">
        <v>145</v>
      </c>
      <c r="G36" s="62" t="s">
        <v>77</v>
      </c>
      <c r="H36" s="58">
        <v>2018</v>
      </c>
      <c r="I36" s="61">
        <v>0.58099999999999996</v>
      </c>
      <c r="J36" s="62" t="s">
        <v>30</v>
      </c>
      <c r="K36" s="61">
        <f>I36*O36</f>
        <v>0.33116999999999996</v>
      </c>
      <c r="L36" s="56" t="s">
        <v>30</v>
      </c>
      <c r="M36" s="105">
        <f t="shared" ref="M36:M46" si="16">I36</f>
        <v>0.58099999999999996</v>
      </c>
      <c r="N36" s="103">
        <f>K36</f>
        <v>0.33116999999999996</v>
      </c>
      <c r="O36" s="71">
        <v>0.56999999999999995</v>
      </c>
      <c r="P36" s="129"/>
      <c r="Q36" s="119">
        <v>21946</v>
      </c>
      <c r="R36" s="97" t="s">
        <v>130</v>
      </c>
      <c r="S36" s="74"/>
      <c r="T36" s="66"/>
      <c r="U36" s="75"/>
      <c r="V36" s="75"/>
      <c r="W36" s="153" t="s">
        <v>106</v>
      </c>
      <c r="X36" s="194">
        <v>1</v>
      </c>
      <c r="Y36" s="114">
        <f>K36*1000000</f>
        <v>331169.99999999994</v>
      </c>
      <c r="Z36" s="124" t="str">
        <f t="shared" si="5"/>
        <v>USD</v>
      </c>
      <c r="AA36" s="76"/>
      <c r="AB36" s="63"/>
      <c r="AC36" s="63"/>
      <c r="AD36" s="115"/>
      <c r="AE36" s="111">
        <f t="shared" ref="AE36:AE46" si="17">K36/I36</f>
        <v>0.56999999999999995</v>
      </c>
      <c r="AF36" s="122">
        <f t="shared" ref="AF36:AF46" si="18">(K36/Q36)*1000000</f>
        <v>15.090221452656518</v>
      </c>
      <c r="AG36" s="84" t="s">
        <v>124</v>
      </c>
      <c r="AH36" s="83"/>
      <c r="AI36" s="137"/>
      <c r="AJ36" s="85">
        <f t="shared" si="6"/>
        <v>26.474072723958809</v>
      </c>
      <c r="AK36" s="84">
        <f t="shared" ref="AK36:AK38" si="19">(Q36/M36)/230</f>
        <v>164.22958916410985</v>
      </c>
      <c r="AL36" s="26"/>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row>
    <row r="37" spans="1:88" s="19" customFormat="1" ht="68" x14ac:dyDescent="0.2">
      <c r="A37" s="57" t="s">
        <v>39</v>
      </c>
      <c r="B37" s="57" t="s">
        <v>3</v>
      </c>
      <c r="C37" s="57" t="s">
        <v>116</v>
      </c>
      <c r="D37" s="62" t="s">
        <v>144</v>
      </c>
      <c r="E37" s="62"/>
      <c r="F37" s="62" t="s">
        <v>143</v>
      </c>
      <c r="G37" s="62" t="s">
        <v>77</v>
      </c>
      <c r="H37" s="58">
        <v>2018</v>
      </c>
      <c r="I37" s="61">
        <v>0.254</v>
      </c>
      <c r="J37" s="62" t="s">
        <v>30</v>
      </c>
      <c r="K37" s="61">
        <v>7.9000000000000001E-2</v>
      </c>
      <c r="L37" s="56" t="s">
        <v>30</v>
      </c>
      <c r="M37" s="105">
        <f t="shared" si="16"/>
        <v>0.254</v>
      </c>
      <c r="N37" s="103">
        <f>K37</f>
        <v>7.9000000000000001E-2</v>
      </c>
      <c r="O37" s="71">
        <f>N37/M37</f>
        <v>0.3110236220472441</v>
      </c>
      <c r="P37" s="129"/>
      <c r="Q37" s="119">
        <v>3525</v>
      </c>
      <c r="R37" s="97" t="s">
        <v>130</v>
      </c>
      <c r="S37" s="74"/>
      <c r="T37" s="66"/>
      <c r="U37" s="75"/>
      <c r="V37" s="75"/>
      <c r="W37" s="153">
        <v>0</v>
      </c>
      <c r="X37" s="154">
        <v>1</v>
      </c>
      <c r="Y37" s="114">
        <f>K37*1000000</f>
        <v>79000</v>
      </c>
      <c r="Z37" s="124" t="str">
        <f t="shared" si="5"/>
        <v>USD</v>
      </c>
      <c r="AA37" s="76"/>
      <c r="AB37" s="63"/>
      <c r="AC37" s="63"/>
      <c r="AD37" s="115"/>
      <c r="AE37" s="111">
        <f t="shared" si="17"/>
        <v>0.3110236220472441</v>
      </c>
      <c r="AF37" s="122">
        <f t="shared" si="18"/>
        <v>22.411347517730498</v>
      </c>
      <c r="AG37" s="84" t="s">
        <v>124</v>
      </c>
      <c r="AH37" s="83"/>
      <c r="AI37" s="137"/>
      <c r="AJ37" s="85">
        <f t="shared" si="6"/>
        <v>72.056737588652481</v>
      </c>
      <c r="AK37" s="84">
        <f t="shared" si="19"/>
        <v>60.338925025676133</v>
      </c>
      <c r="AL37" s="26"/>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row>
    <row r="38" spans="1:88" s="19" customFormat="1" ht="68" x14ac:dyDescent="0.2">
      <c r="A38" s="57" t="s">
        <v>39</v>
      </c>
      <c r="B38" s="57" t="s">
        <v>3</v>
      </c>
      <c r="C38" s="57" t="s">
        <v>116</v>
      </c>
      <c r="D38" s="62" t="s">
        <v>144</v>
      </c>
      <c r="E38" s="62"/>
      <c r="F38" s="62" t="s">
        <v>142</v>
      </c>
      <c r="G38" s="62" t="s">
        <v>77</v>
      </c>
      <c r="H38" s="58">
        <v>2018</v>
      </c>
      <c r="I38" s="61">
        <v>0.65700000000000003</v>
      </c>
      <c r="J38" s="62" t="s">
        <v>30</v>
      </c>
      <c r="K38" s="61">
        <v>0.51</v>
      </c>
      <c r="L38" s="56" t="s">
        <v>30</v>
      </c>
      <c r="M38" s="105">
        <f t="shared" si="16"/>
        <v>0.65700000000000003</v>
      </c>
      <c r="N38" s="103">
        <f>K38</f>
        <v>0.51</v>
      </c>
      <c r="O38" s="71">
        <f>N38/M38</f>
        <v>0.77625570776255703</v>
      </c>
      <c r="P38" s="129"/>
      <c r="Q38" s="119">
        <v>26211</v>
      </c>
      <c r="R38" s="97" t="s">
        <v>130</v>
      </c>
      <c r="S38" s="74"/>
      <c r="T38" s="66"/>
      <c r="U38" s="75"/>
      <c r="V38" s="75"/>
      <c r="W38" s="153">
        <v>0.111</v>
      </c>
      <c r="X38" s="194">
        <v>1</v>
      </c>
      <c r="Y38" s="114">
        <f t="shared" ref="Y38:Y45" si="20">K38*1000000</f>
        <v>510000</v>
      </c>
      <c r="Z38" s="124" t="str">
        <f t="shared" si="5"/>
        <v>USD</v>
      </c>
      <c r="AA38" s="76"/>
      <c r="AB38" s="63"/>
      <c r="AC38" s="63"/>
      <c r="AD38" s="115"/>
      <c r="AE38" s="111">
        <f t="shared" si="17"/>
        <v>0.77625570776255703</v>
      </c>
      <c r="AF38" s="122">
        <f t="shared" si="18"/>
        <v>19.457479684102093</v>
      </c>
      <c r="AG38" s="84" t="s">
        <v>124</v>
      </c>
      <c r="AH38" s="83"/>
      <c r="AI38" s="137"/>
      <c r="AJ38" s="85">
        <f t="shared" si="6"/>
        <v>25.065812063637406</v>
      </c>
      <c r="AK38" s="84">
        <f t="shared" si="19"/>
        <v>173.45642247369466</v>
      </c>
      <c r="AL38" s="26"/>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row>
    <row r="39" spans="1:88" s="19" customFormat="1" ht="34" x14ac:dyDescent="0.2">
      <c r="A39" s="159" t="s">
        <v>39</v>
      </c>
      <c r="B39" s="159" t="s">
        <v>3</v>
      </c>
      <c r="C39" s="159" t="s">
        <v>118</v>
      </c>
      <c r="D39" s="160" t="s">
        <v>132</v>
      </c>
      <c r="E39" s="160"/>
      <c r="F39" s="160" t="s">
        <v>140</v>
      </c>
      <c r="G39" s="160" t="s">
        <v>77</v>
      </c>
      <c r="H39" s="161">
        <v>2018</v>
      </c>
      <c r="I39" s="162">
        <v>0.34499999999999997</v>
      </c>
      <c r="J39" s="160" t="s">
        <v>30</v>
      </c>
      <c r="K39" s="162">
        <f>N39</f>
        <v>0.17249999999999999</v>
      </c>
      <c r="L39" s="163" t="s">
        <v>30</v>
      </c>
      <c r="M39" s="164">
        <f t="shared" si="16"/>
        <v>0.34499999999999997</v>
      </c>
      <c r="N39" s="165">
        <f>O39*I39</f>
        <v>0.17249999999999999</v>
      </c>
      <c r="O39" s="166">
        <v>0.5</v>
      </c>
      <c r="P39" s="167"/>
      <c r="Q39" s="168">
        <v>8122</v>
      </c>
      <c r="R39" s="169" t="s">
        <v>130</v>
      </c>
      <c r="S39" s="170"/>
      <c r="T39" s="171"/>
      <c r="U39" s="172"/>
      <c r="V39" s="172"/>
      <c r="W39" s="173">
        <v>0.23699999999999999</v>
      </c>
      <c r="X39" s="174" t="s">
        <v>106</v>
      </c>
      <c r="Y39" s="175">
        <f t="shared" si="20"/>
        <v>172500</v>
      </c>
      <c r="Z39" s="176" t="str">
        <f t="shared" si="5"/>
        <v>USD</v>
      </c>
      <c r="AA39" s="177"/>
      <c r="AB39" s="178"/>
      <c r="AC39" s="178"/>
      <c r="AD39" s="179"/>
      <c r="AE39" s="180">
        <f t="shared" si="17"/>
        <v>0.5</v>
      </c>
      <c r="AF39" s="181">
        <f t="shared" si="18"/>
        <v>21.238611179512436</v>
      </c>
      <c r="AG39" s="182" t="s">
        <v>124</v>
      </c>
      <c r="AH39" s="183"/>
      <c r="AI39" s="184"/>
      <c r="AJ39" s="185">
        <f t="shared" si="6"/>
        <v>42.477222359024871</v>
      </c>
      <c r="AK39" s="182">
        <f t="shared" ref="AK39:AK46" si="21">(Q39/M39)/300</f>
        <v>78.473429951690832</v>
      </c>
      <c r="AL39" s="26" t="s">
        <v>148</v>
      </c>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row>
    <row r="40" spans="1:88" s="19" customFormat="1" ht="34" x14ac:dyDescent="0.2">
      <c r="A40" s="159" t="s">
        <v>39</v>
      </c>
      <c r="B40" s="159" t="s">
        <v>3</v>
      </c>
      <c r="C40" s="159" t="s">
        <v>118</v>
      </c>
      <c r="D40" s="160" t="s">
        <v>132</v>
      </c>
      <c r="E40" s="160"/>
      <c r="F40" s="160" t="s">
        <v>139</v>
      </c>
      <c r="G40" s="160" t="s">
        <v>77</v>
      </c>
      <c r="H40" s="161">
        <v>2018</v>
      </c>
      <c r="I40" s="162">
        <v>0.27200000000000002</v>
      </c>
      <c r="J40" s="160" t="s">
        <v>30</v>
      </c>
      <c r="K40" s="162">
        <f>N40</f>
        <v>0.13872000000000001</v>
      </c>
      <c r="L40" s="163" t="s">
        <v>30</v>
      </c>
      <c r="M40" s="164">
        <f t="shared" si="16"/>
        <v>0.27200000000000002</v>
      </c>
      <c r="N40" s="165">
        <f>O40*I40</f>
        <v>0.13872000000000001</v>
      </c>
      <c r="O40" s="166">
        <v>0.51</v>
      </c>
      <c r="P40" s="167"/>
      <c r="Q40" s="168">
        <v>6551</v>
      </c>
      <c r="R40" s="169" t="s">
        <v>130</v>
      </c>
      <c r="S40" s="170"/>
      <c r="T40" s="171"/>
      <c r="U40" s="172"/>
      <c r="V40" s="172"/>
      <c r="W40" s="173">
        <v>0.17299999999999999</v>
      </c>
      <c r="X40" s="174" t="s">
        <v>106</v>
      </c>
      <c r="Y40" s="175">
        <f t="shared" si="20"/>
        <v>138720</v>
      </c>
      <c r="Z40" s="176" t="str">
        <f t="shared" si="5"/>
        <v>USD</v>
      </c>
      <c r="AA40" s="177"/>
      <c r="AB40" s="178"/>
      <c r="AC40" s="178"/>
      <c r="AD40" s="179"/>
      <c r="AE40" s="180">
        <f t="shared" si="17"/>
        <v>0.51</v>
      </c>
      <c r="AF40" s="181">
        <f t="shared" si="18"/>
        <v>21.175393069760343</v>
      </c>
      <c r="AG40" s="182" t="s">
        <v>124</v>
      </c>
      <c r="AH40" s="183"/>
      <c r="AI40" s="184"/>
      <c r="AJ40" s="185">
        <f t="shared" si="6"/>
        <v>41.52037856815754</v>
      </c>
      <c r="AK40" s="182">
        <f t="shared" si="21"/>
        <v>80.281862745098024</v>
      </c>
      <c r="AL40" s="26" t="s">
        <v>148</v>
      </c>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row>
    <row r="41" spans="1:88" s="19" customFormat="1" ht="17" x14ac:dyDescent="0.2">
      <c r="A41" s="159" t="s">
        <v>39</v>
      </c>
      <c r="B41" s="159" t="s">
        <v>3</v>
      </c>
      <c r="C41" s="159" t="s">
        <v>118</v>
      </c>
      <c r="D41" s="160" t="s">
        <v>129</v>
      </c>
      <c r="E41" s="160"/>
      <c r="F41" s="160" t="s">
        <v>138</v>
      </c>
      <c r="G41" s="160" t="s">
        <v>47</v>
      </c>
      <c r="H41" s="161">
        <v>2018</v>
      </c>
      <c r="I41" s="162">
        <v>50.783000000000001</v>
      </c>
      <c r="J41" s="160" t="s">
        <v>30</v>
      </c>
      <c r="K41" s="162">
        <f>O41*I41</f>
        <v>10.055034000000001</v>
      </c>
      <c r="L41" s="163" t="s">
        <v>30</v>
      </c>
      <c r="M41" s="164">
        <f t="shared" si="16"/>
        <v>50.783000000000001</v>
      </c>
      <c r="N41" s="165">
        <f>O41*I41</f>
        <v>10.055034000000001</v>
      </c>
      <c r="O41" s="166">
        <v>0.19800000000000001</v>
      </c>
      <c r="P41" s="167"/>
      <c r="Q41" s="195">
        <v>268015</v>
      </c>
      <c r="R41" s="169" t="s">
        <v>130</v>
      </c>
      <c r="S41" s="170"/>
      <c r="T41" s="171"/>
      <c r="U41" s="172"/>
      <c r="V41" s="172"/>
      <c r="W41" s="173">
        <v>2.1999999999999999E-2</v>
      </c>
      <c r="X41" s="174" t="s">
        <v>106</v>
      </c>
      <c r="Y41" s="175">
        <f t="shared" si="20"/>
        <v>10055034</v>
      </c>
      <c r="Z41" s="176" t="str">
        <f t="shared" si="5"/>
        <v>USD</v>
      </c>
      <c r="AA41" s="177"/>
      <c r="AB41" s="178"/>
      <c r="AC41" s="178"/>
      <c r="AD41" s="179"/>
      <c r="AE41" s="180">
        <f t="shared" si="17"/>
        <v>0.19800000000000001</v>
      </c>
      <c r="AF41" s="181">
        <f t="shared" si="18"/>
        <v>37.516683767699568</v>
      </c>
      <c r="AG41" s="182" t="s">
        <v>124</v>
      </c>
      <c r="AH41" s="183"/>
      <c r="AI41" s="184"/>
      <c r="AJ41" s="185">
        <f t="shared" si="6"/>
        <v>189.47820084696752</v>
      </c>
      <c r="AK41" s="182">
        <f t="shared" si="21"/>
        <v>17.592173233824965</v>
      </c>
      <c r="AL41" s="26" t="s">
        <v>148</v>
      </c>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row>
    <row r="42" spans="1:88" s="19" customFormat="1" ht="17" x14ac:dyDescent="0.2">
      <c r="A42" s="159" t="s">
        <v>39</v>
      </c>
      <c r="B42" s="159" t="s">
        <v>3</v>
      </c>
      <c r="C42" s="159" t="s">
        <v>118</v>
      </c>
      <c r="D42" s="160" t="s">
        <v>129</v>
      </c>
      <c r="E42" s="160"/>
      <c r="F42" s="160" t="s">
        <v>137</v>
      </c>
      <c r="G42" s="160" t="s">
        <v>47</v>
      </c>
      <c r="H42" s="161">
        <v>2018</v>
      </c>
      <c r="I42" s="162">
        <v>148.785</v>
      </c>
      <c r="J42" s="160" t="s">
        <v>30</v>
      </c>
      <c r="K42" s="162">
        <f>N42</f>
        <v>32.583914999999998</v>
      </c>
      <c r="L42" s="163" t="s">
        <v>30</v>
      </c>
      <c r="M42" s="164">
        <f t="shared" si="16"/>
        <v>148.785</v>
      </c>
      <c r="N42" s="165">
        <f>O42*I42</f>
        <v>32.583914999999998</v>
      </c>
      <c r="O42" s="166">
        <v>0.219</v>
      </c>
      <c r="P42" s="167"/>
      <c r="Q42" s="195">
        <v>601787</v>
      </c>
      <c r="R42" s="169" t="s">
        <v>130</v>
      </c>
      <c r="S42" s="170"/>
      <c r="T42" s="171"/>
      <c r="U42" s="172"/>
      <c r="V42" s="172"/>
      <c r="W42" s="173">
        <v>0</v>
      </c>
      <c r="X42" s="174" t="s">
        <v>106</v>
      </c>
      <c r="Y42" s="175">
        <f t="shared" si="20"/>
        <v>32583914.999999996</v>
      </c>
      <c r="Z42" s="176" t="str">
        <f t="shared" si="5"/>
        <v>USD</v>
      </c>
      <c r="AA42" s="177"/>
      <c r="AB42" s="178"/>
      <c r="AC42" s="178"/>
      <c r="AD42" s="179"/>
      <c r="AE42" s="180">
        <f t="shared" si="17"/>
        <v>0.219</v>
      </c>
      <c r="AF42" s="181">
        <f t="shared" si="18"/>
        <v>54.14526236027033</v>
      </c>
      <c r="AG42" s="182" t="s">
        <v>124</v>
      </c>
      <c r="AH42" s="183"/>
      <c r="AI42" s="184"/>
      <c r="AJ42" s="185">
        <f t="shared" si="6"/>
        <v>247.23864091447638</v>
      </c>
      <c r="AK42" s="182">
        <f t="shared" si="21"/>
        <v>13.482250674911226</v>
      </c>
      <c r="AL42" s="26" t="s">
        <v>148</v>
      </c>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row>
    <row r="43" spans="1:88" s="19" customFormat="1" ht="34" x14ac:dyDescent="0.2">
      <c r="A43" s="159" t="s">
        <v>39</v>
      </c>
      <c r="B43" s="159" t="s">
        <v>117</v>
      </c>
      <c r="C43" s="159" t="s">
        <v>118</v>
      </c>
      <c r="D43" s="160" t="s">
        <v>132</v>
      </c>
      <c r="E43" s="160"/>
      <c r="F43" s="160" t="s">
        <v>135</v>
      </c>
      <c r="G43" s="160" t="s">
        <v>77</v>
      </c>
      <c r="H43" s="161"/>
      <c r="I43" s="162">
        <v>0.37</v>
      </c>
      <c r="J43" s="160" t="s">
        <v>30</v>
      </c>
      <c r="K43" s="162">
        <v>0.27200000000000002</v>
      </c>
      <c r="L43" s="163" t="s">
        <v>30</v>
      </c>
      <c r="M43" s="164">
        <f t="shared" si="16"/>
        <v>0.37</v>
      </c>
      <c r="N43" s="165">
        <f>K43</f>
        <v>0.27200000000000002</v>
      </c>
      <c r="O43" s="186">
        <f>K43/I43</f>
        <v>0.73513513513513518</v>
      </c>
      <c r="P43" s="167">
        <v>26</v>
      </c>
      <c r="Q43" s="195">
        <f>7950</f>
        <v>7950</v>
      </c>
      <c r="R43" s="169" t="s">
        <v>130</v>
      </c>
      <c r="S43" s="170"/>
      <c r="T43" s="171"/>
      <c r="U43" s="172"/>
      <c r="V43" s="172"/>
      <c r="W43" s="173" t="s">
        <v>106</v>
      </c>
      <c r="X43" s="174" t="s">
        <v>106</v>
      </c>
      <c r="Y43" s="175">
        <f t="shared" si="20"/>
        <v>272000</v>
      </c>
      <c r="Z43" s="176" t="str">
        <f t="shared" si="5"/>
        <v>USD</v>
      </c>
      <c r="AA43" s="177"/>
      <c r="AB43" s="178"/>
      <c r="AC43" s="178"/>
      <c r="AD43" s="179"/>
      <c r="AE43" s="180">
        <f t="shared" si="17"/>
        <v>0.73513513513513518</v>
      </c>
      <c r="AF43" s="181">
        <f t="shared" si="18"/>
        <v>34.213836477987428</v>
      </c>
      <c r="AG43" s="181" t="s">
        <v>124</v>
      </c>
      <c r="AH43" s="183">
        <f>Q43/P43</f>
        <v>305.76923076923077</v>
      </c>
      <c r="AI43" s="184">
        <f>Y43/P43</f>
        <v>10461.538461538461</v>
      </c>
      <c r="AJ43" s="185">
        <f t="shared" si="6"/>
        <v>46.540880503144649</v>
      </c>
      <c r="AK43" s="182">
        <f t="shared" si="21"/>
        <v>71.621621621621628</v>
      </c>
      <c r="AL43" s="26" t="s">
        <v>148</v>
      </c>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row>
    <row r="44" spans="1:88" s="19" customFormat="1" ht="17" x14ac:dyDescent="0.2">
      <c r="A44" s="159" t="s">
        <v>39</v>
      </c>
      <c r="B44" s="159" t="s">
        <v>117</v>
      </c>
      <c r="C44" s="159" t="s">
        <v>118</v>
      </c>
      <c r="D44" s="160" t="s">
        <v>132</v>
      </c>
      <c r="E44" s="160"/>
      <c r="F44" s="160" t="s">
        <v>136</v>
      </c>
      <c r="G44" s="160"/>
      <c r="H44" s="161">
        <v>2018</v>
      </c>
      <c r="I44" s="162">
        <v>7.3</v>
      </c>
      <c r="J44" s="160"/>
      <c r="K44" s="187">
        <v>2.4</v>
      </c>
      <c r="L44" s="163" t="s">
        <v>30</v>
      </c>
      <c r="M44" s="164">
        <f t="shared" si="16"/>
        <v>7.3</v>
      </c>
      <c r="N44" s="165">
        <f>K44</f>
        <v>2.4</v>
      </c>
      <c r="O44" s="186">
        <f>K44/I44</f>
        <v>0.32876712328767121</v>
      </c>
      <c r="P44" s="188">
        <v>300</v>
      </c>
      <c r="Q44" s="195">
        <v>59625</v>
      </c>
      <c r="R44" s="169" t="s">
        <v>130</v>
      </c>
      <c r="S44" s="170"/>
      <c r="T44" s="171"/>
      <c r="U44" s="172"/>
      <c r="V44" s="172"/>
      <c r="W44" s="173" t="s">
        <v>106</v>
      </c>
      <c r="X44" s="174" t="s">
        <v>106</v>
      </c>
      <c r="Y44" s="175">
        <f t="shared" si="20"/>
        <v>2400000</v>
      </c>
      <c r="Z44" s="176" t="str">
        <f t="shared" si="5"/>
        <v>USD</v>
      </c>
      <c r="AA44" s="177"/>
      <c r="AB44" s="178"/>
      <c r="AC44" s="178"/>
      <c r="AD44" s="179"/>
      <c r="AE44" s="180">
        <f t="shared" si="17"/>
        <v>0.32876712328767121</v>
      </c>
      <c r="AF44" s="181">
        <f t="shared" si="18"/>
        <v>40.251572327044023</v>
      </c>
      <c r="AG44" s="181" t="s">
        <v>124</v>
      </c>
      <c r="AH44" s="189">
        <f t="shared" ref="AH44:AH45" si="22">Q44/P44</f>
        <v>198.75</v>
      </c>
      <c r="AI44" s="184">
        <f>Y44/P44</f>
        <v>8000</v>
      </c>
      <c r="AJ44" s="185">
        <f t="shared" si="6"/>
        <v>122.43186582809224</v>
      </c>
      <c r="AK44" s="182">
        <f t="shared" si="21"/>
        <v>27.226027397260275</v>
      </c>
      <c r="AL44" s="26" t="s">
        <v>148</v>
      </c>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row>
    <row r="45" spans="1:88" s="19" customFormat="1" ht="17" x14ac:dyDescent="0.2">
      <c r="A45" s="159" t="s">
        <v>39</v>
      </c>
      <c r="B45" s="159" t="s">
        <v>117</v>
      </c>
      <c r="C45" s="159" t="s">
        <v>118</v>
      </c>
      <c r="D45" s="160" t="s">
        <v>129</v>
      </c>
      <c r="E45" s="160"/>
      <c r="F45" s="160" t="s">
        <v>134</v>
      </c>
      <c r="G45" s="160" t="s">
        <v>47</v>
      </c>
      <c r="H45" s="161">
        <v>2018</v>
      </c>
      <c r="I45" s="162">
        <v>7.54</v>
      </c>
      <c r="J45" s="160" t="s">
        <v>30</v>
      </c>
      <c r="K45" s="187">
        <v>1.6</v>
      </c>
      <c r="L45" s="163" t="s">
        <v>30</v>
      </c>
      <c r="M45" s="164">
        <f t="shared" si="16"/>
        <v>7.54</v>
      </c>
      <c r="N45" s="190">
        <f>K45</f>
        <v>1.6</v>
      </c>
      <c r="O45" s="186">
        <f>K45/I45</f>
        <v>0.21220159151193635</v>
      </c>
      <c r="P45" s="167">
        <v>54</v>
      </c>
      <c r="Q45" s="196">
        <v>48600</v>
      </c>
      <c r="R45" s="169" t="s">
        <v>130</v>
      </c>
      <c r="S45" s="170"/>
      <c r="T45" s="171"/>
      <c r="U45" s="172"/>
      <c r="V45" s="172"/>
      <c r="W45" s="173" t="s">
        <v>106</v>
      </c>
      <c r="X45" s="174" t="s">
        <v>106</v>
      </c>
      <c r="Y45" s="175">
        <f t="shared" si="20"/>
        <v>1600000</v>
      </c>
      <c r="Z45" s="176" t="str">
        <f t="shared" si="5"/>
        <v>USD</v>
      </c>
      <c r="AA45" s="177"/>
      <c r="AB45" s="178"/>
      <c r="AC45" s="178"/>
      <c r="AD45" s="179"/>
      <c r="AE45" s="180">
        <f t="shared" si="17"/>
        <v>0.21220159151193635</v>
      </c>
      <c r="AF45" s="181">
        <f t="shared" si="18"/>
        <v>32.921810699588477</v>
      </c>
      <c r="AG45" s="181" t="s">
        <v>124</v>
      </c>
      <c r="AH45" s="183">
        <f t="shared" si="22"/>
        <v>900</v>
      </c>
      <c r="AI45" s="184">
        <f>Y45/P45</f>
        <v>29629.629629629631</v>
      </c>
      <c r="AJ45" s="185">
        <f t="shared" si="6"/>
        <v>155.14403292181069</v>
      </c>
      <c r="AK45" s="182">
        <f t="shared" si="21"/>
        <v>21.485411140583555</v>
      </c>
      <c r="AL45" s="26" t="s">
        <v>148</v>
      </c>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row>
    <row r="46" spans="1:88" s="19" customFormat="1" ht="17" x14ac:dyDescent="0.2">
      <c r="A46" s="159" t="s">
        <v>39</v>
      </c>
      <c r="B46" s="191" t="s">
        <v>117</v>
      </c>
      <c r="C46" s="191" t="s">
        <v>118</v>
      </c>
      <c r="D46" s="191" t="s">
        <v>129</v>
      </c>
      <c r="E46" s="191"/>
      <c r="F46" s="191" t="s">
        <v>133</v>
      </c>
      <c r="G46" s="160" t="s">
        <v>47</v>
      </c>
      <c r="H46" s="191">
        <v>2018</v>
      </c>
      <c r="I46" s="192">
        <v>14.826000000000001</v>
      </c>
      <c r="J46" s="193" t="s">
        <v>30</v>
      </c>
      <c r="K46" s="187">
        <f>O46*I46</f>
        <v>2.5204200000000001</v>
      </c>
      <c r="L46" s="163" t="s">
        <v>30</v>
      </c>
      <c r="M46" s="164">
        <f t="shared" si="16"/>
        <v>14.826000000000001</v>
      </c>
      <c r="N46" s="165">
        <f>K46</f>
        <v>2.5204200000000001</v>
      </c>
      <c r="O46" s="186">
        <v>0.17</v>
      </c>
      <c r="P46" s="167"/>
      <c r="Q46" s="196">
        <v>62016</v>
      </c>
      <c r="R46" s="169" t="s">
        <v>130</v>
      </c>
      <c r="S46" s="170"/>
      <c r="T46" s="171"/>
      <c r="U46" s="172"/>
      <c r="V46" s="172"/>
      <c r="W46" s="173" t="s">
        <v>106</v>
      </c>
      <c r="X46" s="174" t="s">
        <v>106</v>
      </c>
      <c r="Y46" s="175">
        <f t="shared" ref="Y46:Y47" si="23">K46*1000000</f>
        <v>2520420</v>
      </c>
      <c r="Z46" s="176" t="str">
        <f t="shared" si="5"/>
        <v>USD</v>
      </c>
      <c r="AA46" s="177"/>
      <c r="AB46" s="178"/>
      <c r="AC46" s="178"/>
      <c r="AD46" s="179"/>
      <c r="AE46" s="180">
        <f t="shared" si="17"/>
        <v>0.17</v>
      </c>
      <c r="AF46" s="181">
        <f t="shared" si="18"/>
        <v>40.641447368421055</v>
      </c>
      <c r="AG46" s="181" t="s">
        <v>124</v>
      </c>
      <c r="AH46" s="183"/>
      <c r="AI46" s="184"/>
      <c r="AJ46" s="185">
        <f t="shared" si="6"/>
        <v>239.0673374613003</v>
      </c>
      <c r="AK46" s="182">
        <f t="shared" si="21"/>
        <v>13.943072979900174</v>
      </c>
      <c r="AL46" s="26" t="s">
        <v>148</v>
      </c>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row>
    <row r="47" spans="1:88" s="19" customFormat="1" ht="34" x14ac:dyDescent="0.2">
      <c r="A47" s="159" t="s">
        <v>39</v>
      </c>
      <c r="B47" s="159" t="s">
        <v>117</v>
      </c>
      <c r="C47" s="159" t="s">
        <v>118</v>
      </c>
      <c r="D47" s="160" t="s">
        <v>119</v>
      </c>
      <c r="E47" s="160"/>
      <c r="F47" s="160" t="s">
        <v>128</v>
      </c>
      <c r="G47" s="160" t="s">
        <v>47</v>
      </c>
      <c r="H47" s="161">
        <v>2018</v>
      </c>
      <c r="I47" s="162">
        <v>3.0790000000000002</v>
      </c>
      <c r="J47" s="160" t="s">
        <v>30</v>
      </c>
      <c r="K47" s="162">
        <v>0.57899999999999996</v>
      </c>
      <c r="L47" s="163" t="s">
        <v>30</v>
      </c>
      <c r="M47" s="164">
        <v>3.0790000000000002</v>
      </c>
      <c r="N47" s="165">
        <v>0.57899999999999996</v>
      </c>
      <c r="O47" s="166"/>
      <c r="P47" s="167"/>
      <c r="Q47" s="195">
        <v>13486</v>
      </c>
      <c r="R47" s="169" t="s">
        <v>122</v>
      </c>
      <c r="S47" s="170"/>
      <c r="T47" s="171"/>
      <c r="U47" s="172"/>
      <c r="V47" s="172"/>
      <c r="W47" s="173">
        <v>0.04</v>
      </c>
      <c r="X47" s="174" t="s">
        <v>106</v>
      </c>
      <c r="Y47" s="175">
        <f t="shared" si="23"/>
        <v>579000</v>
      </c>
      <c r="Z47" s="176" t="str">
        <f t="shared" si="5"/>
        <v>USD</v>
      </c>
      <c r="AA47" s="177"/>
      <c r="AB47" s="178"/>
      <c r="AC47" s="178"/>
      <c r="AD47" s="179"/>
      <c r="AE47" s="180">
        <f t="shared" ref="AE47:AE49" si="24">K47/I47</f>
        <v>0.18804806755440076</v>
      </c>
      <c r="AF47" s="181">
        <f>(K47/Q47)*1000000</f>
        <v>42.933412427702798</v>
      </c>
      <c r="AG47" s="181" t="s">
        <v>124</v>
      </c>
      <c r="AH47" s="183"/>
      <c r="AI47" s="184"/>
      <c r="AJ47" s="185">
        <f t="shared" si="6"/>
        <v>228.31084087201543</v>
      </c>
      <c r="AK47" s="182">
        <f>(Q47/M47)/300</f>
        <v>14.599978347948467</v>
      </c>
      <c r="AL47" s="26" t="s">
        <v>148</v>
      </c>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row>
    <row r="48" spans="1:88" s="6" customFormat="1" ht="17" x14ac:dyDescent="0.2">
      <c r="A48" s="42"/>
      <c r="B48" s="42"/>
      <c r="C48" s="42"/>
      <c r="D48" s="42"/>
      <c r="E48" s="42"/>
      <c r="F48" s="42"/>
      <c r="G48" s="62"/>
      <c r="H48" s="42"/>
      <c r="I48" s="48"/>
      <c r="J48" s="47"/>
      <c r="K48" s="55" t="s">
        <v>37</v>
      </c>
      <c r="L48" s="56"/>
      <c r="M48" s="100">
        <f>MIN(M6:M23)</f>
        <v>7.183098591549296</v>
      </c>
      <c r="N48" s="100">
        <f>MIN(N6:N23)</f>
        <v>1.0612244897959184</v>
      </c>
      <c r="O48" s="78">
        <f>MIN(O6:O23)</f>
        <v>2.5986246833152371E-2</v>
      </c>
      <c r="P48" s="130"/>
      <c r="Q48" s="197">
        <v>178</v>
      </c>
      <c r="R48" s="97"/>
      <c r="S48" s="80"/>
      <c r="T48" s="67"/>
      <c r="U48" s="81"/>
      <c r="V48" s="81"/>
      <c r="W48" s="79"/>
      <c r="X48" s="155"/>
      <c r="Y48" s="114"/>
      <c r="Z48" s="124"/>
      <c r="AA48" s="80"/>
      <c r="AB48" s="80"/>
      <c r="AC48" s="80"/>
      <c r="AD48" s="116"/>
      <c r="AE48" s="111" t="e">
        <f t="shared" si="24"/>
        <v>#VALUE!</v>
      </c>
      <c r="AF48" s="84" t="e">
        <f t="shared" ref="AF48:AF49" si="25">(K48/Q48)*1000000/12</f>
        <v>#VALUE!</v>
      </c>
      <c r="AG48" s="84"/>
      <c r="AH48" s="145"/>
      <c r="AI48" s="138"/>
      <c r="AJ48" s="85">
        <f t="shared" si="6"/>
        <v>0</v>
      </c>
      <c r="AK48" s="84">
        <f t="shared" ref="AK48:AK49" si="26">Q48/N48</f>
        <v>167.73076923076923</v>
      </c>
      <c r="AL48" s="3"/>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row>
    <row r="49" spans="1:118" s="6" customFormat="1" x14ac:dyDescent="0.2">
      <c r="A49" s="42"/>
      <c r="B49" s="42"/>
      <c r="C49" s="42"/>
      <c r="D49" s="42"/>
      <c r="E49" s="42"/>
      <c r="F49" s="42"/>
      <c r="G49" s="42"/>
      <c r="H49" s="42"/>
      <c r="I49" s="48"/>
      <c r="J49" s="47"/>
      <c r="K49" s="86" t="s">
        <v>36</v>
      </c>
      <c r="L49" s="87"/>
      <c r="M49" s="104">
        <f>MAX(M5:M23)</f>
        <v>1945.7746478873241</v>
      </c>
      <c r="N49" s="104">
        <f>MAX(N5:N23)</f>
        <v>100.56338028169014</v>
      </c>
      <c r="O49" s="88">
        <f>MAX(O5:O23)</f>
        <v>0.39215686274509809</v>
      </c>
      <c r="P49" s="131"/>
      <c r="Q49" s="197">
        <v>46089</v>
      </c>
      <c r="R49" s="109"/>
      <c r="S49" s="90"/>
      <c r="T49" s="91"/>
      <c r="U49" s="92"/>
      <c r="V49" s="92"/>
      <c r="W49" s="89"/>
      <c r="X49" s="156"/>
      <c r="Y49" s="114"/>
      <c r="Z49" s="125"/>
      <c r="AA49" s="90"/>
      <c r="AB49" s="90"/>
      <c r="AC49" s="90"/>
      <c r="AD49" s="117"/>
      <c r="AE49" s="111" t="e">
        <f t="shared" si="24"/>
        <v>#VALUE!</v>
      </c>
      <c r="AF49" s="84" t="e">
        <f t="shared" si="25"/>
        <v>#VALUE!</v>
      </c>
      <c r="AG49" s="123"/>
      <c r="AH49" s="146"/>
      <c r="AI49" s="139"/>
      <c r="AJ49" s="85">
        <f t="shared" si="6"/>
        <v>0</v>
      </c>
      <c r="AK49" s="84">
        <f t="shared" si="26"/>
        <v>458.30798319327732</v>
      </c>
      <c r="AL49" s="3"/>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row>
    <row r="50" spans="1:118" s="6" customFormat="1" x14ac:dyDescent="0.2">
      <c r="A50" s="30"/>
      <c r="B50" s="20"/>
      <c r="C50" s="20"/>
      <c r="D50" s="20"/>
      <c r="E50" s="20"/>
      <c r="F50" s="20"/>
      <c r="G50" s="20"/>
      <c r="H50" s="20"/>
      <c r="I50" s="33"/>
      <c r="J50" s="21"/>
      <c r="K50" s="35"/>
      <c r="L50" s="22"/>
      <c r="M50" s="36"/>
      <c r="N50" s="36"/>
      <c r="O50" s="39"/>
      <c r="P50" s="132"/>
      <c r="Q50" s="23"/>
      <c r="R50" s="23"/>
      <c r="S50" s="24"/>
      <c r="T50" s="24"/>
      <c r="U50" s="25"/>
      <c r="V50" s="25"/>
      <c r="W50" s="157"/>
      <c r="X50" s="157"/>
      <c r="Y50" s="24"/>
      <c r="Z50" s="24"/>
      <c r="AA50" s="24"/>
      <c r="AB50" s="26"/>
      <c r="AC50" s="26"/>
      <c r="AD50" s="26"/>
      <c r="AE50" s="26"/>
      <c r="AF50" s="27"/>
      <c r="AG50" s="27"/>
      <c r="AH50" s="147"/>
      <c r="AI50" s="140"/>
      <c r="AJ50" s="26"/>
      <c r="AK50" s="28"/>
      <c r="AL50" s="3"/>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row>
    <row r="51" spans="1:118" ht="36.5" customHeight="1" x14ac:dyDescent="0.2">
      <c r="A51" s="216" t="s">
        <v>34</v>
      </c>
      <c r="B51" s="216"/>
      <c r="C51" s="216"/>
      <c r="D51" s="216"/>
      <c r="E51" s="216"/>
      <c r="F51" s="216"/>
      <c r="G51" s="216"/>
      <c r="H51" s="216"/>
      <c r="I51" s="216"/>
      <c r="J51" s="216"/>
      <c r="K51" s="216"/>
      <c r="L51" s="216"/>
      <c r="Q51" s="13"/>
      <c r="R51" s="13"/>
    </row>
    <row r="52" spans="1:118" ht="34" x14ac:dyDescent="0.2">
      <c r="I52" s="9" t="s">
        <v>29</v>
      </c>
      <c r="J52" s="8"/>
      <c r="K52" s="9"/>
      <c r="L52" s="7"/>
      <c r="M52" s="37"/>
      <c r="N52" s="37"/>
    </row>
    <row r="53" spans="1:118" ht="17" x14ac:dyDescent="0.2">
      <c r="I53" s="9" t="s">
        <v>28</v>
      </c>
      <c r="J53" s="11">
        <v>1</v>
      </c>
      <c r="K53" s="9">
        <v>1.0900000000000001</v>
      </c>
      <c r="L53" s="7" t="s">
        <v>30</v>
      </c>
      <c r="M53" s="37"/>
      <c r="N53" s="37"/>
    </row>
    <row r="54" spans="1:118" ht="17" x14ac:dyDescent="0.2">
      <c r="I54" s="9" t="s">
        <v>28</v>
      </c>
      <c r="J54" s="11">
        <v>1</v>
      </c>
      <c r="K54" s="9">
        <v>0.78</v>
      </c>
      <c r="L54" s="7" t="s">
        <v>31</v>
      </c>
      <c r="M54" s="37"/>
      <c r="N54" s="37"/>
    </row>
    <row r="55" spans="1:118" ht="17" x14ac:dyDescent="0.2">
      <c r="I55" s="9" t="s">
        <v>30</v>
      </c>
      <c r="J55" s="11">
        <v>1</v>
      </c>
      <c r="K55" s="12">
        <f>K54/K53</f>
        <v>0.71559633027522929</v>
      </c>
      <c r="L55" s="7" t="s">
        <v>31</v>
      </c>
      <c r="M55" s="38"/>
      <c r="N55" s="38"/>
    </row>
    <row r="56" spans="1:118" ht="17" x14ac:dyDescent="0.2">
      <c r="I56" s="9" t="s">
        <v>30</v>
      </c>
      <c r="J56" s="11">
        <v>1</v>
      </c>
      <c r="K56" s="9">
        <v>9.8000000000000007</v>
      </c>
      <c r="L56" s="7" t="s">
        <v>27</v>
      </c>
      <c r="M56" s="37"/>
      <c r="N56" s="37"/>
    </row>
    <row r="57" spans="1:118" ht="17" x14ac:dyDescent="0.2">
      <c r="I57" s="12" t="s">
        <v>28</v>
      </c>
      <c r="J57" s="10">
        <v>1</v>
      </c>
      <c r="K57" s="12">
        <f>K53*K56</f>
        <v>10.682000000000002</v>
      </c>
      <c r="L57" s="10" t="s">
        <v>27</v>
      </c>
    </row>
    <row r="58" spans="1:118" s="32" customFormat="1" ht="20.5" customHeight="1" x14ac:dyDescent="0.2">
      <c r="A58" s="13"/>
      <c r="B58" s="13"/>
      <c r="C58" s="13"/>
      <c r="D58" s="13"/>
      <c r="E58" s="13"/>
      <c r="F58" s="13"/>
      <c r="G58" s="13"/>
      <c r="H58" s="13"/>
      <c r="I58" s="14" t="s">
        <v>28</v>
      </c>
      <c r="J58" s="15">
        <v>1</v>
      </c>
      <c r="K58" s="14">
        <v>16.61</v>
      </c>
      <c r="L58" s="15" t="s">
        <v>33</v>
      </c>
      <c r="M58" s="200" t="s">
        <v>43</v>
      </c>
      <c r="N58" s="201"/>
      <c r="P58" s="133"/>
      <c r="Q58" s="1"/>
      <c r="R58" s="1"/>
      <c r="S58" s="1"/>
      <c r="T58" s="1"/>
      <c r="U58" s="1"/>
      <c r="V58" s="1"/>
      <c r="W58" s="158"/>
      <c r="X58" s="158"/>
      <c r="Y58" s="1"/>
      <c r="Z58" s="1"/>
      <c r="AA58" s="1"/>
      <c r="AB58" s="1"/>
      <c r="AC58" s="1"/>
      <c r="AD58" s="1"/>
      <c r="AE58" s="1"/>
      <c r="AF58" s="1"/>
      <c r="AG58" s="1"/>
      <c r="AH58" s="148"/>
      <c r="AI58" s="141"/>
      <c r="AJ58" s="1"/>
      <c r="AK58" s="1"/>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row>
    <row r="59" spans="1:118" s="32" customFormat="1" ht="21" customHeight="1" x14ac:dyDescent="0.2">
      <c r="A59" s="13"/>
      <c r="B59" s="13"/>
      <c r="C59" s="13"/>
      <c r="D59" s="13"/>
      <c r="E59" s="13"/>
      <c r="F59" s="13"/>
      <c r="G59" s="13"/>
      <c r="H59" s="13"/>
      <c r="I59" s="9" t="s">
        <v>30</v>
      </c>
      <c r="J59" s="10">
        <v>1</v>
      </c>
      <c r="K59" s="9">
        <v>7.1</v>
      </c>
      <c r="L59" s="7" t="s">
        <v>33</v>
      </c>
      <c r="M59" s="198" t="s">
        <v>42</v>
      </c>
      <c r="N59" s="199"/>
      <c r="P59" s="133"/>
      <c r="Q59" s="1"/>
      <c r="R59" s="1"/>
      <c r="S59" s="1"/>
      <c r="T59" s="1"/>
      <c r="U59" s="1"/>
      <c r="V59" s="1"/>
      <c r="W59" s="158"/>
      <c r="X59" s="158"/>
      <c r="Y59" s="1"/>
      <c r="Z59" s="1"/>
      <c r="AA59" s="1"/>
      <c r="AB59" s="1"/>
      <c r="AC59" s="1"/>
      <c r="AD59" s="1"/>
      <c r="AE59" s="1"/>
      <c r="AF59" s="1"/>
      <c r="AG59" s="1"/>
      <c r="AH59" s="148"/>
      <c r="AI59" s="141"/>
      <c r="AJ59" s="1"/>
      <c r="AK59" s="1"/>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row>
    <row r="60" spans="1:118" s="32" customFormat="1" ht="15.75" customHeight="1" x14ac:dyDescent="0.2">
      <c r="A60" s="13"/>
      <c r="B60" s="13"/>
      <c r="C60" s="13"/>
      <c r="D60" s="13"/>
      <c r="E60" s="13"/>
      <c r="F60" s="13"/>
      <c r="G60" s="13"/>
      <c r="H60" s="13"/>
      <c r="I60" s="9" t="s">
        <v>30</v>
      </c>
      <c r="J60" s="10">
        <v>1</v>
      </c>
      <c r="K60" s="12">
        <v>2</v>
      </c>
      <c r="L60" s="7" t="s">
        <v>48</v>
      </c>
      <c r="M60" s="198" t="s">
        <v>49</v>
      </c>
      <c r="N60" s="199"/>
      <c r="P60" s="133"/>
      <c r="Q60" s="1"/>
      <c r="R60" s="1"/>
      <c r="S60" s="1"/>
      <c r="T60" s="1"/>
      <c r="U60" s="1"/>
      <c r="V60" s="1"/>
      <c r="W60" s="158"/>
      <c r="X60" s="158"/>
      <c r="Y60" s="1"/>
      <c r="Z60" s="1"/>
      <c r="AA60" s="1"/>
      <c r="AB60" s="1"/>
      <c r="AC60" s="1"/>
      <c r="AD60" s="1"/>
      <c r="AE60" s="1"/>
      <c r="AF60" s="1"/>
      <c r="AG60" s="1"/>
      <c r="AH60" s="148"/>
      <c r="AI60" s="141"/>
      <c r="AJ60" s="1"/>
      <c r="AK60" s="1"/>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row>
  </sheetData>
  <mergeCells count="11">
    <mergeCell ref="A1:M1"/>
    <mergeCell ref="A2:M2"/>
    <mergeCell ref="A3:N4"/>
    <mergeCell ref="O3:AD3"/>
    <mergeCell ref="A51:L51"/>
    <mergeCell ref="Q4:X4"/>
    <mergeCell ref="M60:N60"/>
    <mergeCell ref="M59:N59"/>
    <mergeCell ref="M58:N58"/>
    <mergeCell ref="AE4:AK4"/>
    <mergeCell ref="Y4:AD4"/>
  </mergeCells>
  <pageMargins left="0.23622047244094491" right="0.23622047244094491" top="0.15748031496062992" bottom="0.19685039370078741" header="0.31496062992125984" footer="0.31496062992125984"/>
  <pageSetup paperSize="9" scale="20" fitToWidth="3" orientation="portrait" r:id="rId1"/>
  <headerFooter>
    <oddHeader>&amp;F</oddHead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vt:i4>
      </vt:variant>
    </vt:vector>
  </HeadingPairs>
  <TitlesOfParts>
    <vt:vector size="1" baseType="lpstr">
      <vt:lpstr>Updated MENA&amp;SAfrica-only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Morris</dc:creator>
  <cp:lastModifiedBy>Microsoft Office User</cp:lastModifiedBy>
  <cp:lastPrinted>2019-08-29T09:03:18Z</cp:lastPrinted>
  <dcterms:created xsi:type="dcterms:W3CDTF">2015-11-19T11:06:26Z</dcterms:created>
  <dcterms:modified xsi:type="dcterms:W3CDTF">2020-04-02T15:36:41Z</dcterms:modified>
</cp:coreProperties>
</file>