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tables/table5.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charts/chart39.xml" ContentType="application/vnd.openxmlformats-officedocument.drawingml.chart+xml"/>
  <Override PartName="/xl/tables/table6.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aishw\Downloads\"/>
    </mc:Choice>
  </mc:AlternateContent>
  <xr:revisionPtr revIDLastSave="0" documentId="13_ncr:1_{2FBBE288-B526-411D-ADEB-3B4A0B4AAF64}" xr6:coauthVersionLast="47" xr6:coauthVersionMax="47" xr10:uidLastSave="{00000000-0000-0000-0000-000000000000}"/>
  <bookViews>
    <workbookView xWindow="28680" yWindow="-120" windowWidth="29040" windowHeight="15720" tabRatio="801" xr2:uid="{00000000-000D-0000-FFFF-FFFF00000000}"/>
  </bookViews>
  <sheets>
    <sheet name="VfM MSD Mastersheet" sheetId="1" r:id="rId1"/>
    <sheet name="Programme Catalog" sheetId="2" state="hidden" r:id="rId2"/>
    <sheet name="MSD Group List - Quintiles" sheetId="3" state="hidden" r:id="rId3"/>
    <sheet name="Summary &amp; Analysis - Quintiles" sheetId="4" state="hidden" r:id="rId4"/>
    <sheet name="MSD Prog List - Analysis Use" sheetId="5" r:id="rId5"/>
    <sheet name="Summary &amp; Analysis - Quartiles" sheetId="6" state="hidden" r:id="rId6"/>
    <sheet name="Summary &amp; Analysis - Quart New" sheetId="7" state="hidden" r:id="rId7"/>
    <sheet name="VfM Analysis" sheetId="8" r:id="rId8"/>
    <sheet name="VfM Dashboard" sheetId="9" r:id="rId9"/>
    <sheet name="VfM Calculator" sheetId="10" state="hidden" r:id="rId10"/>
    <sheet name="Poli Stab" sheetId="11" state="hidden" r:id="rId11"/>
    <sheet name="Inflation" sheetId="12" state="hidden" r:id="rId12"/>
    <sheet name="GDP Per Capita - PPP" sheetId="13" state="hidden" r:id="rId13"/>
    <sheet name="GDP Per Capita" sheetId="14" state="hidden" r:id="rId14"/>
    <sheet name="Old - VfM MSD Mastersheet " sheetId="15" state="hidden" r:id="rId15"/>
    <sheet name="Old - MSD Prog Context Tags" sheetId="16" state="hidden" r:id="rId16"/>
  </sheets>
  <definedNames>
    <definedName name="_xlnm._FilterDatabase" localSheetId="8" hidden="1">'VfM Dashboard'!$A$28:$I$100</definedName>
    <definedName name="grp_All_MSD_Programmes">#REF!</definedName>
    <definedName name="grp_By_Country_Income_Level">#REF!</definedName>
    <definedName name="grp_By_FCAS_Status">#REF!</definedName>
    <definedName name="grp_By_Groups_Level_of_Inflation_and_Political_Risks">#REF!</definedName>
    <definedName name="grp_By_Primary_Objective_Note_one_programme_can_have_multiple_primary_objectives">#REF!</definedName>
    <definedName name="grp_By_Programme_Length">#REF!</definedName>
    <definedName name="grp_By_Sector">#REF!</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6" i="1" l="1"/>
  <c r="P53" i="1"/>
  <c r="AR22" i="8" a="1"/>
  <c r="AR22" i="8" s="1"/>
  <c r="AN56" i="8" s="1"/>
  <c r="AQ22" i="8" a="1"/>
  <c r="AQ22" i="8" s="1"/>
  <c r="AP22" i="8" a="1"/>
  <c r="AP22" i="8" s="1"/>
  <c r="AN22" i="8" a="1"/>
  <c r="AN22" i="8" s="1"/>
  <c r="AM22" i="8" a="1"/>
  <c r="AM22" i="8" s="1"/>
  <c r="AM56" i="8" s="1"/>
  <c r="AM17" i="8" a="1"/>
  <c r="AM17" i="8" s="1"/>
  <c r="AM51" i="8" s="1"/>
  <c r="AR17" i="8" a="1"/>
  <c r="AR17" i="8" s="1"/>
  <c r="AN51" i="8" s="1"/>
  <c r="AQ17" i="8" a="1"/>
  <c r="AQ17" i="8" s="1"/>
  <c r="AP17" i="8" a="1"/>
  <c r="AP17" i="8" s="1"/>
  <c r="AN17" i="8" a="1"/>
  <c r="AN17" i="8" s="1"/>
  <c r="BS8" i="8" a="1"/>
  <c r="BS8" i="8" s="1"/>
  <c r="BO42" i="8" s="1"/>
  <c r="BQ8" i="8" a="1"/>
  <c r="BQ8" i="8" s="1"/>
  <c r="BR8" i="8" a="1"/>
  <c r="BR8" i="8" s="1"/>
  <c r="BP8" i="8" a="1"/>
  <c r="BP8" i="8" s="1"/>
  <c r="BO8" i="8" a="1"/>
  <c r="BO8" i="8" s="1"/>
  <c r="BN8" i="8" a="1"/>
  <c r="BN8" i="8" s="1"/>
  <c r="BN42" i="8" s="1"/>
  <c r="BN7" i="8" a="1"/>
  <c r="BN7" i="8" s="1"/>
  <c r="BN41" i="8" s="1"/>
  <c r="BO7" i="8" a="1"/>
  <c r="BO7" i="8" s="1"/>
  <c r="BS7" i="8" a="1"/>
  <c r="BS7" i="8" s="1"/>
  <c r="BO41" i="8" s="1"/>
  <c r="BQ7" i="8" a="1"/>
  <c r="BQ7" i="8" s="1"/>
  <c r="BR7" i="8" a="1"/>
  <c r="BR7" i="8" s="1"/>
  <c r="BP7" i="8" a="1"/>
  <c r="BP7" i="8" s="1"/>
  <c r="BJ8" i="8" a="1"/>
  <c r="BJ8" i="8" s="1"/>
  <c r="BF42" i="8" s="1"/>
  <c r="BH8" i="8" a="1"/>
  <c r="BH8" i="8" s="1"/>
  <c r="BI8" i="8" a="1"/>
  <c r="BI8" i="8" s="1"/>
  <c r="BG8" i="8" a="1"/>
  <c r="BG8" i="8" s="1"/>
  <c r="BF8" i="8" a="1"/>
  <c r="BF8" i="8" s="1"/>
  <c r="BE8" i="8" a="1"/>
  <c r="BE8" i="8" s="1"/>
  <c r="BE42" i="8" s="1"/>
  <c r="BJ7" i="8" a="1"/>
  <c r="BJ7" i="8" s="1"/>
  <c r="BF41" i="8" s="1"/>
  <c r="BH7" i="8" a="1"/>
  <c r="BH7" i="8" s="1"/>
  <c r="BI7" i="8" a="1"/>
  <c r="BI7" i="8" s="1"/>
  <c r="BG7" i="8" a="1"/>
  <c r="BG7" i="8" s="1"/>
  <c r="BF7" i="8" a="1"/>
  <c r="BF7" i="8" s="1"/>
  <c r="BE7" i="8" a="1"/>
  <c r="BE7" i="8" s="1"/>
  <c r="BE41" i="8" s="1"/>
  <c r="BA8" i="8" a="1"/>
  <c r="BA8" i="8" s="1"/>
  <c r="AW42" i="8" s="1"/>
  <c r="AY8" i="8" a="1"/>
  <c r="AY8" i="8" s="1"/>
  <c r="AZ8" i="8" a="1"/>
  <c r="AZ8" i="8" s="1"/>
  <c r="AX8" i="8" a="1"/>
  <c r="AX8" i="8" s="1"/>
  <c r="AW8" i="8" a="1"/>
  <c r="AW8" i="8" s="1"/>
  <c r="AV8" i="8" a="1"/>
  <c r="AV8" i="8" s="1"/>
  <c r="AV42" i="8" s="1"/>
  <c r="BA7" i="8" a="1"/>
  <c r="BA7" i="8" s="1"/>
  <c r="AW41" i="8" s="1"/>
  <c r="AY7" i="8" a="1"/>
  <c r="AY7" i="8" s="1"/>
  <c r="AZ7" i="8" a="1"/>
  <c r="AZ7" i="8" s="1"/>
  <c r="AX7" i="8" a="1"/>
  <c r="AX7" i="8" s="1"/>
  <c r="AW7" i="8" a="1"/>
  <c r="AW7" i="8" s="1"/>
  <c r="AV7" i="8" a="1"/>
  <c r="AV7" i="8" s="1"/>
  <c r="AV41" i="8" s="1"/>
  <c r="AR8" i="8" a="1"/>
  <c r="AR8" i="8" s="1"/>
  <c r="AN42" i="8" s="1"/>
  <c r="AP8" i="8" a="1"/>
  <c r="AP8" i="8" s="1"/>
  <c r="AQ8" i="8" a="1"/>
  <c r="AQ8" i="8" s="1"/>
  <c r="AO8" i="8" a="1"/>
  <c r="AO8" i="8" s="1"/>
  <c r="AN8" i="8" a="1"/>
  <c r="AN8" i="8" s="1"/>
  <c r="AM8" i="8" a="1"/>
  <c r="AM8" i="8" s="1"/>
  <c r="AM42" i="8" s="1"/>
  <c r="AR7" i="8" a="1"/>
  <c r="AR7" i="8" s="1"/>
  <c r="AN41" i="8" s="1"/>
  <c r="AP7" i="8" a="1"/>
  <c r="AP7" i="8" s="1"/>
  <c r="AQ7" i="8" a="1"/>
  <c r="AQ7" i="8" s="1"/>
  <c r="AO7" i="8" a="1"/>
  <c r="AO7" i="8" s="1"/>
  <c r="AN7" i="8" a="1"/>
  <c r="AN7" i="8" s="1"/>
  <c r="AM7" i="8" a="1"/>
  <c r="AM7" i="8" s="1"/>
  <c r="AM41" i="8" s="1"/>
  <c r="AI8" i="8" a="1"/>
  <c r="AI8" i="8" s="1"/>
  <c r="AE42" i="8" s="1"/>
  <c r="AG8" i="8" a="1"/>
  <c r="AG8" i="8" s="1"/>
  <c r="AH8" i="8" a="1"/>
  <c r="AH8" i="8" s="1"/>
  <c r="AF8" i="8" a="1"/>
  <c r="AF8" i="8" s="1"/>
  <c r="AE8" i="8" a="1"/>
  <c r="AE8" i="8" s="1"/>
  <c r="AD8" i="8" a="1"/>
  <c r="AD8" i="8" s="1"/>
  <c r="AD42" i="8" s="1"/>
  <c r="AI7" i="8" a="1"/>
  <c r="AI7" i="8" s="1"/>
  <c r="AE41" i="8" s="1"/>
  <c r="AG7" i="8" a="1"/>
  <c r="AG7" i="8" s="1"/>
  <c r="AH7" i="8" a="1"/>
  <c r="AH7" i="8" s="1"/>
  <c r="AF7" i="8" a="1"/>
  <c r="AF7" i="8" s="1"/>
  <c r="AE7" i="8" a="1"/>
  <c r="AE7" i="8" s="1"/>
  <c r="AD7" i="8" a="1"/>
  <c r="AD7" i="8" s="1"/>
  <c r="AD41" i="8" s="1"/>
  <c r="Z8" i="8" a="1"/>
  <c r="Z8" i="8" s="1"/>
  <c r="V42" i="8" s="1"/>
  <c r="X8" i="8" a="1"/>
  <c r="X8" i="8" s="1"/>
  <c r="Y8" i="8" a="1"/>
  <c r="Y8" i="8" s="1"/>
  <c r="X7" i="8" a="1"/>
  <c r="X7" i="8" s="1"/>
  <c r="W8" i="8" a="1"/>
  <c r="W8" i="8" s="1"/>
  <c r="V8" i="8" a="1"/>
  <c r="V8" i="8" s="1"/>
  <c r="U8" i="8" a="1"/>
  <c r="U8" i="8" s="1"/>
  <c r="U42" i="8" s="1"/>
  <c r="Z7" i="8" a="1"/>
  <c r="Z7" i="8" s="1"/>
  <c r="V41" i="8" s="1"/>
  <c r="Y7" i="8" a="1"/>
  <c r="Y7" i="8" s="1"/>
  <c r="W7" i="8" a="1"/>
  <c r="W7" i="8" s="1"/>
  <c r="V7" i="8" a="1"/>
  <c r="V7" i="8" s="1"/>
  <c r="U7" i="8" a="1"/>
  <c r="U7" i="8" s="1"/>
  <c r="U41" i="8" s="1"/>
  <c r="H7" i="8" a="1"/>
  <c r="H7" i="8" s="1"/>
  <c r="D41" i="8" s="1"/>
  <c r="H8" i="8" a="1"/>
  <c r="H8" i="8" s="1"/>
  <c r="D42" i="8" s="1"/>
  <c r="G8" i="8" a="1"/>
  <c r="G8" i="8" s="1"/>
  <c r="F8" i="8" a="1"/>
  <c r="F8" i="8" s="1"/>
  <c r="C8" i="8" a="1"/>
  <c r="C8" i="8" s="1"/>
  <c r="C42" i="8" s="1"/>
  <c r="G7" i="8" a="1"/>
  <c r="G7" i="8" s="1"/>
  <c r="F7" i="8" a="1"/>
  <c r="F7" i="8" s="1"/>
  <c r="C7" i="8" a="1"/>
  <c r="C7" i="8" s="1"/>
  <c r="C41" i="8" s="1"/>
  <c r="D8" i="8" a="1"/>
  <c r="D8" i="8" s="1"/>
  <c r="E8" i="8"/>
  <c r="E7" i="8"/>
  <c r="E6" i="8"/>
  <c r="D7" i="8" a="1"/>
  <c r="D7" i="8" s="1"/>
  <c r="C6" i="8" a="1"/>
  <c r="C6" i="8" s="1"/>
  <c r="C40" i="8" s="1"/>
  <c r="C32" i="8" a="1"/>
  <c r="C32" i="8" s="1"/>
  <c r="C66" i="8" s="1"/>
  <c r="C29" i="8" a="1"/>
  <c r="C29" i="8" s="1"/>
  <c r="C63" i="8" s="1"/>
  <c r="C14" i="8" a="1"/>
  <c r="C14" i="8" s="1"/>
  <c r="C48" i="8" s="1"/>
  <c r="O39" i="16"/>
  <c r="M39" i="16"/>
  <c r="K39" i="16"/>
  <c r="H39" i="16"/>
  <c r="O38" i="16"/>
  <c r="M38" i="16"/>
  <c r="K38" i="16"/>
  <c r="H38" i="16"/>
  <c r="O37" i="16"/>
  <c r="M37" i="16"/>
  <c r="K37" i="16"/>
  <c r="H37" i="16"/>
  <c r="Q36" i="16" a="1"/>
  <c r="Q36" i="16" s="1"/>
  <c r="H36" i="16"/>
  <c r="U36" i="16" s="1" a="1"/>
  <c r="U36" i="16" s="1"/>
  <c r="O35" i="16"/>
  <c r="M35" i="16"/>
  <c r="K35" i="16"/>
  <c r="H35" i="16"/>
  <c r="O34" i="16"/>
  <c r="M34" i="16"/>
  <c r="K34" i="16"/>
  <c r="H34" i="16"/>
  <c r="O33" i="16"/>
  <c r="M33" i="16"/>
  <c r="K33" i="16"/>
  <c r="H33" i="16"/>
  <c r="O32" i="16"/>
  <c r="M32" i="16"/>
  <c r="K32" i="16"/>
  <c r="H32" i="16"/>
  <c r="O31" i="16"/>
  <c r="M31" i="16"/>
  <c r="K31" i="16"/>
  <c r="H31" i="16"/>
  <c r="O30" i="16"/>
  <c r="M30" i="16"/>
  <c r="K30" i="16"/>
  <c r="H30" i="16"/>
  <c r="O29" i="16"/>
  <c r="M29" i="16"/>
  <c r="K29" i="16"/>
  <c r="H29" i="16"/>
  <c r="O28" i="16"/>
  <c r="M28" i="16"/>
  <c r="K28" i="16"/>
  <c r="H28" i="16"/>
  <c r="O27" i="16"/>
  <c r="M27" i="16"/>
  <c r="K27" i="16"/>
  <c r="H27" i="16"/>
  <c r="O26" i="16"/>
  <c r="M26" i="16"/>
  <c r="K26" i="16"/>
  <c r="H26" i="16"/>
  <c r="O25" i="16"/>
  <c r="M25" i="16"/>
  <c r="K25" i="16"/>
  <c r="H25" i="16"/>
  <c r="O24" i="16"/>
  <c r="M24" i="16"/>
  <c r="K24" i="16"/>
  <c r="H24" i="16"/>
  <c r="O23" i="16"/>
  <c r="M23" i="16"/>
  <c r="K23" i="16"/>
  <c r="H23" i="16"/>
  <c r="O22" i="16"/>
  <c r="M22" i="16"/>
  <c r="K22" i="16"/>
  <c r="H22" i="16"/>
  <c r="O21" i="16"/>
  <c r="K21" i="16"/>
  <c r="H21" i="16"/>
  <c r="O20" i="16"/>
  <c r="M20" i="16"/>
  <c r="K20" i="16"/>
  <c r="H20" i="16"/>
  <c r="O19" i="16"/>
  <c r="M19" i="16"/>
  <c r="K19" i="16"/>
  <c r="H19" i="16"/>
  <c r="O18" i="16"/>
  <c r="M18" i="16"/>
  <c r="K18" i="16"/>
  <c r="H18" i="16"/>
  <c r="O17" i="16"/>
  <c r="M17" i="16"/>
  <c r="K17" i="16"/>
  <c r="H17" i="16"/>
  <c r="O16" i="16"/>
  <c r="M16" i="16"/>
  <c r="K16" i="16"/>
  <c r="H16" i="16"/>
  <c r="O15" i="16"/>
  <c r="M15" i="16"/>
  <c r="K15" i="16"/>
  <c r="H15" i="16"/>
  <c r="O14" i="16"/>
  <c r="M14" i="16"/>
  <c r="K14" i="16"/>
  <c r="H14" i="16"/>
  <c r="O13" i="16"/>
  <c r="M13" i="16"/>
  <c r="K13" i="16"/>
  <c r="H13" i="16"/>
  <c r="O12" i="16"/>
  <c r="M12" i="16"/>
  <c r="K12" i="16"/>
  <c r="H12" i="16"/>
  <c r="O11" i="16"/>
  <c r="M11" i="16"/>
  <c r="K11" i="16"/>
  <c r="H11" i="16"/>
  <c r="O10" i="16"/>
  <c r="M10" i="16"/>
  <c r="K10" i="16"/>
  <c r="H10" i="16"/>
  <c r="O9" i="16"/>
  <c r="M9" i="16"/>
  <c r="K9" i="16"/>
  <c r="H9" i="16"/>
  <c r="O8" i="16"/>
  <c r="M8" i="16"/>
  <c r="K8" i="16"/>
  <c r="H8" i="16"/>
  <c r="O7" i="16"/>
  <c r="M7" i="16"/>
  <c r="K7" i="16"/>
  <c r="H7" i="16"/>
  <c r="O6" i="16"/>
  <c r="M6" i="16"/>
  <c r="K6" i="16"/>
  <c r="H6" i="16"/>
  <c r="O5" i="16"/>
  <c r="M5" i="16"/>
  <c r="K5" i="16"/>
  <c r="H5" i="16"/>
  <c r="M4" i="16"/>
  <c r="K4" i="16"/>
  <c r="H4" i="16"/>
  <c r="O3" i="16"/>
  <c r="M3" i="16"/>
  <c r="K3" i="16"/>
  <c r="H3" i="16"/>
  <c r="AD65" i="15"/>
  <c r="AC65" i="15"/>
  <c r="AB65" i="15"/>
  <c r="W65" i="15"/>
  <c r="AA65" i="15" s="1"/>
  <c r="U65" i="15"/>
  <c r="AE65" i="15" s="1"/>
  <c r="R65" i="15"/>
  <c r="Q65" i="15"/>
  <c r="O65" i="15"/>
  <c r="N65" i="15"/>
  <c r="K65" i="15"/>
  <c r="AE64" i="15"/>
  <c r="AB64" i="15"/>
  <c r="AA64" i="15"/>
  <c r="V64" i="15"/>
  <c r="S64" i="15"/>
  <c r="AC64" i="15" s="1"/>
  <c r="R64" i="15"/>
  <c r="O64" i="15"/>
  <c r="N64" i="15"/>
  <c r="K64" i="15"/>
  <c r="AE63" i="15"/>
  <c r="AD63" i="15"/>
  <c r="AC63" i="15"/>
  <c r="AB63" i="15"/>
  <c r="AA63" i="15"/>
  <c r="R63" i="15"/>
  <c r="Z63" i="15" s="1"/>
  <c r="K63" i="15"/>
  <c r="AF62" i="15"/>
  <c r="AE62" i="15"/>
  <c r="AD62" i="15"/>
  <c r="AC62" i="15"/>
  <c r="AB62" i="15"/>
  <c r="AA62" i="15"/>
  <c r="Z62" i="15"/>
  <c r="O62" i="15"/>
  <c r="N62" i="15"/>
  <c r="K62" i="15"/>
  <c r="AF61" i="15"/>
  <c r="AE61" i="15"/>
  <c r="AD61" i="15"/>
  <c r="AC61" i="15"/>
  <c r="AB61" i="15"/>
  <c r="AA61" i="15"/>
  <c r="Z61" i="15"/>
  <c r="O61" i="15"/>
  <c r="N61" i="15"/>
  <c r="K61" i="15"/>
  <c r="AC60" i="15"/>
  <c r="AA60" i="15"/>
  <c r="X60" i="15"/>
  <c r="S60" i="15"/>
  <c r="R60" i="15"/>
  <c r="Z60" i="15" s="1"/>
  <c r="O60" i="15"/>
  <c r="N60" i="15"/>
  <c r="K60" i="15"/>
  <c r="AC59" i="15"/>
  <c r="X59" i="15"/>
  <c r="W59" i="15"/>
  <c r="S59" i="15"/>
  <c r="R59" i="15"/>
  <c r="Z59" i="15" s="1"/>
  <c r="O59" i="15"/>
  <c r="N59" i="15"/>
  <c r="K59" i="15"/>
  <c r="AF58" i="15"/>
  <c r="AE58" i="15"/>
  <c r="AD58" i="15"/>
  <c r="AC58" i="15"/>
  <c r="AB58" i="15"/>
  <c r="AA58" i="15"/>
  <c r="Z58" i="15"/>
  <c r="O58" i="15"/>
  <c r="N58" i="15"/>
  <c r="K58" i="15"/>
  <c r="AF57" i="15"/>
  <c r="AE57" i="15"/>
  <c r="AD57" i="15"/>
  <c r="AC57" i="15"/>
  <c r="AB57" i="15"/>
  <c r="AA57" i="15"/>
  <c r="Z57" i="15"/>
  <c r="V57" i="15"/>
  <c r="O57" i="15"/>
  <c r="N57" i="15"/>
  <c r="K57" i="15"/>
  <c r="AF56" i="15"/>
  <c r="AE56" i="15"/>
  <c r="AD56" i="15"/>
  <c r="AC56" i="15"/>
  <c r="AB56" i="15"/>
  <c r="Z56" i="15"/>
  <c r="W56" i="15"/>
  <c r="AA56" i="15" s="1"/>
  <c r="V56" i="15"/>
  <c r="O56" i="15"/>
  <c r="N56" i="15"/>
  <c r="K56" i="15"/>
  <c r="AE55" i="15"/>
  <c r="AC55" i="15"/>
  <c r="AB55" i="15"/>
  <c r="W55" i="15"/>
  <c r="T55" i="15"/>
  <c r="R55" i="15"/>
  <c r="Q55" i="15"/>
  <c r="O55" i="15"/>
  <c r="N55" i="15"/>
  <c r="K55" i="15"/>
  <c r="S55" i="15" s="1"/>
  <c r="AF54" i="15"/>
  <c r="AE54" i="15"/>
  <c r="AD54" i="15"/>
  <c r="AC54" i="15"/>
  <c r="AB54" i="15"/>
  <c r="AA54" i="15"/>
  <c r="Z54" i="15"/>
  <c r="O54" i="15"/>
  <c r="N54" i="15"/>
  <c r="K54" i="15"/>
  <c r="AE53" i="15"/>
  <c r="AD53" i="15"/>
  <c r="AC53" i="15"/>
  <c r="AB53" i="15"/>
  <c r="W53" i="15"/>
  <c r="AA53" i="15" s="1"/>
  <c r="R53" i="15"/>
  <c r="AF53" i="15" s="1"/>
  <c r="O53" i="15"/>
  <c r="N53" i="15"/>
  <c r="K53" i="15"/>
  <c r="AE52" i="15"/>
  <c r="AD52" i="15"/>
  <c r="AC52" i="15"/>
  <c r="AB52" i="15"/>
  <c r="AA52" i="15"/>
  <c r="R52" i="15"/>
  <c r="Z52" i="15" s="1"/>
  <c r="O52" i="15"/>
  <c r="N52" i="15"/>
  <c r="K52" i="15"/>
  <c r="AE51" i="15"/>
  <c r="AD51" i="15"/>
  <c r="AC51" i="15"/>
  <c r="AB51" i="15"/>
  <c r="AA51" i="15"/>
  <c r="R51" i="15"/>
  <c r="AF51" i="15" s="1"/>
  <c r="O51" i="15"/>
  <c r="N51" i="15"/>
  <c r="K51" i="15"/>
  <c r="AD50" i="15"/>
  <c r="AC50" i="15"/>
  <c r="AB50" i="15"/>
  <c r="AA50" i="15"/>
  <c r="V50" i="15"/>
  <c r="U50" i="15"/>
  <c r="AE50" i="15" s="1"/>
  <c r="R50" i="15"/>
  <c r="Z50" i="15" s="1"/>
  <c r="O50" i="15"/>
  <c r="N50" i="15"/>
  <c r="K50" i="15"/>
  <c r="AF49" i="15"/>
  <c r="AE49" i="15"/>
  <c r="AD49" i="15"/>
  <c r="AC49" i="15"/>
  <c r="AB49" i="15"/>
  <c r="AA49" i="15"/>
  <c r="Z49" i="15"/>
  <c r="V49" i="15"/>
  <c r="O49" i="15"/>
  <c r="N49" i="15"/>
  <c r="K49" i="15"/>
  <c r="AE48" i="15"/>
  <c r="AD48" i="15"/>
  <c r="AC48" i="15"/>
  <c r="AB48" i="15"/>
  <c r="AA48" i="15"/>
  <c r="R48" i="15"/>
  <c r="AF48" i="15" s="1"/>
  <c r="O48" i="15"/>
  <c r="N48" i="15"/>
  <c r="K48" i="15"/>
  <c r="AF47" i="15"/>
  <c r="AE47" i="15"/>
  <c r="AD47" i="15"/>
  <c r="AC47" i="15"/>
  <c r="AB47" i="15"/>
  <c r="AA47" i="15"/>
  <c r="V47" i="15"/>
  <c r="Q47" i="15"/>
  <c r="Z47" i="15" s="1"/>
  <c r="K47" i="15"/>
  <c r="AF46" i="15"/>
  <c r="AE46" i="15"/>
  <c r="AD46" i="15"/>
  <c r="AC46" i="15"/>
  <c r="AB46" i="15"/>
  <c r="AA46" i="15"/>
  <c r="Z46" i="15"/>
  <c r="O46" i="15"/>
  <c r="N46" i="15"/>
  <c r="K46" i="15"/>
  <c r="AD45" i="15"/>
  <c r="AC45" i="15"/>
  <c r="AB45" i="15"/>
  <c r="W45" i="15"/>
  <c r="S45" i="15"/>
  <c r="AE45" i="15" s="1"/>
  <c r="R45" i="15"/>
  <c r="O45" i="15"/>
  <c r="N45" i="15"/>
  <c r="K45" i="15"/>
  <c r="AF44" i="15"/>
  <c r="AD44" i="15"/>
  <c r="AC44" i="15"/>
  <c r="AB44" i="15"/>
  <c r="AA44" i="15"/>
  <c r="Z44" i="15"/>
  <c r="S44" i="15"/>
  <c r="AE44" i="15" s="1"/>
  <c r="O44" i="15"/>
  <c r="N44" i="15"/>
  <c r="K44" i="15"/>
  <c r="AE43" i="15"/>
  <c r="AD43" i="15"/>
  <c r="AC43" i="15"/>
  <c r="AB43" i="15"/>
  <c r="W43" i="15"/>
  <c r="AA43" i="15" s="1"/>
  <c r="R43" i="15"/>
  <c r="Z43" i="15" s="1"/>
  <c r="O43" i="15"/>
  <c r="N43" i="15"/>
  <c r="K43" i="15"/>
  <c r="AE42" i="15"/>
  <c r="AD42" i="15"/>
  <c r="AB42" i="15"/>
  <c r="AA42" i="15"/>
  <c r="Y42" i="15"/>
  <c r="AC42" i="15" s="1"/>
  <c r="R42" i="15"/>
  <c r="Q42" i="15"/>
  <c r="O42" i="15"/>
  <c r="N42" i="15"/>
  <c r="K42" i="15"/>
  <c r="AE41" i="15"/>
  <c r="AD41" i="15"/>
  <c r="AC41" i="15"/>
  <c r="AB41" i="15"/>
  <c r="AA41" i="15"/>
  <c r="R41" i="15"/>
  <c r="O41" i="15"/>
  <c r="N41" i="15"/>
  <c r="K41" i="15"/>
  <c r="AE40" i="15"/>
  <c r="AD40" i="15"/>
  <c r="AC40" i="15"/>
  <c r="AB40" i="15"/>
  <c r="AA40" i="15"/>
  <c r="R40" i="15"/>
  <c r="O40" i="15"/>
  <c r="N40" i="15"/>
  <c r="K40" i="15"/>
  <c r="AF39" i="15"/>
  <c r="AE39" i="15"/>
  <c r="AD39" i="15"/>
  <c r="AC39" i="15"/>
  <c r="AB39" i="15"/>
  <c r="AA39" i="15"/>
  <c r="Z39" i="15"/>
  <c r="V39" i="15"/>
  <c r="O39" i="15"/>
  <c r="N39" i="15"/>
  <c r="K39" i="15"/>
  <c r="AF38" i="15"/>
  <c r="AC38" i="15"/>
  <c r="AA38" i="15"/>
  <c r="X38" i="15"/>
  <c r="V38" i="15"/>
  <c r="U38" i="15"/>
  <c r="T38" i="15"/>
  <c r="S38" i="15"/>
  <c r="Q38" i="15"/>
  <c r="Z38" i="15" s="1"/>
  <c r="K38" i="15"/>
  <c r="AF37" i="15"/>
  <c r="AD37" i="15"/>
  <c r="AC37" i="15"/>
  <c r="AB37" i="15"/>
  <c r="Z37" i="15"/>
  <c r="S37" i="15"/>
  <c r="AA37" i="15" s="1"/>
  <c r="O37" i="15"/>
  <c r="N37" i="15"/>
  <c r="K37" i="15"/>
  <c r="Y36" i="15"/>
  <c r="AC36" i="15" s="1"/>
  <c r="X36" i="15"/>
  <c r="W36" i="15"/>
  <c r="V36" i="15"/>
  <c r="U36" i="15"/>
  <c r="T36" i="15"/>
  <c r="R36" i="15"/>
  <c r="O36" i="15"/>
  <c r="N36" i="15"/>
  <c r="K36" i="15"/>
  <c r="AE35" i="15"/>
  <c r="AC35" i="15"/>
  <c r="Z35" i="15"/>
  <c r="S35" i="15"/>
  <c r="O35" i="15"/>
  <c r="N35" i="15"/>
  <c r="K35" i="15"/>
  <c r="AF34" i="15"/>
  <c r="AE34" i="15"/>
  <c r="AD34" i="15"/>
  <c r="AC34" i="15"/>
  <c r="AB34" i="15"/>
  <c r="AA34" i="15"/>
  <c r="Q34" i="15"/>
  <c r="Z34" i="15" s="1"/>
  <c r="O34" i="15"/>
  <c r="N34" i="15"/>
  <c r="K34" i="15"/>
  <c r="AF33" i="15"/>
  <c r="AE33" i="15"/>
  <c r="AD33" i="15"/>
  <c r="AC33" i="15"/>
  <c r="Z33" i="15"/>
  <c r="X33" i="15"/>
  <c r="AB33" i="15" s="1"/>
  <c r="W33" i="15"/>
  <c r="AA33" i="15" s="1"/>
  <c r="O33" i="15"/>
  <c r="N33" i="15"/>
  <c r="K33" i="15"/>
  <c r="Y32" i="15"/>
  <c r="AC32" i="15" s="1"/>
  <c r="X32" i="15"/>
  <c r="W32" i="15"/>
  <c r="AA32" i="15" s="1"/>
  <c r="V32" i="15"/>
  <c r="U32" i="15"/>
  <c r="T32" i="15"/>
  <c r="S32" i="15"/>
  <c r="R32" i="15"/>
  <c r="O32" i="15"/>
  <c r="N32" i="15"/>
  <c r="K32" i="15"/>
  <c r="AF31" i="15"/>
  <c r="AE31" i="15"/>
  <c r="AD31" i="15"/>
  <c r="AC31" i="15"/>
  <c r="AB31" i="15"/>
  <c r="AA31" i="15"/>
  <c r="Z31" i="15"/>
  <c r="O31" i="15"/>
  <c r="N31" i="15"/>
  <c r="K31" i="15"/>
  <c r="AF30" i="15"/>
  <c r="AE30" i="15"/>
  <c r="AD30" i="15"/>
  <c r="AC30" i="15"/>
  <c r="AB30" i="15"/>
  <c r="AA30" i="15"/>
  <c r="Q30" i="15"/>
  <c r="Q32" i="15" s="1"/>
  <c r="O30" i="15"/>
  <c r="N30" i="15"/>
  <c r="K30" i="15"/>
  <c r="AE29" i="15"/>
  <c r="AD29" i="15"/>
  <c r="AC29" i="15"/>
  <c r="AB29" i="15"/>
  <c r="AA29" i="15"/>
  <c r="V29" i="15"/>
  <c r="R29" i="15"/>
  <c r="Z29" i="15" s="1"/>
  <c r="O29" i="15"/>
  <c r="N29" i="15"/>
  <c r="K29" i="15"/>
  <c r="AE28" i="15"/>
  <c r="AD28" i="15"/>
  <c r="AC28" i="15"/>
  <c r="AB28" i="15"/>
  <c r="AA28" i="15"/>
  <c r="R28" i="15"/>
  <c r="Z28" i="15" s="1"/>
  <c r="O28" i="15"/>
  <c r="N28" i="15"/>
  <c r="K28" i="15"/>
  <c r="AF27" i="15"/>
  <c r="AE27" i="15"/>
  <c r="AD27" i="15"/>
  <c r="AC27" i="15"/>
  <c r="AA27" i="15"/>
  <c r="Z27" i="15"/>
  <c r="X27" i="15"/>
  <c r="AB27" i="15" s="1"/>
  <c r="O27" i="15"/>
  <c r="N27" i="15"/>
  <c r="K27" i="15"/>
  <c r="AF26" i="15"/>
  <c r="AE26" i="15"/>
  <c r="AD26" i="15"/>
  <c r="AC26" i="15"/>
  <c r="AB26" i="15"/>
  <c r="AA26" i="15"/>
  <c r="Z26" i="15"/>
  <c r="V26" i="15"/>
  <c r="O26" i="15"/>
  <c r="N26" i="15"/>
  <c r="K26" i="15"/>
  <c r="AF25" i="15"/>
  <c r="AE25" i="15"/>
  <c r="AD25" i="15"/>
  <c r="AC25" i="15"/>
  <c r="AA25" i="15"/>
  <c r="Z25" i="15"/>
  <c r="X25" i="15"/>
  <c r="AB25" i="15" s="1"/>
  <c r="O25" i="15"/>
  <c r="N25" i="15"/>
  <c r="K25" i="15"/>
  <c r="AE24" i="15"/>
  <c r="AD24" i="15"/>
  <c r="AC24" i="15"/>
  <c r="X24" i="15"/>
  <c r="AB24" i="15" s="1"/>
  <c r="W24" i="15"/>
  <c r="AA24" i="15" s="1"/>
  <c r="V24" i="15"/>
  <c r="R24" i="15"/>
  <c r="AF24" i="15" s="1"/>
  <c r="Q24" i="15"/>
  <c r="O24" i="15"/>
  <c r="N24" i="15"/>
  <c r="K24" i="15"/>
  <c r="AF23" i="15"/>
  <c r="AE23" i="15"/>
  <c r="AD23" i="15"/>
  <c r="AC23" i="15"/>
  <c r="AB23" i="15"/>
  <c r="AA23" i="15"/>
  <c r="Z23" i="15"/>
  <c r="V23" i="15"/>
  <c r="O23" i="15"/>
  <c r="N23" i="15"/>
  <c r="K23" i="15"/>
  <c r="AF22" i="15"/>
  <c r="AE22" i="15"/>
  <c r="AD22" i="15"/>
  <c r="AC22" i="15"/>
  <c r="AB22" i="15"/>
  <c r="AA22" i="15"/>
  <c r="Z22" i="15"/>
  <c r="V22" i="15"/>
  <c r="O22" i="15"/>
  <c r="N22" i="15"/>
  <c r="K22" i="15"/>
  <c r="AD21" i="15"/>
  <c r="AC21" i="15"/>
  <c r="Z21" i="15"/>
  <c r="X21" i="15"/>
  <c r="W21" i="15"/>
  <c r="V21" i="15"/>
  <c r="S21" i="15"/>
  <c r="AE21" i="15" s="1"/>
  <c r="O21" i="15"/>
  <c r="N21" i="15"/>
  <c r="K21" i="15"/>
  <c r="AF20" i="15"/>
  <c r="AE20" i="15"/>
  <c r="AD20" i="15"/>
  <c r="AC20" i="15"/>
  <c r="AB20" i="15"/>
  <c r="AA20" i="15"/>
  <c r="Z20" i="15"/>
  <c r="O20" i="15"/>
  <c r="N20" i="15"/>
  <c r="K20" i="15"/>
  <c r="AF19" i="15"/>
  <c r="AE19" i="15"/>
  <c r="AD19" i="15"/>
  <c r="AC19" i="15"/>
  <c r="AB19" i="15"/>
  <c r="AA19" i="15"/>
  <c r="Q19" i="15"/>
  <c r="Z19" i="15" s="1"/>
  <c r="O19" i="15"/>
  <c r="N19" i="15"/>
  <c r="K19" i="15"/>
  <c r="AF18" i="15"/>
  <c r="AC18" i="15"/>
  <c r="Z18" i="15"/>
  <c r="AA5" i="15" s="1"/>
  <c r="X18" i="15"/>
  <c r="W18" i="15"/>
  <c r="T18" i="15"/>
  <c r="S18" i="15"/>
  <c r="AE18" i="15" s="1"/>
  <c r="O18" i="15"/>
  <c r="N18" i="15"/>
  <c r="K18" i="15"/>
  <c r="AF17" i="15"/>
  <c r="AE17" i="15"/>
  <c r="AD17" i="15"/>
  <c r="AC17" i="15"/>
  <c r="Z17" i="15"/>
  <c r="X17" i="15"/>
  <c r="AB17" i="15" s="1"/>
  <c r="W17" i="15"/>
  <c r="AA17" i="15" s="1"/>
  <c r="O17" i="15"/>
  <c r="N17" i="15"/>
  <c r="K17" i="15"/>
  <c r="AF16" i="15"/>
  <c r="AD16" i="15"/>
  <c r="AC16" i="15"/>
  <c r="AB16" i="15"/>
  <c r="AA16" i="15"/>
  <c r="Z16" i="15"/>
  <c r="U16" i="15"/>
  <c r="AE16" i="15" s="1"/>
  <c r="O16" i="15"/>
  <c r="N16" i="15"/>
  <c r="K16" i="15"/>
  <c r="AE15" i="15"/>
  <c r="AD15" i="15"/>
  <c r="AA15" i="15"/>
  <c r="X15" i="15"/>
  <c r="R15" i="15"/>
  <c r="AF15" i="15" s="1"/>
  <c r="O15" i="15"/>
  <c r="N15" i="15"/>
  <c r="K15" i="15"/>
  <c r="AF14" i="15"/>
  <c r="AE14" i="15"/>
  <c r="AD14" i="15"/>
  <c r="AC14" i="15"/>
  <c r="AB14" i="15"/>
  <c r="AA14" i="15"/>
  <c r="V14" i="15"/>
  <c r="Q14" i="15"/>
  <c r="Z14" i="15" s="1"/>
  <c r="O14" i="15"/>
  <c r="N14" i="15"/>
  <c r="K14" i="15"/>
  <c r="AF13" i="15"/>
  <c r="AE13" i="15"/>
  <c r="AD13" i="15"/>
  <c r="AC13" i="15"/>
  <c r="AB13" i="15"/>
  <c r="AA13" i="15"/>
  <c r="Z13" i="15"/>
  <c r="O13" i="15"/>
  <c r="N13" i="15"/>
  <c r="K13" i="15"/>
  <c r="AE12" i="15"/>
  <c r="AD12" i="15"/>
  <c r="AC12" i="15"/>
  <c r="AB12" i="15"/>
  <c r="AA12" i="15"/>
  <c r="R12" i="15"/>
  <c r="O12" i="15"/>
  <c r="N12" i="15"/>
  <c r="K12" i="15"/>
  <c r="AF11" i="15"/>
  <c r="AE11" i="15"/>
  <c r="AD11" i="15"/>
  <c r="AC11" i="15"/>
  <c r="AB11" i="15"/>
  <c r="AA11" i="15"/>
  <c r="Z11" i="15"/>
  <c r="O11" i="15"/>
  <c r="N11" i="15"/>
  <c r="K11" i="15"/>
  <c r="Y10" i="15"/>
  <c r="AC10" i="15" s="1"/>
  <c r="X10" i="15"/>
  <c r="W10" i="15"/>
  <c r="U10" i="15"/>
  <c r="T10" i="15"/>
  <c r="S10" i="15"/>
  <c r="R10" i="15"/>
  <c r="AF10" i="15" s="1"/>
  <c r="Q10" i="15"/>
  <c r="O10" i="15"/>
  <c r="N10" i="15"/>
  <c r="K10" i="15"/>
  <c r="AF9" i="15"/>
  <c r="AE9" i="15"/>
  <c r="AD9" i="15"/>
  <c r="AC9" i="15"/>
  <c r="AB9" i="15"/>
  <c r="AA9" i="15"/>
  <c r="Z9" i="15"/>
  <c r="O9" i="15"/>
  <c r="N9" i="15"/>
  <c r="K9" i="15"/>
  <c r="AF8" i="15"/>
  <c r="AE8" i="15"/>
  <c r="AD8" i="15"/>
  <c r="AC8" i="15"/>
  <c r="AB8" i="15"/>
  <c r="AA8" i="15"/>
  <c r="Z8" i="15"/>
  <c r="V8" i="15"/>
  <c r="O8" i="15"/>
  <c r="N8" i="15"/>
  <c r="K8" i="15"/>
  <c r="AF7" i="15"/>
  <c r="AE7" i="15"/>
  <c r="AD7" i="15"/>
  <c r="AC7" i="15"/>
  <c r="AB7" i="15"/>
  <c r="AA7" i="15"/>
  <c r="Z7" i="15"/>
  <c r="V7" i="15"/>
  <c r="O7" i="15"/>
  <c r="N7" i="15"/>
  <c r="K7" i="15"/>
  <c r="AE6" i="15"/>
  <c r="AD6" i="15"/>
  <c r="AC6" i="15"/>
  <c r="AB6" i="15"/>
  <c r="AA6" i="15"/>
  <c r="V6" i="15"/>
  <c r="R6" i="15"/>
  <c r="O6" i="15"/>
  <c r="N6" i="15"/>
  <c r="K6" i="15"/>
  <c r="AE5" i="15"/>
  <c r="AD5" i="15"/>
  <c r="AC5" i="15"/>
  <c r="AB5" i="15"/>
  <c r="R5" i="15"/>
  <c r="AF5" i="15" s="1"/>
  <c r="O5" i="15"/>
  <c r="N5" i="15"/>
  <c r="K5" i="15"/>
  <c r="F12" i="10"/>
  <c r="J11" i="10"/>
  <c r="F11" i="10"/>
  <c r="L10" i="10"/>
  <c r="N10" i="10" s="1"/>
  <c r="J10" i="10"/>
  <c r="F10" i="10"/>
  <c r="J8" i="10" s="1"/>
  <c r="L9" i="10"/>
  <c r="N9" i="10" s="1"/>
  <c r="J9" i="10"/>
  <c r="F9" i="10"/>
  <c r="L8" i="10"/>
  <c r="O8" i="10" s="1"/>
  <c r="F8" i="10"/>
  <c r="L7" i="10"/>
  <c r="N7" i="10" s="1"/>
  <c r="F7" i="10"/>
  <c r="L6" i="10"/>
  <c r="O6" i="10" s="1"/>
  <c r="F6" i="10"/>
  <c r="BS34" i="8" a="1"/>
  <c r="BS34" i="8" s="1"/>
  <c r="BO68" i="8" s="1"/>
  <c r="BR34" i="8" a="1"/>
  <c r="BR34" i="8" s="1"/>
  <c r="BQ34" i="8" a="1"/>
  <c r="BQ34" i="8" s="1"/>
  <c r="BP34" i="8"/>
  <c r="BO34" i="8" a="1"/>
  <c r="BO34" i="8" s="1"/>
  <c r="BN34" i="8" a="1"/>
  <c r="BN34" i="8" s="1"/>
  <c r="BN68" i="8" s="1"/>
  <c r="BJ34" i="8" a="1"/>
  <c r="BJ34" i="8" s="1"/>
  <c r="BF68" i="8" s="1"/>
  <c r="BI34" i="8" a="1"/>
  <c r="BI34" i="8" s="1"/>
  <c r="BH34" i="8" a="1"/>
  <c r="BH34" i="8" s="1"/>
  <c r="BG34" i="8"/>
  <c r="BF34" i="8" a="1"/>
  <c r="BF34" i="8" s="1"/>
  <c r="BE34" i="8" a="1"/>
  <c r="BE34" i="8" s="1"/>
  <c r="BE68" i="8" s="1"/>
  <c r="BA34" i="8" a="1"/>
  <c r="BA34" i="8" s="1"/>
  <c r="AW68" i="8" s="1"/>
  <c r="AZ34" i="8" a="1"/>
  <c r="AZ34" i="8" s="1"/>
  <c r="AY34" i="8" a="1"/>
  <c r="AY34" i="8" s="1"/>
  <c r="AX34" i="8"/>
  <c r="AW34" i="8" a="1"/>
  <c r="AW34" i="8" s="1"/>
  <c r="AV34" i="8" a="1"/>
  <c r="AV34" i="8" s="1"/>
  <c r="AV68" i="8" s="1"/>
  <c r="AR34" i="8" a="1"/>
  <c r="AR34" i="8" s="1"/>
  <c r="AN68" i="8" s="1"/>
  <c r="AQ34" i="8" a="1"/>
  <c r="AQ34" i="8" s="1"/>
  <c r="AP34" i="8" a="1"/>
  <c r="AP34" i="8" s="1"/>
  <c r="AO34" i="8"/>
  <c r="AN34" i="8" a="1"/>
  <c r="AN34" i="8" s="1"/>
  <c r="AM34" i="8" a="1"/>
  <c r="AM34" i="8" s="1"/>
  <c r="AM68" i="8" s="1"/>
  <c r="AI34" i="8" a="1"/>
  <c r="AI34" i="8" s="1"/>
  <c r="AE68" i="8" s="1"/>
  <c r="AH34" i="8" a="1"/>
  <c r="AH34" i="8" s="1"/>
  <c r="AG34" i="8" a="1"/>
  <c r="AG34" i="8" s="1"/>
  <c r="AF34" i="8"/>
  <c r="AE34" i="8" a="1"/>
  <c r="AE34" i="8" s="1"/>
  <c r="AD34" i="8" a="1"/>
  <c r="AD34" i="8" s="1"/>
  <c r="AD68" i="8" s="1"/>
  <c r="Z34" i="8" a="1"/>
  <c r="Z34" i="8" s="1"/>
  <c r="V68" i="8" s="1"/>
  <c r="Y34" i="8" a="1"/>
  <c r="Y34" i="8" s="1"/>
  <c r="X34" i="8" a="1"/>
  <c r="X34" i="8" s="1"/>
  <c r="W34" i="8"/>
  <c r="V34" i="8" a="1"/>
  <c r="V34" i="8" s="1"/>
  <c r="U34" i="8" a="1"/>
  <c r="U34" i="8" s="1"/>
  <c r="U68" i="8" s="1"/>
  <c r="H34" i="8" a="1"/>
  <c r="H34" i="8" s="1"/>
  <c r="D68" i="8" s="1"/>
  <c r="G34" i="8" a="1"/>
  <c r="G34" i="8" s="1"/>
  <c r="F34" i="8" a="1"/>
  <c r="F34" i="8" s="1"/>
  <c r="E34" i="8"/>
  <c r="D34" i="8" a="1"/>
  <c r="D34" i="8" s="1"/>
  <c r="C34" i="8" a="1"/>
  <c r="C34" i="8" s="1"/>
  <c r="C68" i="8" s="1"/>
  <c r="BS33" i="8" a="1"/>
  <c r="BS33" i="8" s="1"/>
  <c r="BO67" i="8" s="1"/>
  <c r="BR33" i="8" a="1"/>
  <c r="BR33" i="8" s="1"/>
  <c r="BQ33" i="8" a="1"/>
  <c r="BQ33" i="8" s="1"/>
  <c r="BP33" i="8"/>
  <c r="BO33" i="8" a="1"/>
  <c r="BO33" i="8" s="1"/>
  <c r="BN33" i="8" a="1"/>
  <c r="BN33" i="8" s="1"/>
  <c r="BN67" i="8" s="1"/>
  <c r="BJ33" i="8" a="1"/>
  <c r="BJ33" i="8" s="1"/>
  <c r="BF67" i="8" s="1"/>
  <c r="BI33" i="8" a="1"/>
  <c r="BI33" i="8" s="1"/>
  <c r="BH33" i="8" a="1"/>
  <c r="BH33" i="8" s="1"/>
  <c r="BG33" i="8"/>
  <c r="BF33" i="8" a="1"/>
  <c r="BF33" i="8" s="1"/>
  <c r="BE33" i="8" a="1"/>
  <c r="BE33" i="8" s="1"/>
  <c r="BE67" i="8" s="1"/>
  <c r="BA33" i="8" a="1"/>
  <c r="BA33" i="8" s="1"/>
  <c r="AW67" i="8" s="1"/>
  <c r="AZ33" i="8" a="1"/>
  <c r="AZ33" i="8" s="1"/>
  <c r="AY33" i="8" a="1"/>
  <c r="AY33" i="8" s="1"/>
  <c r="AX33" i="8"/>
  <c r="AW33" i="8" a="1"/>
  <c r="AW33" i="8" s="1"/>
  <c r="AV33" i="8" a="1"/>
  <c r="AV33" i="8" s="1"/>
  <c r="AV67" i="8" s="1"/>
  <c r="AR33" i="8" a="1"/>
  <c r="AR33" i="8" s="1"/>
  <c r="AN67" i="8" s="1"/>
  <c r="AQ33" i="8" a="1"/>
  <c r="AQ33" i="8" s="1"/>
  <c r="AP33" i="8" a="1"/>
  <c r="AP33" i="8" s="1"/>
  <c r="AO33" i="8"/>
  <c r="AN33" i="8" a="1"/>
  <c r="AN33" i="8" s="1"/>
  <c r="AM33" i="8" a="1"/>
  <c r="AM33" i="8" s="1"/>
  <c r="AM67" i="8" s="1"/>
  <c r="AI33" i="8" a="1"/>
  <c r="AI33" i="8" s="1"/>
  <c r="AE67" i="8" s="1"/>
  <c r="AH33" i="8" a="1"/>
  <c r="AH33" i="8" s="1"/>
  <c r="AG33" i="8" a="1"/>
  <c r="AG33" i="8" s="1"/>
  <c r="AF33" i="8"/>
  <c r="AE33" i="8" a="1"/>
  <c r="AE33" i="8" s="1"/>
  <c r="AD33" i="8" a="1"/>
  <c r="AD33" i="8" s="1"/>
  <c r="AD67" i="8" s="1"/>
  <c r="Z33" i="8" a="1"/>
  <c r="Z33" i="8" s="1"/>
  <c r="V67" i="8" s="1"/>
  <c r="Y33" i="8" a="1"/>
  <c r="Y33" i="8" s="1"/>
  <c r="X33" i="8" a="1"/>
  <c r="X33" i="8" s="1"/>
  <c r="W33" i="8"/>
  <c r="V33" i="8" a="1"/>
  <c r="V33" i="8" s="1"/>
  <c r="U33" i="8" a="1"/>
  <c r="U33" i="8" s="1"/>
  <c r="U67" i="8" s="1"/>
  <c r="H33" i="8" a="1"/>
  <c r="H33" i="8" s="1"/>
  <c r="D67" i="8" s="1"/>
  <c r="G33" i="8" a="1"/>
  <c r="G33" i="8" s="1"/>
  <c r="F33" i="8" a="1"/>
  <c r="F33" i="8" s="1"/>
  <c r="E33" i="8"/>
  <c r="D33" i="8" a="1"/>
  <c r="D33" i="8" s="1"/>
  <c r="C33" i="8" a="1"/>
  <c r="C33" i="8" s="1"/>
  <c r="C67" i="8" s="1"/>
  <c r="BS32" i="8" a="1"/>
  <c r="BS32" i="8" s="1"/>
  <c r="BO66" i="8" s="1"/>
  <c r="BR32" i="8" a="1"/>
  <c r="BR32" i="8" s="1"/>
  <c r="BQ32" i="8" a="1"/>
  <c r="BQ32" i="8" s="1"/>
  <c r="BP32" i="8"/>
  <c r="BO32" i="8" a="1"/>
  <c r="BO32" i="8" s="1"/>
  <c r="BN32" i="8" a="1"/>
  <c r="BN32" i="8" s="1"/>
  <c r="BN66" i="8" s="1"/>
  <c r="BJ32" i="8" a="1"/>
  <c r="BJ32" i="8" s="1"/>
  <c r="BF66" i="8" s="1"/>
  <c r="BI32" i="8" a="1"/>
  <c r="BI32" i="8" s="1"/>
  <c r="BH32" i="8" a="1"/>
  <c r="BH32" i="8" s="1"/>
  <c r="BG32" i="8"/>
  <c r="BF32" i="8" a="1"/>
  <c r="BF32" i="8" s="1"/>
  <c r="BE32" i="8" a="1"/>
  <c r="BE32" i="8" s="1"/>
  <c r="BE66" i="8" s="1"/>
  <c r="BA32" i="8" a="1"/>
  <c r="BA32" i="8" s="1"/>
  <c r="AW66" i="8" s="1"/>
  <c r="AZ32" i="8" a="1"/>
  <c r="AZ32" i="8" s="1"/>
  <c r="AY32" i="8" a="1"/>
  <c r="AY32" i="8" s="1"/>
  <c r="AX32" i="8"/>
  <c r="AW32" i="8" a="1"/>
  <c r="AW32" i="8" s="1"/>
  <c r="AV32" i="8" a="1"/>
  <c r="AV32" i="8" s="1"/>
  <c r="AV66" i="8" s="1"/>
  <c r="AR32" i="8" a="1"/>
  <c r="AR32" i="8" s="1"/>
  <c r="AN66" i="8" s="1"/>
  <c r="AQ32" i="8" a="1"/>
  <c r="AQ32" i="8" s="1"/>
  <c r="AP32" i="8" a="1"/>
  <c r="AP32" i="8" s="1"/>
  <c r="AO32" i="8"/>
  <c r="AN32" i="8" a="1"/>
  <c r="AN32" i="8" s="1"/>
  <c r="AM32" i="8" a="1"/>
  <c r="AM32" i="8" s="1"/>
  <c r="AM66" i="8" s="1"/>
  <c r="AI32" i="8" a="1"/>
  <c r="AI32" i="8" s="1"/>
  <c r="AE66" i="8" s="1"/>
  <c r="AH32" i="8" a="1"/>
  <c r="AH32" i="8" s="1"/>
  <c r="AG32" i="8" a="1"/>
  <c r="AG32" i="8" s="1"/>
  <c r="AF32" i="8"/>
  <c r="AE32" i="8" a="1"/>
  <c r="AE32" i="8" s="1"/>
  <c r="AD32" i="8" a="1"/>
  <c r="AD32" i="8" s="1"/>
  <c r="AD66" i="8" s="1"/>
  <c r="Z32" i="8" a="1"/>
  <c r="Z32" i="8" s="1"/>
  <c r="V66" i="8" s="1"/>
  <c r="Y32" i="8" a="1"/>
  <c r="Y32" i="8" s="1"/>
  <c r="X32" i="8" a="1"/>
  <c r="X32" i="8" s="1"/>
  <c r="W32" i="8"/>
  <c r="V32" i="8" a="1"/>
  <c r="V32" i="8" s="1"/>
  <c r="U32" i="8" a="1"/>
  <c r="U32" i="8" s="1"/>
  <c r="U66" i="8" s="1"/>
  <c r="H32" i="8" a="1"/>
  <c r="H32" i="8" s="1"/>
  <c r="D66" i="8" s="1"/>
  <c r="G32" i="8" a="1"/>
  <c r="G32" i="8" s="1"/>
  <c r="F32" i="8" a="1"/>
  <c r="F32" i="8" s="1"/>
  <c r="E32" i="8"/>
  <c r="D32" i="8" a="1"/>
  <c r="D32" i="8" s="1"/>
  <c r="BS30" i="8" a="1"/>
  <c r="BS30" i="8" s="1"/>
  <c r="BO64" i="8" s="1"/>
  <c r="BR30" i="8" a="1"/>
  <c r="BR30" i="8" s="1"/>
  <c r="BQ30" i="8" a="1"/>
  <c r="BQ30" i="8" s="1"/>
  <c r="BP30" i="8"/>
  <c r="BO30" i="8" a="1"/>
  <c r="BO30" i="8" s="1"/>
  <c r="BN30" i="8" a="1"/>
  <c r="BN30" i="8" s="1"/>
  <c r="BN64" i="8" s="1"/>
  <c r="BJ30" i="8" a="1"/>
  <c r="BJ30" i="8" s="1"/>
  <c r="BF64" i="8" s="1"/>
  <c r="BI30" i="8" a="1"/>
  <c r="BI30" i="8" s="1"/>
  <c r="BH30" i="8" a="1"/>
  <c r="BH30" i="8" s="1"/>
  <c r="BG30" i="8"/>
  <c r="BF30" i="8" a="1"/>
  <c r="BF30" i="8" s="1"/>
  <c r="BE30" i="8" a="1"/>
  <c r="BE30" i="8" s="1"/>
  <c r="BE64" i="8" s="1"/>
  <c r="BA30" i="8" a="1"/>
  <c r="BA30" i="8" s="1"/>
  <c r="AW64" i="8" s="1"/>
  <c r="AZ30" i="8" a="1"/>
  <c r="AZ30" i="8" s="1"/>
  <c r="AY30" i="8" a="1"/>
  <c r="AY30" i="8" s="1"/>
  <c r="AX30" i="8"/>
  <c r="AW30" i="8" a="1"/>
  <c r="AW30" i="8" s="1"/>
  <c r="AV30" i="8" a="1"/>
  <c r="AV30" i="8" s="1"/>
  <c r="AV64" i="8" s="1"/>
  <c r="AR30" i="8" a="1"/>
  <c r="AR30" i="8" s="1"/>
  <c r="AN64" i="8" s="1"/>
  <c r="AQ30" i="8" a="1"/>
  <c r="AQ30" i="8" s="1"/>
  <c r="AP30" i="8" a="1"/>
  <c r="AP30" i="8" s="1"/>
  <c r="AO30" i="8"/>
  <c r="AN30" i="8" a="1"/>
  <c r="AN30" i="8" s="1"/>
  <c r="AM30" i="8" a="1"/>
  <c r="AM30" i="8" s="1"/>
  <c r="AM64" i="8" s="1"/>
  <c r="AI30" i="8" a="1"/>
  <c r="AI30" i="8" s="1"/>
  <c r="AE64" i="8" s="1"/>
  <c r="AH30" i="8" a="1"/>
  <c r="AH30" i="8" s="1"/>
  <c r="AG30" i="8" a="1"/>
  <c r="AG30" i="8" s="1"/>
  <c r="AF30" i="8"/>
  <c r="AE30" i="8" a="1"/>
  <c r="AE30" i="8" s="1"/>
  <c r="AD30" i="8" a="1"/>
  <c r="AD30" i="8" s="1"/>
  <c r="AD64" i="8" s="1"/>
  <c r="Z30" i="8" a="1"/>
  <c r="Z30" i="8" s="1"/>
  <c r="V64" i="8" s="1"/>
  <c r="Y30" i="8" a="1"/>
  <c r="Y30" i="8" s="1"/>
  <c r="X30" i="8" a="1"/>
  <c r="X30" i="8" s="1"/>
  <c r="W30" i="8"/>
  <c r="V30" i="8" a="1"/>
  <c r="V30" i="8" s="1"/>
  <c r="U30" i="8" a="1"/>
  <c r="U30" i="8" s="1"/>
  <c r="U64" i="8" s="1"/>
  <c r="H30" i="8" a="1"/>
  <c r="H30" i="8" s="1"/>
  <c r="D64" i="8" s="1"/>
  <c r="G30" i="8" a="1"/>
  <c r="G30" i="8" s="1"/>
  <c r="F30" i="8" a="1"/>
  <c r="F30" i="8" s="1"/>
  <c r="E30" i="8"/>
  <c r="D30" i="8" a="1"/>
  <c r="D30" i="8" s="1"/>
  <c r="C30" i="8" a="1"/>
  <c r="C30" i="8" s="1"/>
  <c r="C64" i="8" s="1"/>
  <c r="BS29" i="8" a="1"/>
  <c r="BS29" i="8" s="1"/>
  <c r="BO63" i="8" s="1"/>
  <c r="BR29" i="8" a="1"/>
  <c r="BR29" i="8" s="1"/>
  <c r="BQ29" i="8" a="1"/>
  <c r="BQ29" i="8" s="1"/>
  <c r="BP29" i="8"/>
  <c r="BO29" i="8" a="1"/>
  <c r="BO29" i="8" s="1"/>
  <c r="BN29" i="8" a="1"/>
  <c r="BN29" i="8" s="1"/>
  <c r="BN63" i="8" s="1"/>
  <c r="BJ29" i="8" a="1"/>
  <c r="BJ29" i="8" s="1"/>
  <c r="BF63" i="8" s="1"/>
  <c r="BI29" i="8" a="1"/>
  <c r="BI29" i="8" s="1"/>
  <c r="BH29" i="8" a="1"/>
  <c r="BH29" i="8" s="1"/>
  <c r="BG29" i="8"/>
  <c r="BF29" i="8" a="1"/>
  <c r="BF29" i="8" s="1"/>
  <c r="BE29" i="8" a="1"/>
  <c r="BE29" i="8" s="1"/>
  <c r="BE63" i="8" s="1"/>
  <c r="BA29" i="8" a="1"/>
  <c r="BA29" i="8" s="1"/>
  <c r="AW63" i="8" s="1"/>
  <c r="AZ29" i="8" a="1"/>
  <c r="AZ29" i="8" s="1"/>
  <c r="AY29" i="8" a="1"/>
  <c r="AY29" i="8" s="1"/>
  <c r="AX29" i="8"/>
  <c r="AW29" i="8" a="1"/>
  <c r="AW29" i="8" s="1"/>
  <c r="AV29" i="8" a="1"/>
  <c r="AV29" i="8" s="1"/>
  <c r="AV63" i="8" s="1"/>
  <c r="AR29" i="8" a="1"/>
  <c r="AR29" i="8" s="1"/>
  <c r="AN63" i="8" s="1"/>
  <c r="AQ29" i="8" a="1"/>
  <c r="AQ29" i="8" s="1"/>
  <c r="AP29" i="8" a="1"/>
  <c r="AP29" i="8" s="1"/>
  <c r="AO29" i="8"/>
  <c r="AN29" i="8" a="1"/>
  <c r="AN29" i="8" s="1"/>
  <c r="AM29" i="8" a="1"/>
  <c r="AM29" i="8" s="1"/>
  <c r="AM63" i="8" s="1"/>
  <c r="AI29" i="8" a="1"/>
  <c r="AI29" i="8" s="1"/>
  <c r="AE63" i="8" s="1"/>
  <c r="AH29" i="8" a="1"/>
  <c r="AH29" i="8" s="1"/>
  <c r="AG29" i="8" a="1"/>
  <c r="AG29" i="8" s="1"/>
  <c r="AF29" i="8"/>
  <c r="AE29" i="8" a="1"/>
  <c r="AE29" i="8" s="1"/>
  <c r="AD29" i="8" a="1"/>
  <c r="AD29" i="8" s="1"/>
  <c r="AD63" i="8" s="1"/>
  <c r="Z29" i="8" a="1"/>
  <c r="Z29" i="8" s="1"/>
  <c r="V63" i="8" s="1"/>
  <c r="Y29" i="8" a="1"/>
  <c r="Y29" i="8" s="1"/>
  <c r="X29" i="8" a="1"/>
  <c r="X29" i="8" s="1"/>
  <c r="W29" i="8"/>
  <c r="V29" i="8" a="1"/>
  <c r="V29" i="8" s="1"/>
  <c r="U29" i="8" a="1"/>
  <c r="U29" i="8" s="1"/>
  <c r="U63" i="8" s="1"/>
  <c r="H29" i="8" a="1"/>
  <c r="H29" i="8" s="1"/>
  <c r="D63" i="8" s="1"/>
  <c r="G29" i="8" a="1"/>
  <c r="G29" i="8" s="1"/>
  <c r="F29" i="8" a="1"/>
  <c r="F29" i="8" s="1"/>
  <c r="E29" i="8"/>
  <c r="D29" i="8" a="1"/>
  <c r="D29" i="8" s="1"/>
  <c r="BS22" i="8" a="1"/>
  <c r="BS22" i="8" s="1"/>
  <c r="BO56" i="8" s="1"/>
  <c r="BR22" i="8" a="1"/>
  <c r="BR22" i="8" s="1"/>
  <c r="BQ22" i="8" a="1"/>
  <c r="BQ22" i="8" s="1"/>
  <c r="BP22" i="8"/>
  <c r="BO22" i="8" a="1"/>
  <c r="BO22" i="8" s="1"/>
  <c r="BN22" i="8" a="1"/>
  <c r="BN22" i="8" s="1"/>
  <c r="BN56" i="8" s="1"/>
  <c r="BJ22" i="8" a="1"/>
  <c r="BJ22" i="8" s="1"/>
  <c r="BF56" i="8" s="1"/>
  <c r="BI22" i="8" a="1"/>
  <c r="BI22" i="8" s="1"/>
  <c r="BH22" i="8" a="1"/>
  <c r="BH22" i="8" s="1"/>
  <c r="BG22" i="8"/>
  <c r="BF22" i="8" a="1"/>
  <c r="BF22" i="8" s="1"/>
  <c r="BE22" i="8" a="1"/>
  <c r="BE22" i="8" s="1"/>
  <c r="BE56" i="8" s="1"/>
  <c r="BA22" i="8" a="1"/>
  <c r="BA22" i="8" s="1"/>
  <c r="AW56" i="8" s="1"/>
  <c r="AZ22" i="8" a="1"/>
  <c r="AZ22" i="8" s="1"/>
  <c r="AY22" i="8" a="1"/>
  <c r="AY22" i="8" s="1"/>
  <c r="AX22" i="8"/>
  <c r="AW22" i="8" a="1"/>
  <c r="AW22" i="8" s="1"/>
  <c r="AV22" i="8" a="1"/>
  <c r="AV22" i="8" s="1"/>
  <c r="AV56" i="8" s="1"/>
  <c r="AO22" i="8"/>
  <c r="AI22" i="8" a="1"/>
  <c r="AI22" i="8" s="1"/>
  <c r="AE56" i="8" s="1"/>
  <c r="AH22" i="8" a="1"/>
  <c r="AH22" i="8" s="1"/>
  <c r="AG22" i="8" a="1"/>
  <c r="AG22" i="8" s="1"/>
  <c r="AF22" i="8"/>
  <c r="AE22" i="8" a="1"/>
  <c r="AE22" i="8" s="1"/>
  <c r="AD22" i="8" a="1"/>
  <c r="AD22" i="8" s="1"/>
  <c r="AD56" i="8" s="1"/>
  <c r="Z22" i="8" a="1"/>
  <c r="Z22" i="8" s="1"/>
  <c r="V56" i="8" s="1"/>
  <c r="Y22" i="8" a="1"/>
  <c r="Y22" i="8" s="1"/>
  <c r="X22" i="8" a="1"/>
  <c r="X22" i="8" s="1"/>
  <c r="W22" i="8"/>
  <c r="V22" i="8" a="1"/>
  <c r="V22" i="8" s="1"/>
  <c r="U22" i="8" a="1"/>
  <c r="U22" i="8" s="1"/>
  <c r="U56" i="8" s="1"/>
  <c r="H22" i="8" a="1"/>
  <c r="H22" i="8" s="1"/>
  <c r="D56" i="8" s="1"/>
  <c r="G22" i="8" a="1"/>
  <c r="G22" i="8" s="1"/>
  <c r="F22" i="8" a="1"/>
  <c r="F22" i="8" s="1"/>
  <c r="E22" i="8"/>
  <c r="D22" i="8" a="1"/>
  <c r="D22" i="8" s="1"/>
  <c r="C22" i="8" a="1"/>
  <c r="C22" i="8" s="1"/>
  <c r="C56" i="8" s="1"/>
  <c r="BS21" i="8" a="1"/>
  <c r="BS21" i="8" s="1"/>
  <c r="BO55" i="8" s="1"/>
  <c r="BR21" i="8" a="1"/>
  <c r="BR21" i="8" s="1"/>
  <c r="BQ21" i="8" a="1"/>
  <c r="BQ21" i="8" s="1"/>
  <c r="BP21" i="8"/>
  <c r="BO21" i="8" a="1"/>
  <c r="BO21" i="8" s="1"/>
  <c r="BN21" i="8" a="1"/>
  <c r="BN21" i="8" s="1"/>
  <c r="BN55" i="8" s="1"/>
  <c r="BJ21" i="8" a="1"/>
  <c r="BJ21" i="8" s="1"/>
  <c r="BF55" i="8" s="1"/>
  <c r="BI21" i="8" a="1"/>
  <c r="BI21" i="8" s="1"/>
  <c r="BH21" i="8" a="1"/>
  <c r="BH21" i="8" s="1"/>
  <c r="BG21" i="8"/>
  <c r="BF21" i="8" a="1"/>
  <c r="BF21" i="8" s="1"/>
  <c r="BE21" i="8" a="1"/>
  <c r="BE21" i="8" s="1"/>
  <c r="BE55" i="8" s="1"/>
  <c r="BA21" i="8" a="1"/>
  <c r="BA21" i="8" s="1"/>
  <c r="AW55" i="8" s="1"/>
  <c r="AZ21" i="8" a="1"/>
  <c r="AZ21" i="8" s="1"/>
  <c r="AY21" i="8" a="1"/>
  <c r="AY21" i="8" s="1"/>
  <c r="AX21" i="8"/>
  <c r="AW21" i="8" a="1"/>
  <c r="AW21" i="8" s="1"/>
  <c r="AV21" i="8" a="1"/>
  <c r="AV21" i="8" s="1"/>
  <c r="AV55" i="8" s="1"/>
  <c r="AR21" i="8" a="1"/>
  <c r="AR21" i="8" s="1"/>
  <c r="AN55" i="8" s="1"/>
  <c r="AQ21" i="8" a="1"/>
  <c r="AQ21" i="8" s="1"/>
  <c r="AP21" i="8" a="1"/>
  <c r="AP21" i="8" s="1"/>
  <c r="AO21" i="8"/>
  <c r="AN21" i="8" a="1"/>
  <c r="AN21" i="8" s="1"/>
  <c r="AM21" i="8" a="1"/>
  <c r="AM21" i="8" s="1"/>
  <c r="AM55" i="8" s="1"/>
  <c r="AI21" i="8" a="1"/>
  <c r="AI21" i="8" s="1"/>
  <c r="AE55" i="8" s="1"/>
  <c r="AH21" i="8" a="1"/>
  <c r="AH21" i="8" s="1"/>
  <c r="AG21" i="8" a="1"/>
  <c r="AG21" i="8" s="1"/>
  <c r="AF21" i="8"/>
  <c r="AE21" i="8" a="1"/>
  <c r="AE21" i="8" s="1"/>
  <c r="AD21" i="8" a="1"/>
  <c r="AD21" i="8" s="1"/>
  <c r="AD55" i="8" s="1"/>
  <c r="Z21" i="8" a="1"/>
  <c r="Z21" i="8" s="1"/>
  <c r="V55" i="8" s="1"/>
  <c r="Y21" i="8" a="1"/>
  <c r="Y21" i="8" s="1"/>
  <c r="X21" i="8" a="1"/>
  <c r="X21" i="8" s="1"/>
  <c r="W21" i="8"/>
  <c r="V21" i="8" a="1"/>
  <c r="V21" i="8" s="1"/>
  <c r="U21" i="8" a="1"/>
  <c r="U21" i="8" s="1"/>
  <c r="U55" i="8" s="1"/>
  <c r="H21" i="8" a="1"/>
  <c r="H21" i="8" s="1"/>
  <c r="D55" i="8" s="1"/>
  <c r="G21" i="8" a="1"/>
  <c r="G21" i="8" s="1"/>
  <c r="F21" i="8" a="1"/>
  <c r="F21" i="8" s="1"/>
  <c r="E21" i="8"/>
  <c r="D21" i="8" a="1"/>
  <c r="D21" i="8" s="1"/>
  <c r="C21" i="8" a="1"/>
  <c r="C21" i="8" s="1"/>
  <c r="C55" i="8" s="1"/>
  <c r="BS20" i="8" a="1"/>
  <c r="BS20" i="8" s="1"/>
  <c r="BO54" i="8" s="1"/>
  <c r="BR20" i="8" a="1"/>
  <c r="BR20" i="8" s="1"/>
  <c r="BQ20" i="8" a="1"/>
  <c r="BQ20" i="8" s="1"/>
  <c r="BP20" i="8"/>
  <c r="BO20" i="8" a="1"/>
  <c r="BO20" i="8" s="1"/>
  <c r="BN20" i="8" a="1"/>
  <c r="BN20" i="8" s="1"/>
  <c r="BN54" i="8" s="1"/>
  <c r="BJ20" i="8" a="1"/>
  <c r="BJ20" i="8" s="1"/>
  <c r="BF54" i="8" s="1"/>
  <c r="BI20" i="8" a="1"/>
  <c r="BI20" i="8" s="1"/>
  <c r="BH20" i="8" a="1"/>
  <c r="BH20" i="8" s="1"/>
  <c r="BG20" i="8"/>
  <c r="BF20" i="8" a="1"/>
  <c r="BF20" i="8" s="1"/>
  <c r="BE20" i="8" a="1"/>
  <c r="BE20" i="8" s="1"/>
  <c r="BE54" i="8" s="1"/>
  <c r="BA20" i="8" a="1"/>
  <c r="BA20" i="8" s="1"/>
  <c r="AW54" i="8" s="1"/>
  <c r="AZ20" i="8" a="1"/>
  <c r="AZ20" i="8" s="1"/>
  <c r="AY20" i="8" a="1"/>
  <c r="AY20" i="8" s="1"/>
  <c r="AX20" i="8"/>
  <c r="AW20" i="8" a="1"/>
  <c r="AW20" i="8" s="1"/>
  <c r="AV20" i="8" a="1"/>
  <c r="AV20" i="8" s="1"/>
  <c r="AV54" i="8" s="1"/>
  <c r="AR20" i="8" a="1"/>
  <c r="AR20" i="8" s="1"/>
  <c r="AN54" i="8" s="1"/>
  <c r="AQ20" i="8" a="1"/>
  <c r="AQ20" i="8" s="1"/>
  <c r="AP20" i="8" a="1"/>
  <c r="AP20" i="8" s="1"/>
  <c r="AO20" i="8"/>
  <c r="AN20" i="8" a="1"/>
  <c r="AN20" i="8" s="1"/>
  <c r="AM20" i="8" a="1"/>
  <c r="AM20" i="8" s="1"/>
  <c r="AM54" i="8" s="1"/>
  <c r="AI20" i="8" a="1"/>
  <c r="AI20" i="8" s="1"/>
  <c r="AE54" i="8" s="1"/>
  <c r="AH20" i="8" a="1"/>
  <c r="AH20" i="8" s="1"/>
  <c r="AG20" i="8" a="1"/>
  <c r="AG20" i="8" s="1"/>
  <c r="AF20" i="8"/>
  <c r="AE20" i="8" a="1"/>
  <c r="AE20" i="8" s="1"/>
  <c r="AD20" i="8" a="1"/>
  <c r="AD20" i="8" s="1"/>
  <c r="AD54" i="8" s="1"/>
  <c r="Z20" i="8" a="1"/>
  <c r="Z20" i="8" s="1"/>
  <c r="V54" i="8" s="1"/>
  <c r="Y20" i="8" a="1"/>
  <c r="Y20" i="8" s="1"/>
  <c r="X20" i="8" a="1"/>
  <c r="X20" i="8" s="1"/>
  <c r="W20" i="8"/>
  <c r="V20" i="8" a="1"/>
  <c r="V20" i="8" s="1"/>
  <c r="U20" i="8" a="1"/>
  <c r="U20" i="8" s="1"/>
  <c r="U54" i="8" s="1"/>
  <c r="H20" i="8" a="1"/>
  <c r="H20" i="8" s="1"/>
  <c r="D54" i="8" s="1"/>
  <c r="G20" i="8" a="1"/>
  <c r="G20" i="8" s="1"/>
  <c r="F20" i="8" a="1"/>
  <c r="F20" i="8" s="1"/>
  <c r="E20" i="8"/>
  <c r="D20" i="8" a="1"/>
  <c r="D20" i="8" s="1"/>
  <c r="C20" i="8" a="1"/>
  <c r="C20" i="8" s="1"/>
  <c r="C54" i="8" s="1"/>
  <c r="BS19" i="8" a="1"/>
  <c r="BS19" i="8" s="1"/>
  <c r="BO53" i="8" s="1"/>
  <c r="BR19" i="8" a="1"/>
  <c r="BR19" i="8" s="1"/>
  <c r="BQ19" i="8" a="1"/>
  <c r="BQ19" i="8" s="1"/>
  <c r="BP19" i="8"/>
  <c r="BO19" i="8" a="1"/>
  <c r="BO19" i="8" s="1"/>
  <c r="BN19" i="8" a="1"/>
  <c r="BN19" i="8" s="1"/>
  <c r="BN53" i="8" s="1"/>
  <c r="BJ19" i="8" a="1"/>
  <c r="BJ19" i="8" s="1"/>
  <c r="BF53" i="8" s="1"/>
  <c r="BI19" i="8" a="1"/>
  <c r="BI19" i="8" s="1"/>
  <c r="BH19" i="8" a="1"/>
  <c r="BH19" i="8" s="1"/>
  <c r="BG19" i="8"/>
  <c r="BF19" i="8" a="1"/>
  <c r="BF19" i="8" s="1"/>
  <c r="BE19" i="8" a="1"/>
  <c r="BE19" i="8" s="1"/>
  <c r="BE53" i="8" s="1"/>
  <c r="BA19" i="8" a="1"/>
  <c r="BA19" i="8" s="1"/>
  <c r="AW53" i="8" s="1"/>
  <c r="AZ19" i="8" a="1"/>
  <c r="AZ19" i="8" s="1"/>
  <c r="AY19" i="8" a="1"/>
  <c r="AY19" i="8" s="1"/>
  <c r="AX19" i="8"/>
  <c r="AW19" i="8" a="1"/>
  <c r="AW19" i="8" s="1"/>
  <c r="AV19" i="8" a="1"/>
  <c r="AV19" i="8" s="1"/>
  <c r="AV53" i="8" s="1"/>
  <c r="AR19" i="8" a="1"/>
  <c r="AR19" i="8" s="1"/>
  <c r="AN53" i="8" s="1"/>
  <c r="AQ19" i="8" a="1"/>
  <c r="AQ19" i="8" s="1"/>
  <c r="AP19" i="8" a="1"/>
  <c r="AP19" i="8" s="1"/>
  <c r="AO19" i="8"/>
  <c r="AN19" i="8" a="1"/>
  <c r="AN19" i="8" s="1"/>
  <c r="AM19" i="8" a="1"/>
  <c r="AM19" i="8" s="1"/>
  <c r="AM53" i="8" s="1"/>
  <c r="AI19" i="8" a="1"/>
  <c r="AI19" i="8" s="1"/>
  <c r="AE53" i="8" s="1"/>
  <c r="AH19" i="8" a="1"/>
  <c r="AH19" i="8" s="1"/>
  <c r="AG19" i="8" a="1"/>
  <c r="AG19" i="8" s="1"/>
  <c r="AF19" i="8"/>
  <c r="AE19" i="8" a="1"/>
  <c r="AE19" i="8" s="1"/>
  <c r="AD19" i="8" a="1"/>
  <c r="AD19" i="8" s="1"/>
  <c r="AD53" i="8" s="1"/>
  <c r="Z19" i="8" a="1"/>
  <c r="Z19" i="8" s="1"/>
  <c r="V53" i="8" s="1"/>
  <c r="Y19" i="8" a="1"/>
  <c r="Y19" i="8" s="1"/>
  <c r="X19" i="8" a="1"/>
  <c r="X19" i="8" s="1"/>
  <c r="W19" i="8"/>
  <c r="V19" i="8" a="1"/>
  <c r="V19" i="8" s="1"/>
  <c r="U19" i="8" a="1"/>
  <c r="U19" i="8" s="1"/>
  <c r="U53" i="8" s="1"/>
  <c r="H19" i="8" a="1"/>
  <c r="H19" i="8" s="1"/>
  <c r="D53" i="8" s="1"/>
  <c r="G19" i="8" a="1"/>
  <c r="G19" i="8" s="1"/>
  <c r="F19" i="8" a="1"/>
  <c r="F19" i="8" s="1"/>
  <c r="E19" i="8"/>
  <c r="D19" i="8" a="1"/>
  <c r="D19" i="8" s="1"/>
  <c r="C19" i="8" a="1"/>
  <c r="C19" i="8" s="1"/>
  <c r="C53" i="8" s="1"/>
  <c r="BS17" i="8" a="1"/>
  <c r="BS17" i="8" s="1"/>
  <c r="BO51" i="8" s="1"/>
  <c r="BR17" i="8" a="1"/>
  <c r="BR17" i="8" s="1"/>
  <c r="BQ17" i="8" a="1"/>
  <c r="BQ17" i="8" s="1"/>
  <c r="BP17" i="8"/>
  <c r="BO17" i="8" a="1"/>
  <c r="BO17" i="8" s="1"/>
  <c r="BN17" i="8" a="1"/>
  <c r="BN17" i="8" s="1"/>
  <c r="BN51" i="8" s="1"/>
  <c r="BJ17" i="8" a="1"/>
  <c r="BJ17" i="8" s="1"/>
  <c r="BF51" i="8" s="1"/>
  <c r="BI17" i="8" a="1"/>
  <c r="BI17" i="8" s="1"/>
  <c r="BH17" i="8" a="1"/>
  <c r="BH17" i="8" s="1"/>
  <c r="BG17" i="8"/>
  <c r="BF17" i="8" a="1"/>
  <c r="BF17" i="8" s="1"/>
  <c r="BE17" i="8" a="1"/>
  <c r="BE17" i="8" s="1"/>
  <c r="BE51" i="8" s="1"/>
  <c r="BA17" i="8" a="1"/>
  <c r="BA17" i="8" s="1"/>
  <c r="AW51" i="8" s="1"/>
  <c r="AZ17" i="8" a="1"/>
  <c r="AZ17" i="8" s="1"/>
  <c r="AY17" i="8" a="1"/>
  <c r="AY17" i="8" s="1"/>
  <c r="AX17" i="8"/>
  <c r="AW17" i="8" a="1"/>
  <c r="AW17" i="8" s="1"/>
  <c r="AV17" i="8" a="1"/>
  <c r="AV17" i="8" s="1"/>
  <c r="AV51" i="8" s="1"/>
  <c r="AO17" i="8"/>
  <c r="AI17" i="8" a="1"/>
  <c r="AI17" i="8" s="1"/>
  <c r="AE51" i="8" s="1"/>
  <c r="AH17" i="8" a="1"/>
  <c r="AH17" i="8" s="1"/>
  <c r="AG17" i="8" a="1"/>
  <c r="AG17" i="8" s="1"/>
  <c r="AF17" i="8"/>
  <c r="AE17" i="8" a="1"/>
  <c r="AE17" i="8" s="1"/>
  <c r="AD17" i="8" a="1"/>
  <c r="AD17" i="8" s="1"/>
  <c r="AD51" i="8" s="1"/>
  <c r="Z17" i="8" a="1"/>
  <c r="Z17" i="8" s="1"/>
  <c r="V51" i="8" s="1"/>
  <c r="Y17" i="8" a="1"/>
  <c r="Y17" i="8" s="1"/>
  <c r="X17" i="8" a="1"/>
  <c r="X17" i="8" s="1"/>
  <c r="W17" i="8"/>
  <c r="V17" i="8" a="1"/>
  <c r="V17" i="8" s="1"/>
  <c r="U17" i="8" a="1"/>
  <c r="U17" i="8" s="1"/>
  <c r="U51" i="8" s="1"/>
  <c r="H17" i="8" a="1"/>
  <c r="H17" i="8" s="1"/>
  <c r="D51" i="8" s="1"/>
  <c r="G17" i="8" a="1"/>
  <c r="G17" i="8" s="1"/>
  <c r="F17" i="8" a="1"/>
  <c r="F17" i="8" s="1"/>
  <c r="E17" i="8"/>
  <c r="D17" i="8" a="1"/>
  <c r="D17" i="8" s="1"/>
  <c r="C17" i="8" a="1"/>
  <c r="C17" i="8" s="1"/>
  <c r="C51" i="8" s="1"/>
  <c r="BS16" i="8" a="1"/>
  <c r="BS16" i="8" s="1"/>
  <c r="BO50" i="8" s="1"/>
  <c r="BR16" i="8" a="1"/>
  <c r="BR16" i="8" s="1"/>
  <c r="BQ16" i="8" a="1"/>
  <c r="BQ16" i="8" s="1"/>
  <c r="BP16" i="8"/>
  <c r="BO16" i="8" a="1"/>
  <c r="BO16" i="8" s="1"/>
  <c r="BN16" i="8" a="1"/>
  <c r="BN16" i="8" s="1"/>
  <c r="BN50" i="8" s="1"/>
  <c r="BJ16" i="8" a="1"/>
  <c r="BJ16" i="8" s="1"/>
  <c r="BF50" i="8" s="1"/>
  <c r="BI16" i="8" a="1"/>
  <c r="BI16" i="8" s="1"/>
  <c r="BH16" i="8" a="1"/>
  <c r="BH16" i="8" s="1"/>
  <c r="BG16" i="8"/>
  <c r="BF16" i="8" a="1"/>
  <c r="BF16" i="8" s="1"/>
  <c r="BE16" i="8" a="1"/>
  <c r="BE16" i="8" s="1"/>
  <c r="BE50" i="8" s="1"/>
  <c r="BA16" i="8" a="1"/>
  <c r="BA16" i="8" s="1"/>
  <c r="AW50" i="8" s="1"/>
  <c r="AZ16" i="8" a="1"/>
  <c r="AZ16" i="8" s="1"/>
  <c r="AY16" i="8" a="1"/>
  <c r="AY16" i="8" s="1"/>
  <c r="AX16" i="8"/>
  <c r="AW16" i="8" a="1"/>
  <c r="AW16" i="8" s="1"/>
  <c r="AV16" i="8" a="1"/>
  <c r="AV16" i="8" s="1"/>
  <c r="AV50" i="8" s="1"/>
  <c r="AR16" i="8" a="1"/>
  <c r="AR16" i="8" s="1"/>
  <c r="AN50" i="8" s="1"/>
  <c r="AQ16" i="8" a="1"/>
  <c r="AQ16" i="8" s="1"/>
  <c r="AP16" i="8" a="1"/>
  <c r="AP16" i="8" s="1"/>
  <c r="AO16" i="8"/>
  <c r="AN16" i="8" a="1"/>
  <c r="AN16" i="8" s="1"/>
  <c r="AM16" i="8" a="1"/>
  <c r="AM16" i="8" s="1"/>
  <c r="AM50" i="8" s="1"/>
  <c r="AI16" i="8" a="1"/>
  <c r="AI16" i="8" s="1"/>
  <c r="AE50" i="8" s="1"/>
  <c r="AH16" i="8" a="1"/>
  <c r="AH16" i="8" s="1"/>
  <c r="AG16" i="8" a="1"/>
  <c r="AG16" i="8" s="1"/>
  <c r="AF16" i="8"/>
  <c r="AE16" i="8" a="1"/>
  <c r="AE16" i="8" s="1"/>
  <c r="AD16" i="8" a="1"/>
  <c r="AD16" i="8" s="1"/>
  <c r="AD50" i="8" s="1"/>
  <c r="Z16" i="8" a="1"/>
  <c r="Z16" i="8" s="1"/>
  <c r="V50" i="8" s="1"/>
  <c r="Y16" i="8" a="1"/>
  <c r="Y16" i="8" s="1"/>
  <c r="X16" i="8" a="1"/>
  <c r="X16" i="8" s="1"/>
  <c r="W16" i="8"/>
  <c r="V16" i="8" a="1"/>
  <c r="V16" i="8" s="1"/>
  <c r="U16" i="8" a="1"/>
  <c r="U16" i="8" s="1"/>
  <c r="U50" i="8" s="1"/>
  <c r="H16" i="8" a="1"/>
  <c r="H16" i="8" s="1"/>
  <c r="D50" i="8" s="1"/>
  <c r="G16" i="8" a="1"/>
  <c r="G16" i="8" s="1"/>
  <c r="F16" i="8" a="1"/>
  <c r="F16" i="8" s="1"/>
  <c r="E16" i="8"/>
  <c r="D16" i="8" a="1"/>
  <c r="D16" i="8" s="1"/>
  <c r="C16" i="8" a="1"/>
  <c r="C16" i="8" s="1"/>
  <c r="C50" i="8" s="1"/>
  <c r="BS15" i="8" a="1"/>
  <c r="BS15" i="8" s="1"/>
  <c r="BO49" i="8" s="1"/>
  <c r="BR15" i="8" a="1"/>
  <c r="BR15" i="8" s="1"/>
  <c r="BQ15" i="8" a="1"/>
  <c r="BQ15" i="8" s="1"/>
  <c r="BP15" i="8"/>
  <c r="BO15" i="8" a="1"/>
  <c r="BO15" i="8" s="1"/>
  <c r="BN15" i="8" a="1"/>
  <c r="BN15" i="8" s="1"/>
  <c r="BN49" i="8" s="1"/>
  <c r="BJ15" i="8" a="1"/>
  <c r="BJ15" i="8" s="1"/>
  <c r="BF49" i="8" s="1"/>
  <c r="BI15" i="8" a="1"/>
  <c r="BI15" i="8" s="1"/>
  <c r="BH15" i="8" a="1"/>
  <c r="BH15" i="8" s="1"/>
  <c r="BG15" i="8"/>
  <c r="BF15" i="8" a="1"/>
  <c r="BF15" i="8" s="1"/>
  <c r="BE15" i="8" a="1"/>
  <c r="BE15" i="8" s="1"/>
  <c r="BE49" i="8" s="1"/>
  <c r="BA15" i="8" a="1"/>
  <c r="BA15" i="8" s="1"/>
  <c r="AW49" i="8" s="1"/>
  <c r="AZ15" i="8" a="1"/>
  <c r="AZ15" i="8" s="1"/>
  <c r="AY15" i="8" a="1"/>
  <c r="AY15" i="8" s="1"/>
  <c r="AX15" i="8"/>
  <c r="AW15" i="8" a="1"/>
  <c r="AW15" i="8" s="1"/>
  <c r="AV15" i="8" a="1"/>
  <c r="AV15" i="8" s="1"/>
  <c r="AV49" i="8" s="1"/>
  <c r="AR15" i="8" a="1"/>
  <c r="AR15" i="8" s="1"/>
  <c r="AN49" i="8" s="1"/>
  <c r="AQ15" i="8" a="1"/>
  <c r="AQ15" i="8" s="1"/>
  <c r="AP15" i="8" a="1"/>
  <c r="AP15" i="8" s="1"/>
  <c r="AO15" i="8"/>
  <c r="AN15" i="8" a="1"/>
  <c r="AN15" i="8" s="1"/>
  <c r="AM15" i="8" a="1"/>
  <c r="AM15" i="8" s="1"/>
  <c r="AM49" i="8" s="1"/>
  <c r="AI15" i="8" a="1"/>
  <c r="AI15" i="8" s="1"/>
  <c r="AE49" i="8" s="1"/>
  <c r="AH15" i="8" a="1"/>
  <c r="AH15" i="8" s="1"/>
  <c r="AG15" i="8" a="1"/>
  <c r="AG15" i="8" s="1"/>
  <c r="AF15" i="8"/>
  <c r="AE15" i="8" a="1"/>
  <c r="AE15" i="8" s="1"/>
  <c r="AD15" i="8" a="1"/>
  <c r="AD15" i="8" s="1"/>
  <c r="AD49" i="8" s="1"/>
  <c r="Z15" i="8" a="1"/>
  <c r="Z15" i="8" s="1"/>
  <c r="V49" i="8" s="1"/>
  <c r="Y15" i="8" a="1"/>
  <c r="Y15" i="8" s="1"/>
  <c r="X15" i="8" a="1"/>
  <c r="X15" i="8" s="1"/>
  <c r="W15" i="8"/>
  <c r="V15" i="8" a="1"/>
  <c r="V15" i="8" s="1"/>
  <c r="U15" i="8" a="1"/>
  <c r="U15" i="8" s="1"/>
  <c r="U49" i="8" s="1"/>
  <c r="H15" i="8" a="1"/>
  <c r="H15" i="8" s="1"/>
  <c r="D49" i="8" s="1"/>
  <c r="G15" i="8" a="1"/>
  <c r="G15" i="8" s="1"/>
  <c r="F15" i="8" a="1"/>
  <c r="F15" i="8" s="1"/>
  <c r="E15" i="8"/>
  <c r="D15" i="8" a="1"/>
  <c r="D15" i="8" s="1"/>
  <c r="C15" i="8" a="1"/>
  <c r="C15" i="8" s="1"/>
  <c r="C49" i="8" s="1"/>
  <c r="BS14" i="8" a="1"/>
  <c r="BS14" i="8" s="1"/>
  <c r="BO48" i="8" s="1"/>
  <c r="BR14" i="8" a="1"/>
  <c r="BR14" i="8" s="1"/>
  <c r="BQ14" i="8" a="1"/>
  <c r="BQ14" i="8" s="1"/>
  <c r="BP14" i="8"/>
  <c r="BO14" i="8" a="1"/>
  <c r="BO14" i="8" s="1"/>
  <c r="BN14" i="8" a="1"/>
  <c r="BN14" i="8" s="1"/>
  <c r="BN48" i="8" s="1"/>
  <c r="BJ14" i="8" a="1"/>
  <c r="BJ14" i="8" s="1"/>
  <c r="BF48" i="8" s="1"/>
  <c r="BI14" i="8" a="1"/>
  <c r="BI14" i="8" s="1"/>
  <c r="BH14" i="8" a="1"/>
  <c r="BH14" i="8" s="1"/>
  <c r="BG14" i="8"/>
  <c r="BF14" i="8" a="1"/>
  <c r="BF14" i="8" s="1"/>
  <c r="BE14" i="8" a="1"/>
  <c r="BE14" i="8" s="1"/>
  <c r="BE48" i="8" s="1"/>
  <c r="BA14" i="8" a="1"/>
  <c r="BA14" i="8" s="1"/>
  <c r="AW48" i="8" s="1"/>
  <c r="AZ14" i="8" a="1"/>
  <c r="AZ14" i="8" s="1"/>
  <c r="AY14" i="8" a="1"/>
  <c r="AY14" i="8" s="1"/>
  <c r="AX14" i="8"/>
  <c r="AW14" i="8" a="1"/>
  <c r="AW14" i="8" s="1"/>
  <c r="AV14" i="8" a="1"/>
  <c r="AV14" i="8" s="1"/>
  <c r="AV48" i="8" s="1"/>
  <c r="AR14" i="8" a="1"/>
  <c r="AR14" i="8" s="1"/>
  <c r="AN48" i="8" s="1"/>
  <c r="AQ14" i="8" a="1"/>
  <c r="AQ14" i="8" s="1"/>
  <c r="AP14" i="8" a="1"/>
  <c r="AP14" i="8" s="1"/>
  <c r="AO14" i="8"/>
  <c r="AN14" i="8" a="1"/>
  <c r="AN14" i="8" s="1"/>
  <c r="AM14" i="8" a="1"/>
  <c r="AM14" i="8" s="1"/>
  <c r="AM48" i="8" s="1"/>
  <c r="AI14" i="8" a="1"/>
  <c r="AI14" i="8" s="1"/>
  <c r="AE48" i="8" s="1"/>
  <c r="AH14" i="8" a="1"/>
  <c r="AH14" i="8" s="1"/>
  <c r="AG14" i="8" a="1"/>
  <c r="AG14" i="8" s="1"/>
  <c r="AF14" i="8"/>
  <c r="AE14" i="8" a="1"/>
  <c r="AE14" i="8" s="1"/>
  <c r="AD14" i="8" a="1"/>
  <c r="AD14" i="8" s="1"/>
  <c r="AD48" i="8" s="1"/>
  <c r="Z14" i="8" a="1"/>
  <c r="Z14" i="8" s="1"/>
  <c r="V48" i="8" s="1"/>
  <c r="Y14" i="8" a="1"/>
  <c r="Y14" i="8" s="1"/>
  <c r="X14" i="8" a="1"/>
  <c r="X14" i="8" s="1"/>
  <c r="W14" i="8"/>
  <c r="V14" i="8" a="1"/>
  <c r="V14" i="8" s="1"/>
  <c r="U14" i="8" a="1"/>
  <c r="U14" i="8" s="1"/>
  <c r="U48" i="8" s="1"/>
  <c r="H14" i="8" a="1"/>
  <c r="H14" i="8" s="1"/>
  <c r="D48" i="8" s="1"/>
  <c r="G14" i="8" a="1"/>
  <c r="G14" i="8" s="1"/>
  <c r="F14" i="8" a="1"/>
  <c r="F14" i="8" s="1"/>
  <c r="E14" i="8"/>
  <c r="D14" i="8" a="1"/>
  <c r="D14" i="8" s="1"/>
  <c r="BS6" i="8" a="1"/>
  <c r="BS6" i="8" s="1"/>
  <c r="BO40" i="8" s="1"/>
  <c r="BR6" i="8" a="1"/>
  <c r="BR6" i="8" s="1"/>
  <c r="BQ6" i="8" a="1"/>
  <c r="BQ6" i="8" s="1"/>
  <c r="BP6" i="8"/>
  <c r="BO6" i="8" a="1"/>
  <c r="BO6" i="8" s="1"/>
  <c r="BN6" i="8" a="1"/>
  <c r="BN6" i="8" s="1"/>
  <c r="BN40" i="8" s="1"/>
  <c r="BJ6" i="8" a="1"/>
  <c r="BJ6" i="8" s="1"/>
  <c r="BF40" i="8" s="1"/>
  <c r="BI6" i="8" a="1"/>
  <c r="BI6" i="8" s="1"/>
  <c r="BH6" i="8" a="1"/>
  <c r="BH6" i="8" s="1"/>
  <c r="BG6" i="8"/>
  <c r="BF6" i="8" a="1"/>
  <c r="BF6" i="8" s="1"/>
  <c r="BE6" i="8" a="1"/>
  <c r="BE6" i="8" s="1"/>
  <c r="BE40" i="8" s="1"/>
  <c r="BA6" i="8" a="1"/>
  <c r="BA6" i="8" s="1"/>
  <c r="AW40" i="8" s="1"/>
  <c r="AZ6" i="8" a="1"/>
  <c r="AZ6" i="8" s="1"/>
  <c r="AY6" i="8" a="1"/>
  <c r="AY6" i="8" s="1"/>
  <c r="AX6" i="8"/>
  <c r="AW6" i="8" a="1"/>
  <c r="AW6" i="8" s="1"/>
  <c r="AV6" i="8" a="1"/>
  <c r="AV6" i="8" s="1"/>
  <c r="AV40" i="8" s="1"/>
  <c r="AR6" i="8" a="1"/>
  <c r="AR6" i="8" s="1"/>
  <c r="AN40" i="8" s="1"/>
  <c r="AQ6" i="8" a="1"/>
  <c r="AQ6" i="8" s="1"/>
  <c r="AP6" i="8" a="1"/>
  <c r="AP6" i="8" s="1"/>
  <c r="AO6" i="8"/>
  <c r="AN6" i="8" a="1"/>
  <c r="AN6" i="8" s="1"/>
  <c r="AM6" i="8" a="1"/>
  <c r="AM6" i="8" s="1"/>
  <c r="AM40" i="8" s="1"/>
  <c r="AI6" i="8" a="1"/>
  <c r="AI6" i="8" s="1"/>
  <c r="AE40" i="8" s="1"/>
  <c r="AH6" i="8" a="1"/>
  <c r="AH6" i="8" s="1"/>
  <c r="AG6" i="8" a="1"/>
  <c r="AG6" i="8" s="1"/>
  <c r="AF6" i="8"/>
  <c r="AE6" i="8" a="1"/>
  <c r="AE6" i="8" s="1"/>
  <c r="AD6" i="8" a="1"/>
  <c r="AD6" i="8" s="1"/>
  <c r="AD40" i="8" s="1"/>
  <c r="Z6" i="8" a="1"/>
  <c r="Z6" i="8" s="1"/>
  <c r="V40" i="8" s="1"/>
  <c r="Y6" i="8" a="1"/>
  <c r="Y6" i="8" s="1"/>
  <c r="X6" i="8" a="1"/>
  <c r="X6" i="8" s="1"/>
  <c r="W6" i="8"/>
  <c r="V6" i="8" a="1"/>
  <c r="V6" i="8" s="1"/>
  <c r="U6" i="8" a="1"/>
  <c r="U6" i="8" s="1"/>
  <c r="U40" i="8" s="1"/>
  <c r="H6" i="8" a="1"/>
  <c r="H6" i="8" s="1"/>
  <c r="D40" i="8" s="1"/>
  <c r="G6" i="8" a="1"/>
  <c r="G6" i="8" s="1"/>
  <c r="F6" i="8" a="1"/>
  <c r="F6" i="8" s="1"/>
  <c r="D6" i="8" a="1"/>
  <c r="D6" i="8" s="1"/>
  <c r="BS4" i="8" a="1"/>
  <c r="BS4" i="8" s="1"/>
  <c r="BO38" i="8" s="1"/>
  <c r="BR4" i="8" a="1"/>
  <c r="BR4" i="8" s="1"/>
  <c r="BQ4" i="8" a="1"/>
  <c r="BQ4" i="8" s="1"/>
  <c r="BP4" i="8"/>
  <c r="BO4" i="8" a="1"/>
  <c r="BO4" i="8" s="1"/>
  <c r="BN4" i="8" a="1"/>
  <c r="BN4" i="8" s="1"/>
  <c r="BN38" i="8" s="1"/>
  <c r="BJ4" i="8" a="1"/>
  <c r="BJ4" i="8" s="1"/>
  <c r="BF38" i="8" s="1"/>
  <c r="BI4" i="8" a="1"/>
  <c r="BI4" i="8" s="1"/>
  <c r="BH4" i="8" a="1"/>
  <c r="BH4" i="8" s="1"/>
  <c r="BG4" i="8"/>
  <c r="BF4" i="8" a="1"/>
  <c r="BF4" i="8" s="1"/>
  <c r="BE4" i="8" a="1"/>
  <c r="BE4" i="8" s="1"/>
  <c r="BE38" i="8" s="1"/>
  <c r="BA4" i="8" a="1"/>
  <c r="BA4" i="8" s="1"/>
  <c r="AW38" i="8" s="1"/>
  <c r="AZ4" i="8" a="1"/>
  <c r="AZ4" i="8" s="1"/>
  <c r="AY4" i="8" a="1"/>
  <c r="AY4" i="8" s="1"/>
  <c r="AX4" i="8"/>
  <c r="AW4" i="8" a="1"/>
  <c r="AW4" i="8" s="1"/>
  <c r="AV4" i="8" a="1"/>
  <c r="AV4" i="8" s="1"/>
  <c r="AV38" i="8" s="1"/>
  <c r="AR4" i="8" a="1"/>
  <c r="AR4" i="8" s="1"/>
  <c r="AN38" i="8" s="1"/>
  <c r="AQ4" i="8" a="1"/>
  <c r="AQ4" i="8" s="1"/>
  <c r="AP4" i="8" a="1"/>
  <c r="AP4" i="8" s="1"/>
  <c r="AO4" i="8"/>
  <c r="AN4" i="8" a="1"/>
  <c r="AN4" i="8" s="1"/>
  <c r="AM4" i="8" a="1"/>
  <c r="AM4" i="8" s="1"/>
  <c r="AM38" i="8" s="1"/>
  <c r="AI4" i="8" a="1"/>
  <c r="AI4" i="8" s="1"/>
  <c r="AE38" i="8" s="1"/>
  <c r="AH4" i="8" a="1"/>
  <c r="AH4" i="8" s="1"/>
  <c r="AG4" i="8" a="1"/>
  <c r="AG4" i="8" s="1"/>
  <c r="AF4" i="8"/>
  <c r="AE4" i="8" a="1"/>
  <c r="AE4" i="8" s="1"/>
  <c r="AD4" i="8" a="1"/>
  <c r="AD4" i="8" s="1"/>
  <c r="AD38" i="8" s="1"/>
  <c r="Z4" i="8" a="1"/>
  <c r="Z4" i="8" s="1"/>
  <c r="V38" i="8" s="1"/>
  <c r="Y4" i="8" a="1"/>
  <c r="Y4" i="8" s="1"/>
  <c r="X4" i="8" a="1"/>
  <c r="X4" i="8" s="1"/>
  <c r="W4" i="8"/>
  <c r="V4" i="8" a="1"/>
  <c r="V4" i="8" s="1"/>
  <c r="U4" i="8" a="1"/>
  <c r="U4" i="8" s="1"/>
  <c r="U38" i="8" s="1"/>
  <c r="H4" i="8" a="1"/>
  <c r="H4" i="8" s="1"/>
  <c r="D38" i="8" s="1"/>
  <c r="G4" i="8" a="1"/>
  <c r="G4" i="8" s="1"/>
  <c r="F4" i="8" a="1"/>
  <c r="F4" i="8" s="1"/>
  <c r="E4" i="8"/>
  <c r="D4" i="8" a="1"/>
  <c r="D4" i="8" s="1"/>
  <c r="C4" i="8" a="1"/>
  <c r="C4" i="8" s="1"/>
  <c r="C38" i="8" s="1"/>
  <c r="F79" i="7"/>
  <c r="F78" i="7"/>
  <c r="BS34" i="7" a="1"/>
  <c r="BS34" i="7" s="1"/>
  <c r="BO68" i="7" s="1"/>
  <c r="BR34" i="7" a="1"/>
  <c r="BR34" i="7" s="1"/>
  <c r="BQ34" i="7" a="1"/>
  <c r="BQ34" i="7" s="1"/>
  <c r="BP34" i="7"/>
  <c r="BO34" i="7" a="1"/>
  <c r="BO34" i="7" s="1"/>
  <c r="BN34" i="7" a="1"/>
  <c r="BN34" i="7" s="1"/>
  <c r="BN68" i="7" s="1"/>
  <c r="BJ34" i="7" a="1"/>
  <c r="BJ34" i="7" s="1"/>
  <c r="BF68" i="7" s="1"/>
  <c r="BI34" i="7" a="1"/>
  <c r="BI34" i="7" s="1"/>
  <c r="BH34" i="7" a="1"/>
  <c r="BH34" i="7" s="1"/>
  <c r="BG34" i="7"/>
  <c r="BF34" i="7" a="1"/>
  <c r="BF34" i="7" s="1"/>
  <c r="BE34" i="7" a="1"/>
  <c r="BE34" i="7" s="1"/>
  <c r="BE68" i="7" s="1"/>
  <c r="BA34" i="7" a="1"/>
  <c r="BA34" i="7" s="1"/>
  <c r="AW68" i="7" s="1"/>
  <c r="AZ34" i="7" a="1"/>
  <c r="AZ34" i="7" s="1"/>
  <c r="AY34" i="7" a="1"/>
  <c r="AY34" i="7" s="1"/>
  <c r="AX34" i="7"/>
  <c r="AW34" i="7" a="1"/>
  <c r="AW34" i="7" s="1"/>
  <c r="AV34" i="7" a="1"/>
  <c r="AV34" i="7" s="1"/>
  <c r="AV68" i="7" s="1"/>
  <c r="AR34" i="7" a="1"/>
  <c r="AR34" i="7" s="1"/>
  <c r="AN68" i="7" s="1"/>
  <c r="AQ34" i="7" a="1"/>
  <c r="AQ34" i="7" s="1"/>
  <c r="AP34" i="7" a="1"/>
  <c r="AP34" i="7" s="1"/>
  <c r="AO34" i="7"/>
  <c r="AN34" i="7" a="1"/>
  <c r="AN34" i="7" s="1"/>
  <c r="AM34" i="7" a="1"/>
  <c r="AM34" i="7" s="1"/>
  <c r="AM68" i="7" s="1"/>
  <c r="AI34" i="7" a="1"/>
  <c r="AI34" i="7" s="1"/>
  <c r="AE68" i="7" s="1"/>
  <c r="AH34" i="7" a="1"/>
  <c r="AH34" i="7" s="1"/>
  <c r="AG34" i="7" a="1"/>
  <c r="AG34" i="7" s="1"/>
  <c r="AF34" i="7"/>
  <c r="AE34" i="7" a="1"/>
  <c r="AE34" i="7" s="1"/>
  <c r="AD34" i="7" a="1"/>
  <c r="AD34" i="7" s="1"/>
  <c r="AD68" i="7" s="1"/>
  <c r="Z34" i="7" a="1"/>
  <c r="Z34" i="7" s="1"/>
  <c r="V68" i="7" s="1"/>
  <c r="Y34" i="7" a="1"/>
  <c r="Y34" i="7" s="1"/>
  <c r="X34" i="7" a="1"/>
  <c r="X34" i="7" s="1"/>
  <c r="W34" i="7"/>
  <c r="V34" i="7" a="1"/>
  <c r="V34" i="7" s="1"/>
  <c r="U34" i="7" a="1"/>
  <c r="U34" i="7" s="1"/>
  <c r="U68" i="7" s="1"/>
  <c r="H34" i="7" a="1"/>
  <c r="H34" i="7" s="1"/>
  <c r="D68" i="7" s="1"/>
  <c r="G34" i="7" a="1"/>
  <c r="G34" i="7" s="1"/>
  <c r="F34" i="7" a="1"/>
  <c r="F34" i="7" s="1"/>
  <c r="E34" i="7"/>
  <c r="D34" i="7" a="1"/>
  <c r="D34" i="7" s="1"/>
  <c r="C34" i="7" a="1"/>
  <c r="C34" i="7" s="1"/>
  <c r="C68" i="7" s="1"/>
  <c r="BS33" i="7" a="1"/>
  <c r="BS33" i="7" s="1"/>
  <c r="BO67" i="7" s="1"/>
  <c r="BR33" i="7" a="1"/>
  <c r="BR33" i="7" s="1"/>
  <c r="BQ33" i="7" a="1"/>
  <c r="BQ33" i="7" s="1"/>
  <c r="BP33" i="7"/>
  <c r="BO33" i="7" a="1"/>
  <c r="BO33" i="7" s="1"/>
  <c r="BN33" i="7" a="1"/>
  <c r="BN33" i="7" s="1"/>
  <c r="BN67" i="7" s="1"/>
  <c r="BJ33" i="7" a="1"/>
  <c r="BJ33" i="7" s="1"/>
  <c r="BF67" i="7" s="1"/>
  <c r="BI33" i="7" a="1"/>
  <c r="BI33" i="7" s="1"/>
  <c r="BH33" i="7" a="1"/>
  <c r="BH33" i="7" s="1"/>
  <c r="BG33" i="7"/>
  <c r="BF33" i="7" a="1"/>
  <c r="BF33" i="7" s="1"/>
  <c r="BE33" i="7" a="1"/>
  <c r="BE33" i="7" s="1"/>
  <c r="BE67" i="7" s="1"/>
  <c r="BA33" i="7" a="1"/>
  <c r="BA33" i="7" s="1"/>
  <c r="AW67" i="7" s="1"/>
  <c r="AZ33" i="7" a="1"/>
  <c r="AZ33" i="7" s="1"/>
  <c r="AY33" i="7" a="1"/>
  <c r="AY33" i="7" s="1"/>
  <c r="AX33" i="7"/>
  <c r="AW33" i="7" a="1"/>
  <c r="AW33" i="7" s="1"/>
  <c r="AV33" i="7" a="1"/>
  <c r="AV33" i="7" s="1"/>
  <c r="AV67" i="7" s="1"/>
  <c r="AR33" i="7" a="1"/>
  <c r="AR33" i="7" s="1"/>
  <c r="AN67" i="7" s="1"/>
  <c r="AQ33" i="7" a="1"/>
  <c r="AQ33" i="7" s="1"/>
  <c r="AP33" i="7" a="1"/>
  <c r="AP33" i="7" s="1"/>
  <c r="AO33" i="7"/>
  <c r="AN33" i="7" a="1"/>
  <c r="AN33" i="7" s="1"/>
  <c r="AM33" i="7" a="1"/>
  <c r="AM33" i="7" s="1"/>
  <c r="AM67" i="7" s="1"/>
  <c r="AI33" i="7" a="1"/>
  <c r="AI33" i="7" s="1"/>
  <c r="AE67" i="7" s="1"/>
  <c r="AH33" i="7" a="1"/>
  <c r="AH33" i="7" s="1"/>
  <c r="AG33" i="7" a="1"/>
  <c r="AG33" i="7" s="1"/>
  <c r="AF33" i="7"/>
  <c r="AE33" i="7" a="1"/>
  <c r="AE33" i="7" s="1"/>
  <c r="AD33" i="7" a="1"/>
  <c r="AD33" i="7" s="1"/>
  <c r="AD67" i="7" s="1"/>
  <c r="Z33" i="7" a="1"/>
  <c r="Z33" i="7" s="1"/>
  <c r="V67" i="7" s="1"/>
  <c r="Y33" i="7" a="1"/>
  <c r="Y33" i="7" s="1"/>
  <c r="X33" i="7" a="1"/>
  <c r="X33" i="7" s="1"/>
  <c r="W33" i="7"/>
  <c r="V33" i="7" a="1"/>
  <c r="V33" i="7" s="1"/>
  <c r="U33" i="7" a="1"/>
  <c r="U33" i="7" s="1"/>
  <c r="U67" i="7" s="1"/>
  <c r="H33" i="7" a="1"/>
  <c r="H33" i="7" s="1"/>
  <c r="D67" i="7" s="1"/>
  <c r="G33" i="7" a="1"/>
  <c r="G33" i="7" s="1"/>
  <c r="F33" i="7" a="1"/>
  <c r="F33" i="7" s="1"/>
  <c r="E33" i="7"/>
  <c r="D33" i="7" a="1"/>
  <c r="D33" i="7" s="1"/>
  <c r="C33" i="7" a="1"/>
  <c r="C33" i="7" s="1"/>
  <c r="C67" i="7" s="1"/>
  <c r="BS32" i="7" a="1"/>
  <c r="BS32" i="7" s="1"/>
  <c r="BO66" i="7" s="1"/>
  <c r="BR32" i="7" a="1"/>
  <c r="BR32" i="7" s="1"/>
  <c r="BQ32" i="7" a="1"/>
  <c r="BQ32" i="7" s="1"/>
  <c r="BP32" i="7"/>
  <c r="BO32" i="7" a="1"/>
  <c r="BO32" i="7" s="1"/>
  <c r="BN32" i="7" a="1"/>
  <c r="BN32" i="7" s="1"/>
  <c r="BN66" i="7" s="1"/>
  <c r="BJ32" i="7" a="1"/>
  <c r="BJ32" i="7" s="1"/>
  <c r="BF66" i="7" s="1"/>
  <c r="BI32" i="7" a="1"/>
  <c r="BI32" i="7" s="1"/>
  <c r="BH32" i="7" a="1"/>
  <c r="BH32" i="7" s="1"/>
  <c r="BG32" i="7"/>
  <c r="BF32" i="7" a="1"/>
  <c r="BF32" i="7" s="1"/>
  <c r="BE32" i="7" a="1"/>
  <c r="BE32" i="7" s="1"/>
  <c r="BE66" i="7" s="1"/>
  <c r="BA32" i="7" a="1"/>
  <c r="BA32" i="7" s="1"/>
  <c r="AW66" i="7" s="1"/>
  <c r="AZ32" i="7" a="1"/>
  <c r="AZ32" i="7" s="1"/>
  <c r="AY32" i="7" a="1"/>
  <c r="AY32" i="7" s="1"/>
  <c r="AX32" i="7"/>
  <c r="AW32" i="7" a="1"/>
  <c r="AW32" i="7" s="1"/>
  <c r="AV32" i="7" a="1"/>
  <c r="AV32" i="7" s="1"/>
  <c r="AV66" i="7" s="1"/>
  <c r="AR32" i="7" a="1"/>
  <c r="AR32" i="7" s="1"/>
  <c r="AN66" i="7" s="1"/>
  <c r="AQ32" i="7" a="1"/>
  <c r="AQ32" i="7" s="1"/>
  <c r="AP32" i="7" a="1"/>
  <c r="AP32" i="7" s="1"/>
  <c r="AO32" i="7"/>
  <c r="AN32" i="7" a="1"/>
  <c r="AN32" i="7" s="1"/>
  <c r="AM32" i="7" a="1"/>
  <c r="AM32" i="7" s="1"/>
  <c r="AM66" i="7" s="1"/>
  <c r="AI32" i="7" a="1"/>
  <c r="AI32" i="7" s="1"/>
  <c r="AE66" i="7" s="1"/>
  <c r="AH32" i="7" a="1"/>
  <c r="AH32" i="7" s="1"/>
  <c r="AG32" i="7" a="1"/>
  <c r="AG32" i="7" s="1"/>
  <c r="AF32" i="7"/>
  <c r="AE32" i="7" a="1"/>
  <c r="AE32" i="7" s="1"/>
  <c r="AD32" i="7" a="1"/>
  <c r="AD32" i="7" s="1"/>
  <c r="AD66" i="7" s="1"/>
  <c r="Z32" i="7" a="1"/>
  <c r="Z32" i="7" s="1"/>
  <c r="V66" i="7" s="1"/>
  <c r="Y32" i="7" a="1"/>
  <c r="Y32" i="7" s="1"/>
  <c r="X32" i="7" a="1"/>
  <c r="X32" i="7" s="1"/>
  <c r="W32" i="7"/>
  <c r="V32" i="7" a="1"/>
  <c r="V32" i="7" s="1"/>
  <c r="U32" i="7" a="1"/>
  <c r="U32" i="7" s="1"/>
  <c r="U66" i="7" s="1"/>
  <c r="H32" i="7" a="1"/>
  <c r="H32" i="7" s="1"/>
  <c r="D66" i="7" s="1"/>
  <c r="G32" i="7" a="1"/>
  <c r="G32" i="7" s="1"/>
  <c r="F32" i="7" a="1"/>
  <c r="F32" i="7" s="1"/>
  <c r="E32" i="7"/>
  <c r="D32" i="7" a="1"/>
  <c r="D32" i="7" s="1"/>
  <c r="C32" i="7" a="1"/>
  <c r="C32" i="7" s="1"/>
  <c r="C66" i="7" s="1"/>
  <c r="BS30" i="7" a="1"/>
  <c r="BS30" i="7" s="1"/>
  <c r="BO64" i="7" s="1"/>
  <c r="BR30" i="7" a="1"/>
  <c r="BR30" i="7" s="1"/>
  <c r="BQ30" i="7" a="1"/>
  <c r="BQ30" i="7" s="1"/>
  <c r="BP30" i="7"/>
  <c r="BO30" i="7" a="1"/>
  <c r="BO30" i="7" s="1"/>
  <c r="BN30" i="7" a="1"/>
  <c r="BN30" i="7" s="1"/>
  <c r="BN64" i="7" s="1"/>
  <c r="BJ30" i="7" a="1"/>
  <c r="BJ30" i="7" s="1"/>
  <c r="BF64" i="7" s="1"/>
  <c r="BI30" i="7" a="1"/>
  <c r="BI30" i="7" s="1"/>
  <c r="BH30" i="7" a="1"/>
  <c r="BH30" i="7" s="1"/>
  <c r="BG30" i="7"/>
  <c r="BF30" i="7" a="1"/>
  <c r="BF30" i="7" s="1"/>
  <c r="BE30" i="7" a="1"/>
  <c r="BE30" i="7" s="1"/>
  <c r="BE64" i="7" s="1"/>
  <c r="BA30" i="7" a="1"/>
  <c r="BA30" i="7" s="1"/>
  <c r="AW64" i="7" s="1"/>
  <c r="AZ30" i="7" a="1"/>
  <c r="AZ30" i="7" s="1"/>
  <c r="AY30" i="7" a="1"/>
  <c r="AY30" i="7" s="1"/>
  <c r="AX30" i="7"/>
  <c r="AW30" i="7" a="1"/>
  <c r="AW30" i="7" s="1"/>
  <c r="AV30" i="7" a="1"/>
  <c r="AV30" i="7" s="1"/>
  <c r="AV64" i="7" s="1"/>
  <c r="AR30" i="7" a="1"/>
  <c r="AR30" i="7" s="1"/>
  <c r="AN64" i="7" s="1"/>
  <c r="AQ30" i="7" a="1"/>
  <c r="AQ30" i="7" s="1"/>
  <c r="AP30" i="7" a="1"/>
  <c r="AP30" i="7" s="1"/>
  <c r="AO30" i="7"/>
  <c r="AN30" i="7" a="1"/>
  <c r="AN30" i="7" s="1"/>
  <c r="AM30" i="7" a="1"/>
  <c r="AM30" i="7" s="1"/>
  <c r="AM64" i="7" s="1"/>
  <c r="AI30" i="7" a="1"/>
  <c r="AI30" i="7" s="1"/>
  <c r="AE64" i="7" s="1"/>
  <c r="AH30" i="7" a="1"/>
  <c r="AH30" i="7" s="1"/>
  <c r="AG30" i="7" a="1"/>
  <c r="AG30" i="7" s="1"/>
  <c r="AF30" i="7"/>
  <c r="AE30" i="7" a="1"/>
  <c r="AE30" i="7" s="1"/>
  <c r="AD30" i="7" a="1"/>
  <c r="AD30" i="7" s="1"/>
  <c r="AD64" i="7" s="1"/>
  <c r="Z30" i="7" a="1"/>
  <c r="Z30" i="7" s="1"/>
  <c r="V64" i="7" s="1"/>
  <c r="Y30" i="7" a="1"/>
  <c r="Y30" i="7" s="1"/>
  <c r="X30" i="7" a="1"/>
  <c r="X30" i="7" s="1"/>
  <c r="W30" i="7"/>
  <c r="V30" i="7" a="1"/>
  <c r="V30" i="7" s="1"/>
  <c r="U30" i="7" a="1"/>
  <c r="U30" i="7" s="1"/>
  <c r="U64" i="7" s="1"/>
  <c r="H30" i="7" a="1"/>
  <c r="H30" i="7" s="1"/>
  <c r="D64" i="7" s="1"/>
  <c r="D76" i="7" s="1"/>
  <c r="G30" i="7" a="1"/>
  <c r="G30" i="7" s="1"/>
  <c r="F30" i="7" a="1"/>
  <c r="F30" i="7" s="1"/>
  <c r="E30" i="7"/>
  <c r="D30" i="7" a="1"/>
  <c r="D30" i="7" s="1"/>
  <c r="C30" i="7" a="1"/>
  <c r="C30" i="7" s="1"/>
  <c r="C64" i="7" s="1"/>
  <c r="C76" i="7" s="1"/>
  <c r="BS29" i="7" a="1"/>
  <c r="BS29" i="7" s="1"/>
  <c r="BO63" i="7" s="1"/>
  <c r="BR29" i="7" a="1"/>
  <c r="BR29" i="7" s="1"/>
  <c r="BQ29" i="7" a="1"/>
  <c r="BQ29" i="7" s="1"/>
  <c r="BP29" i="7"/>
  <c r="BO29" i="7" a="1"/>
  <c r="BO29" i="7" s="1"/>
  <c r="BN29" i="7" a="1"/>
  <c r="BN29" i="7" s="1"/>
  <c r="BN63" i="7" s="1"/>
  <c r="BJ29" i="7" a="1"/>
  <c r="BJ29" i="7" s="1"/>
  <c r="BF63" i="7" s="1"/>
  <c r="BI29" i="7" a="1"/>
  <c r="BI29" i="7" s="1"/>
  <c r="BH29" i="7" a="1"/>
  <c r="BH29" i="7" s="1"/>
  <c r="BG29" i="7"/>
  <c r="BF29" i="7" a="1"/>
  <c r="BF29" i="7" s="1"/>
  <c r="BE29" i="7" a="1"/>
  <c r="BE29" i="7" s="1"/>
  <c r="BE63" i="7" s="1"/>
  <c r="BA29" i="7" a="1"/>
  <c r="BA29" i="7" s="1"/>
  <c r="AW63" i="7" s="1"/>
  <c r="AZ29" i="7" a="1"/>
  <c r="AZ29" i="7" s="1"/>
  <c r="AY29" i="7" a="1"/>
  <c r="AY29" i="7" s="1"/>
  <c r="AX29" i="7"/>
  <c r="AW29" i="7" a="1"/>
  <c r="AW29" i="7" s="1"/>
  <c r="AV29" i="7" a="1"/>
  <c r="AV29" i="7" s="1"/>
  <c r="AV63" i="7" s="1"/>
  <c r="AR29" i="7" a="1"/>
  <c r="AR29" i="7" s="1"/>
  <c r="AN63" i="7" s="1"/>
  <c r="AQ29" i="7" a="1"/>
  <c r="AQ29" i="7" s="1"/>
  <c r="AP29" i="7" a="1"/>
  <c r="AP29" i="7" s="1"/>
  <c r="AO29" i="7"/>
  <c r="AN29" i="7" a="1"/>
  <c r="AN29" i="7" s="1"/>
  <c r="AM29" i="7" a="1"/>
  <c r="AM29" i="7" s="1"/>
  <c r="AM63" i="7" s="1"/>
  <c r="AI29" i="7" a="1"/>
  <c r="AI29" i="7" s="1"/>
  <c r="AE63" i="7" s="1"/>
  <c r="AH29" i="7" a="1"/>
  <c r="AH29" i="7" s="1"/>
  <c r="AG29" i="7" a="1"/>
  <c r="AG29" i="7" s="1"/>
  <c r="AF29" i="7"/>
  <c r="AE29" i="7" a="1"/>
  <c r="AE29" i="7" s="1"/>
  <c r="AD29" i="7" a="1"/>
  <c r="AD29" i="7" s="1"/>
  <c r="AD63" i="7" s="1"/>
  <c r="Z29" i="7" a="1"/>
  <c r="Z29" i="7" s="1"/>
  <c r="V63" i="7" s="1"/>
  <c r="Y29" i="7" a="1"/>
  <c r="Y29" i="7" s="1"/>
  <c r="X29" i="7" a="1"/>
  <c r="X29" i="7" s="1"/>
  <c r="W29" i="7"/>
  <c r="V29" i="7" a="1"/>
  <c r="V29" i="7" s="1"/>
  <c r="U29" i="7" a="1"/>
  <c r="U29" i="7" s="1"/>
  <c r="U63" i="7" s="1"/>
  <c r="H29" i="7" a="1"/>
  <c r="H29" i="7" s="1"/>
  <c r="D63" i="7" s="1"/>
  <c r="D75" i="7" s="1"/>
  <c r="G29" i="7" a="1"/>
  <c r="G29" i="7" s="1"/>
  <c r="F29" i="7" a="1"/>
  <c r="F29" i="7" s="1"/>
  <c r="E29" i="7"/>
  <c r="D29" i="7" a="1"/>
  <c r="D29" i="7" s="1"/>
  <c r="C29" i="7" a="1"/>
  <c r="C29" i="7" s="1"/>
  <c r="C63" i="7" s="1"/>
  <c r="C75" i="7" s="1"/>
  <c r="BS22" i="7" a="1"/>
  <c r="BS22" i="7" s="1"/>
  <c r="BO56" i="7" s="1"/>
  <c r="BR22" i="7" a="1"/>
  <c r="BR22" i="7" s="1"/>
  <c r="BQ22" i="7" a="1"/>
  <c r="BQ22" i="7" s="1"/>
  <c r="BP22" i="7"/>
  <c r="BO22" i="7" a="1"/>
  <c r="BO22" i="7" s="1"/>
  <c r="BN22" i="7" a="1"/>
  <c r="BN22" i="7" s="1"/>
  <c r="BN56" i="7" s="1"/>
  <c r="BJ22" i="7" a="1"/>
  <c r="BJ22" i="7" s="1"/>
  <c r="BF56" i="7" s="1"/>
  <c r="BI22" i="7" a="1"/>
  <c r="BI22" i="7" s="1"/>
  <c r="BH22" i="7" a="1"/>
  <c r="BH22" i="7" s="1"/>
  <c r="BG22" i="7"/>
  <c r="BF22" i="7" a="1"/>
  <c r="BF22" i="7" s="1"/>
  <c r="BE22" i="7" a="1"/>
  <c r="BE22" i="7" s="1"/>
  <c r="BE56" i="7" s="1"/>
  <c r="BA22" i="7" a="1"/>
  <c r="BA22" i="7" s="1"/>
  <c r="AW56" i="7" s="1"/>
  <c r="AZ22" i="7" a="1"/>
  <c r="AZ22" i="7" s="1"/>
  <c r="AY22" i="7" a="1"/>
  <c r="AY22" i="7" s="1"/>
  <c r="AX22" i="7"/>
  <c r="AW22" i="7" a="1"/>
  <c r="AW22" i="7" s="1"/>
  <c r="AV22" i="7" a="1"/>
  <c r="AV22" i="7" s="1"/>
  <c r="AV56" i="7" s="1"/>
  <c r="AR22" i="7" a="1"/>
  <c r="AR22" i="7" s="1"/>
  <c r="AN56" i="7" s="1"/>
  <c r="AQ22" i="7" a="1"/>
  <c r="AQ22" i="7" s="1"/>
  <c r="AP22" i="7" a="1"/>
  <c r="AP22" i="7" s="1"/>
  <c r="AO22" i="7"/>
  <c r="AN22" i="7" a="1"/>
  <c r="AN22" i="7" s="1"/>
  <c r="AM22" i="7" a="1"/>
  <c r="AM22" i="7" s="1"/>
  <c r="AM56" i="7" s="1"/>
  <c r="AI22" i="7" a="1"/>
  <c r="AI22" i="7" s="1"/>
  <c r="AE56" i="7" s="1"/>
  <c r="AH22" i="7" a="1"/>
  <c r="AH22" i="7" s="1"/>
  <c r="AG22" i="7" a="1"/>
  <c r="AG22" i="7" s="1"/>
  <c r="AF22" i="7"/>
  <c r="AE22" i="7" a="1"/>
  <c r="AE22" i="7" s="1"/>
  <c r="AD22" i="7" a="1"/>
  <c r="AD22" i="7" s="1"/>
  <c r="AD56" i="7" s="1"/>
  <c r="Z22" i="7" a="1"/>
  <c r="Z22" i="7" s="1"/>
  <c r="V56" i="7" s="1"/>
  <c r="Y22" i="7" a="1"/>
  <c r="Y22" i="7" s="1"/>
  <c r="X22" i="7" a="1"/>
  <c r="X22" i="7" s="1"/>
  <c r="W22" i="7"/>
  <c r="V22" i="7" a="1"/>
  <c r="V22" i="7" s="1"/>
  <c r="U22" i="7" a="1"/>
  <c r="U22" i="7" s="1"/>
  <c r="U56" i="7" s="1"/>
  <c r="H22" i="7" a="1"/>
  <c r="H22" i="7" s="1"/>
  <c r="D56" i="7" s="1"/>
  <c r="G22" i="7" a="1"/>
  <c r="G22" i="7" s="1"/>
  <c r="F22" i="7" a="1"/>
  <c r="F22" i="7" s="1"/>
  <c r="E22" i="7"/>
  <c r="D22" i="7" a="1"/>
  <c r="D22" i="7" s="1"/>
  <c r="C22" i="7" a="1"/>
  <c r="C22" i="7" s="1"/>
  <c r="C56" i="7" s="1"/>
  <c r="BS21" i="7" a="1"/>
  <c r="BS21" i="7" s="1"/>
  <c r="BO55" i="7" s="1"/>
  <c r="BR21" i="7" a="1"/>
  <c r="BR21" i="7" s="1"/>
  <c r="BQ21" i="7" a="1"/>
  <c r="BQ21" i="7" s="1"/>
  <c r="BP21" i="7"/>
  <c r="BO21" i="7" a="1"/>
  <c r="BO21" i="7" s="1"/>
  <c r="BN21" i="7" a="1"/>
  <c r="BN21" i="7" s="1"/>
  <c r="BN55" i="7" s="1"/>
  <c r="BJ21" i="7" a="1"/>
  <c r="BJ21" i="7" s="1"/>
  <c r="BF55" i="7" s="1"/>
  <c r="BI21" i="7" a="1"/>
  <c r="BI21" i="7" s="1"/>
  <c r="BH21" i="7" a="1"/>
  <c r="BH21" i="7" s="1"/>
  <c r="BG21" i="7"/>
  <c r="BF21" i="7" a="1"/>
  <c r="BF21" i="7" s="1"/>
  <c r="BE21" i="7" a="1"/>
  <c r="BE21" i="7" s="1"/>
  <c r="BE55" i="7" s="1"/>
  <c r="BA21" i="7" a="1"/>
  <c r="BA21" i="7" s="1"/>
  <c r="AW55" i="7" s="1"/>
  <c r="AZ21" i="7" a="1"/>
  <c r="AZ21" i="7" s="1"/>
  <c r="AY21" i="7" a="1"/>
  <c r="AY21" i="7" s="1"/>
  <c r="AX21" i="7"/>
  <c r="AW21" i="7" a="1"/>
  <c r="AW21" i="7" s="1"/>
  <c r="AV21" i="7" a="1"/>
  <c r="AV21" i="7" s="1"/>
  <c r="AV55" i="7" s="1"/>
  <c r="AR21" i="7" a="1"/>
  <c r="AR21" i="7" s="1"/>
  <c r="AN55" i="7" s="1"/>
  <c r="AQ21" i="7" a="1"/>
  <c r="AQ21" i="7" s="1"/>
  <c r="AP21" i="7" a="1"/>
  <c r="AP21" i="7" s="1"/>
  <c r="AO21" i="7"/>
  <c r="AN21" i="7" a="1"/>
  <c r="AN21" i="7" s="1"/>
  <c r="AM21" i="7" a="1"/>
  <c r="AM21" i="7" s="1"/>
  <c r="AM55" i="7" s="1"/>
  <c r="AI21" i="7" a="1"/>
  <c r="AI21" i="7" s="1"/>
  <c r="AE55" i="7" s="1"/>
  <c r="AH21" i="7" a="1"/>
  <c r="AH21" i="7" s="1"/>
  <c r="AG21" i="7" a="1"/>
  <c r="AG21" i="7" s="1"/>
  <c r="AF21" i="7"/>
  <c r="AE21" i="7" a="1"/>
  <c r="AE21" i="7" s="1"/>
  <c r="AD21" i="7" a="1"/>
  <c r="AD21" i="7" s="1"/>
  <c r="AD55" i="7" s="1"/>
  <c r="Z21" i="7" a="1"/>
  <c r="Z21" i="7" s="1"/>
  <c r="V55" i="7" s="1"/>
  <c r="Y21" i="7" a="1"/>
  <c r="Y21" i="7" s="1"/>
  <c r="X21" i="7" a="1"/>
  <c r="X21" i="7" s="1"/>
  <c r="W21" i="7"/>
  <c r="V21" i="7" a="1"/>
  <c r="V21" i="7" s="1"/>
  <c r="U21" i="7" a="1"/>
  <c r="U21" i="7" s="1"/>
  <c r="U55" i="7" s="1"/>
  <c r="H21" i="7" a="1"/>
  <c r="H21" i="7" s="1"/>
  <c r="D55" i="7" s="1"/>
  <c r="G21" i="7" a="1"/>
  <c r="G21" i="7" s="1"/>
  <c r="F21" i="7" a="1"/>
  <c r="F21" i="7" s="1"/>
  <c r="E21" i="7"/>
  <c r="D21" i="7" a="1"/>
  <c r="D21" i="7" s="1"/>
  <c r="C21" i="7" a="1"/>
  <c r="C21" i="7" s="1"/>
  <c r="C55" i="7" s="1"/>
  <c r="BS20" i="7" a="1"/>
  <c r="BS20" i="7" s="1"/>
  <c r="BO54" i="7" s="1"/>
  <c r="BR20" i="7" a="1"/>
  <c r="BR20" i="7" s="1"/>
  <c r="BQ20" i="7" a="1"/>
  <c r="BQ20" i="7" s="1"/>
  <c r="BP20" i="7"/>
  <c r="BO20" i="7" a="1"/>
  <c r="BO20" i="7" s="1"/>
  <c r="BN20" i="7" a="1"/>
  <c r="BN20" i="7" s="1"/>
  <c r="BN54" i="7" s="1"/>
  <c r="BJ20" i="7" a="1"/>
  <c r="BJ20" i="7" s="1"/>
  <c r="BF54" i="7" s="1"/>
  <c r="BI20" i="7" a="1"/>
  <c r="BI20" i="7" s="1"/>
  <c r="BH20" i="7" a="1"/>
  <c r="BH20" i="7" s="1"/>
  <c r="BG20" i="7"/>
  <c r="BF20" i="7" a="1"/>
  <c r="BF20" i="7" s="1"/>
  <c r="BE20" i="7" a="1"/>
  <c r="BE20" i="7" s="1"/>
  <c r="BE54" i="7" s="1"/>
  <c r="BA20" i="7" a="1"/>
  <c r="BA20" i="7" s="1"/>
  <c r="AW54" i="7" s="1"/>
  <c r="AZ20" i="7" a="1"/>
  <c r="AZ20" i="7" s="1"/>
  <c r="AY20" i="7" a="1"/>
  <c r="AY20" i="7" s="1"/>
  <c r="AX20" i="7"/>
  <c r="AW20" i="7" a="1"/>
  <c r="AW20" i="7" s="1"/>
  <c r="AV20" i="7" a="1"/>
  <c r="AV20" i="7" s="1"/>
  <c r="AV54" i="7" s="1"/>
  <c r="AR20" i="7" a="1"/>
  <c r="AR20" i="7" s="1"/>
  <c r="AN54" i="7" s="1"/>
  <c r="AQ20" i="7" a="1"/>
  <c r="AQ20" i="7" s="1"/>
  <c r="AP20" i="7" a="1"/>
  <c r="AP20" i="7" s="1"/>
  <c r="AO20" i="7"/>
  <c r="AN20" i="7" a="1"/>
  <c r="AN20" i="7" s="1"/>
  <c r="AM20" i="7" a="1"/>
  <c r="AM20" i="7" s="1"/>
  <c r="AM54" i="7" s="1"/>
  <c r="AI20" i="7" a="1"/>
  <c r="AI20" i="7" s="1"/>
  <c r="AE54" i="7" s="1"/>
  <c r="AH20" i="7" a="1"/>
  <c r="AH20" i="7" s="1"/>
  <c r="AG20" i="7" a="1"/>
  <c r="AG20" i="7" s="1"/>
  <c r="AF20" i="7"/>
  <c r="AE20" i="7" a="1"/>
  <c r="AE20" i="7" s="1"/>
  <c r="AD20" i="7" a="1"/>
  <c r="AD20" i="7" s="1"/>
  <c r="AD54" i="7" s="1"/>
  <c r="Z20" i="7" a="1"/>
  <c r="Z20" i="7" s="1"/>
  <c r="V54" i="7" s="1"/>
  <c r="Y20" i="7" a="1"/>
  <c r="Y20" i="7" s="1"/>
  <c r="X20" i="7" a="1"/>
  <c r="X20" i="7" s="1"/>
  <c r="W20" i="7"/>
  <c r="V20" i="7" a="1"/>
  <c r="V20" i="7" s="1"/>
  <c r="U20" i="7" a="1"/>
  <c r="U20" i="7" s="1"/>
  <c r="U54" i="7" s="1"/>
  <c r="H20" i="7" a="1"/>
  <c r="H20" i="7" s="1"/>
  <c r="D54" i="7" s="1"/>
  <c r="G20" i="7" a="1"/>
  <c r="G20" i="7" s="1"/>
  <c r="F20" i="7" a="1"/>
  <c r="F20" i="7" s="1"/>
  <c r="E20" i="7"/>
  <c r="D20" i="7" a="1"/>
  <c r="D20" i="7" s="1"/>
  <c r="C20" i="7" a="1"/>
  <c r="C20" i="7" s="1"/>
  <c r="C54" i="7" s="1"/>
  <c r="BS19" i="7" a="1"/>
  <c r="BS19" i="7" s="1"/>
  <c r="BO53" i="7" s="1"/>
  <c r="BR19" i="7" a="1"/>
  <c r="BR19" i="7" s="1"/>
  <c r="BQ19" i="7" a="1"/>
  <c r="BQ19" i="7" s="1"/>
  <c r="BP19" i="7"/>
  <c r="BO19" i="7" a="1"/>
  <c r="BO19" i="7" s="1"/>
  <c r="BN19" i="7" a="1"/>
  <c r="BN19" i="7" s="1"/>
  <c r="BN53" i="7" s="1"/>
  <c r="BJ19" i="7" a="1"/>
  <c r="BJ19" i="7" s="1"/>
  <c r="BF53" i="7" s="1"/>
  <c r="BI19" i="7" a="1"/>
  <c r="BI19" i="7" s="1"/>
  <c r="BH19" i="7" a="1"/>
  <c r="BH19" i="7" s="1"/>
  <c r="BG19" i="7"/>
  <c r="BF19" i="7" a="1"/>
  <c r="BF19" i="7" s="1"/>
  <c r="BE19" i="7" a="1"/>
  <c r="BE19" i="7" s="1"/>
  <c r="BE53" i="7" s="1"/>
  <c r="BA19" i="7" a="1"/>
  <c r="BA19" i="7" s="1"/>
  <c r="AW53" i="7" s="1"/>
  <c r="AZ19" i="7" a="1"/>
  <c r="AZ19" i="7" s="1"/>
  <c r="AY19" i="7" a="1"/>
  <c r="AY19" i="7" s="1"/>
  <c r="AX19" i="7"/>
  <c r="AW19" i="7" a="1"/>
  <c r="AW19" i="7" s="1"/>
  <c r="AV19" i="7" a="1"/>
  <c r="AV19" i="7" s="1"/>
  <c r="AV53" i="7" s="1"/>
  <c r="AR19" i="7" a="1"/>
  <c r="AR19" i="7" s="1"/>
  <c r="AN53" i="7" s="1"/>
  <c r="AQ19" i="7" a="1"/>
  <c r="AQ19" i="7" s="1"/>
  <c r="AP19" i="7" a="1"/>
  <c r="AP19" i="7" s="1"/>
  <c r="AO19" i="7"/>
  <c r="AN19" i="7" a="1"/>
  <c r="AN19" i="7" s="1"/>
  <c r="AM19" i="7" a="1"/>
  <c r="AM19" i="7" s="1"/>
  <c r="AM53" i="7" s="1"/>
  <c r="AI19" i="7" a="1"/>
  <c r="AI19" i="7" s="1"/>
  <c r="AE53" i="7" s="1"/>
  <c r="AH19" i="7" a="1"/>
  <c r="AH19" i="7" s="1"/>
  <c r="AG19" i="7" a="1"/>
  <c r="AG19" i="7" s="1"/>
  <c r="AF19" i="7"/>
  <c r="AE19" i="7" a="1"/>
  <c r="AE19" i="7" s="1"/>
  <c r="AD19" i="7" a="1"/>
  <c r="AD19" i="7" s="1"/>
  <c r="AD53" i="7" s="1"/>
  <c r="Z19" i="7" a="1"/>
  <c r="Z19" i="7" s="1"/>
  <c r="V53" i="7" s="1"/>
  <c r="Y19" i="7" a="1"/>
  <c r="Y19" i="7" s="1"/>
  <c r="X19" i="7" a="1"/>
  <c r="X19" i="7" s="1"/>
  <c r="W19" i="7"/>
  <c r="V19" i="7" a="1"/>
  <c r="V19" i="7" s="1"/>
  <c r="U19" i="7" a="1"/>
  <c r="U19" i="7" s="1"/>
  <c r="U53" i="7" s="1"/>
  <c r="H19" i="7" a="1"/>
  <c r="H19" i="7" s="1"/>
  <c r="D53" i="7" s="1"/>
  <c r="G19" i="7" a="1"/>
  <c r="G19" i="7" s="1"/>
  <c r="F19" i="7" a="1"/>
  <c r="F19" i="7" s="1"/>
  <c r="E19" i="7"/>
  <c r="D19" i="7" a="1"/>
  <c r="D19" i="7" s="1"/>
  <c r="C19" i="7" a="1"/>
  <c r="C19" i="7" s="1"/>
  <c r="C53" i="7" s="1"/>
  <c r="BS17" i="7" a="1"/>
  <c r="BS17" i="7" s="1"/>
  <c r="BO51" i="7" s="1"/>
  <c r="BR17" i="7" a="1"/>
  <c r="BR17" i="7" s="1"/>
  <c r="BQ17" i="7" a="1"/>
  <c r="BQ17" i="7" s="1"/>
  <c r="BP17" i="7"/>
  <c r="BO17" i="7" a="1"/>
  <c r="BO17" i="7" s="1"/>
  <c r="BN17" i="7" a="1"/>
  <c r="BN17" i="7" s="1"/>
  <c r="BN51" i="7" s="1"/>
  <c r="BJ17" i="7" a="1"/>
  <c r="BJ17" i="7" s="1"/>
  <c r="BF51" i="7" s="1"/>
  <c r="BI17" i="7" a="1"/>
  <c r="BI17" i="7" s="1"/>
  <c r="BH17" i="7" a="1"/>
  <c r="BH17" i="7" s="1"/>
  <c r="BG17" i="7"/>
  <c r="BF17" i="7" a="1"/>
  <c r="BF17" i="7" s="1"/>
  <c r="BE17" i="7" a="1"/>
  <c r="BE17" i="7" s="1"/>
  <c r="BE51" i="7" s="1"/>
  <c r="BA17" i="7" a="1"/>
  <c r="BA17" i="7" s="1"/>
  <c r="AW51" i="7" s="1"/>
  <c r="AZ17" i="7" a="1"/>
  <c r="AZ17" i="7" s="1"/>
  <c r="AY17" i="7" a="1"/>
  <c r="AY17" i="7" s="1"/>
  <c r="AX17" i="7"/>
  <c r="AW17" i="7" a="1"/>
  <c r="AW17" i="7" s="1"/>
  <c r="AV17" i="7" a="1"/>
  <c r="AV17" i="7" s="1"/>
  <c r="AV51" i="7" s="1"/>
  <c r="AR17" i="7" a="1"/>
  <c r="AR17" i="7" s="1"/>
  <c r="AN51" i="7" s="1"/>
  <c r="AQ17" i="7" a="1"/>
  <c r="AQ17" i="7" s="1"/>
  <c r="AP17" i="7" a="1"/>
  <c r="AP17" i="7" s="1"/>
  <c r="AO17" i="7"/>
  <c r="AN17" i="7" a="1"/>
  <c r="AN17" i="7" s="1"/>
  <c r="AM17" i="7" a="1"/>
  <c r="AM17" i="7" s="1"/>
  <c r="AM51" i="7" s="1"/>
  <c r="AI17" i="7" a="1"/>
  <c r="AI17" i="7" s="1"/>
  <c r="AE51" i="7" s="1"/>
  <c r="AH17" i="7" a="1"/>
  <c r="AH17" i="7" s="1"/>
  <c r="AG17" i="7" a="1"/>
  <c r="AG17" i="7" s="1"/>
  <c r="AF17" i="7"/>
  <c r="AE17" i="7" a="1"/>
  <c r="AE17" i="7" s="1"/>
  <c r="AD17" i="7" a="1"/>
  <c r="AD17" i="7" s="1"/>
  <c r="AD51" i="7" s="1"/>
  <c r="Z17" i="7" a="1"/>
  <c r="Z17" i="7" s="1"/>
  <c r="V51" i="7" s="1"/>
  <c r="Y17" i="7" a="1"/>
  <c r="Y17" i="7" s="1"/>
  <c r="X17" i="7" a="1"/>
  <c r="X17" i="7" s="1"/>
  <c r="W17" i="7"/>
  <c r="V17" i="7" a="1"/>
  <c r="V17" i="7" s="1"/>
  <c r="U17" i="7" a="1"/>
  <c r="U17" i="7" s="1"/>
  <c r="U51" i="7" s="1"/>
  <c r="H17" i="7" a="1"/>
  <c r="H17" i="7" s="1"/>
  <c r="D51" i="7" s="1"/>
  <c r="G17" i="7" a="1"/>
  <c r="G17" i="7" s="1"/>
  <c r="F17" i="7" a="1"/>
  <c r="F17" i="7" s="1"/>
  <c r="E17" i="7"/>
  <c r="D17" i="7" a="1"/>
  <c r="D17" i="7" s="1"/>
  <c r="C17" i="7" a="1"/>
  <c r="C17" i="7" s="1"/>
  <c r="C51" i="7" s="1"/>
  <c r="BS16" i="7" a="1"/>
  <c r="BS16" i="7" s="1"/>
  <c r="BO50" i="7" s="1"/>
  <c r="BR16" i="7" a="1"/>
  <c r="BR16" i="7" s="1"/>
  <c r="BQ16" i="7" a="1"/>
  <c r="BQ16" i="7" s="1"/>
  <c r="BP16" i="7"/>
  <c r="BO16" i="7" a="1"/>
  <c r="BO16" i="7" s="1"/>
  <c r="BN16" i="7" a="1"/>
  <c r="BN16" i="7" s="1"/>
  <c r="BN50" i="7" s="1"/>
  <c r="BJ16" i="7" a="1"/>
  <c r="BJ16" i="7" s="1"/>
  <c r="BF50" i="7" s="1"/>
  <c r="BI16" i="7" a="1"/>
  <c r="BI16" i="7" s="1"/>
  <c r="BH16" i="7" a="1"/>
  <c r="BH16" i="7" s="1"/>
  <c r="BG16" i="7"/>
  <c r="BF16" i="7" a="1"/>
  <c r="BF16" i="7" s="1"/>
  <c r="BE16" i="7" a="1"/>
  <c r="BE16" i="7" s="1"/>
  <c r="BE50" i="7" s="1"/>
  <c r="BA16" i="7" a="1"/>
  <c r="BA16" i="7" s="1"/>
  <c r="AW50" i="7" s="1"/>
  <c r="AZ16" i="7" a="1"/>
  <c r="AZ16" i="7" s="1"/>
  <c r="AY16" i="7" a="1"/>
  <c r="AY16" i="7" s="1"/>
  <c r="AX16" i="7"/>
  <c r="AW16" i="7" a="1"/>
  <c r="AW16" i="7" s="1"/>
  <c r="AV16" i="7" a="1"/>
  <c r="AV16" i="7" s="1"/>
  <c r="AV50" i="7" s="1"/>
  <c r="AR16" i="7" a="1"/>
  <c r="AR16" i="7" s="1"/>
  <c r="AN50" i="7" s="1"/>
  <c r="AQ16" i="7" a="1"/>
  <c r="AQ16" i="7" s="1"/>
  <c r="AP16" i="7" a="1"/>
  <c r="AP16" i="7" s="1"/>
  <c r="AO16" i="7"/>
  <c r="AN16" i="7" a="1"/>
  <c r="AN16" i="7" s="1"/>
  <c r="AM16" i="7" a="1"/>
  <c r="AM16" i="7" s="1"/>
  <c r="AM50" i="7" s="1"/>
  <c r="AI16" i="7" a="1"/>
  <c r="AI16" i="7" s="1"/>
  <c r="AE50" i="7" s="1"/>
  <c r="AH16" i="7" a="1"/>
  <c r="AH16" i="7" s="1"/>
  <c r="AG16" i="7" a="1"/>
  <c r="AG16" i="7" s="1"/>
  <c r="AF16" i="7"/>
  <c r="AE16" i="7" a="1"/>
  <c r="AE16" i="7" s="1"/>
  <c r="AD16" i="7" a="1"/>
  <c r="AD16" i="7" s="1"/>
  <c r="AD50" i="7" s="1"/>
  <c r="Z16" i="7" a="1"/>
  <c r="Z16" i="7" s="1"/>
  <c r="V50" i="7" s="1"/>
  <c r="Y16" i="7" a="1"/>
  <c r="Y16" i="7" s="1"/>
  <c r="X16" i="7" a="1"/>
  <c r="X16" i="7" s="1"/>
  <c r="W16" i="7"/>
  <c r="V16" i="7" a="1"/>
  <c r="V16" i="7" s="1"/>
  <c r="U16" i="7" a="1"/>
  <c r="U16" i="7" s="1"/>
  <c r="U50" i="7" s="1"/>
  <c r="H16" i="7" a="1"/>
  <c r="H16" i="7" s="1"/>
  <c r="D50" i="7" s="1"/>
  <c r="G16" i="7" a="1"/>
  <c r="G16" i="7" s="1"/>
  <c r="F16" i="7" a="1"/>
  <c r="F16" i="7" s="1"/>
  <c r="E16" i="7"/>
  <c r="D16" i="7" a="1"/>
  <c r="D16" i="7" s="1"/>
  <c r="C16" i="7" a="1"/>
  <c r="C16" i="7" s="1"/>
  <c r="C50" i="7" s="1"/>
  <c r="BS15" i="7" a="1"/>
  <c r="BS15" i="7" s="1"/>
  <c r="BO49" i="7" s="1"/>
  <c r="BR15" i="7" a="1"/>
  <c r="BR15" i="7" s="1"/>
  <c r="BQ15" i="7" a="1"/>
  <c r="BQ15" i="7" s="1"/>
  <c r="BP15" i="7"/>
  <c r="BO15" i="7" a="1"/>
  <c r="BO15" i="7" s="1"/>
  <c r="BN15" i="7" a="1"/>
  <c r="BN15" i="7" s="1"/>
  <c r="BN49" i="7" s="1"/>
  <c r="BJ15" i="7" a="1"/>
  <c r="BJ15" i="7" s="1"/>
  <c r="BF49" i="7" s="1"/>
  <c r="BI15" i="7" a="1"/>
  <c r="BI15" i="7" s="1"/>
  <c r="BH15" i="7" a="1"/>
  <c r="BH15" i="7" s="1"/>
  <c r="BG15" i="7"/>
  <c r="BF15" i="7" a="1"/>
  <c r="BF15" i="7" s="1"/>
  <c r="BE15" i="7" a="1"/>
  <c r="BE15" i="7" s="1"/>
  <c r="BE49" i="7" s="1"/>
  <c r="BA15" i="7" a="1"/>
  <c r="BA15" i="7" s="1"/>
  <c r="AW49" i="7" s="1"/>
  <c r="AZ15" i="7" a="1"/>
  <c r="AZ15" i="7" s="1"/>
  <c r="AY15" i="7" a="1"/>
  <c r="AY15" i="7" s="1"/>
  <c r="AX15" i="7"/>
  <c r="AW15" i="7" a="1"/>
  <c r="AW15" i="7" s="1"/>
  <c r="AV15" i="7" a="1"/>
  <c r="AV15" i="7" s="1"/>
  <c r="AV49" i="7" s="1"/>
  <c r="AR15" i="7" a="1"/>
  <c r="AR15" i="7" s="1"/>
  <c r="AN49" i="7" s="1"/>
  <c r="AQ15" i="7" a="1"/>
  <c r="AQ15" i="7" s="1"/>
  <c r="AP15" i="7" a="1"/>
  <c r="AP15" i="7" s="1"/>
  <c r="AO15" i="7"/>
  <c r="AN15" i="7" a="1"/>
  <c r="AN15" i="7" s="1"/>
  <c r="AM15" i="7" a="1"/>
  <c r="AM15" i="7" s="1"/>
  <c r="AM49" i="7" s="1"/>
  <c r="AI15" i="7" a="1"/>
  <c r="AI15" i="7" s="1"/>
  <c r="AE49" i="7" s="1"/>
  <c r="AH15" i="7" a="1"/>
  <c r="AH15" i="7" s="1"/>
  <c r="AG15" i="7" a="1"/>
  <c r="AG15" i="7" s="1"/>
  <c r="AF15" i="7"/>
  <c r="AE15" i="7" a="1"/>
  <c r="AE15" i="7" s="1"/>
  <c r="AD15" i="7" a="1"/>
  <c r="AD15" i="7" s="1"/>
  <c r="AD49" i="7" s="1"/>
  <c r="Z15" i="7" a="1"/>
  <c r="Z15" i="7" s="1"/>
  <c r="V49" i="7" s="1"/>
  <c r="Y15" i="7" a="1"/>
  <c r="Y15" i="7" s="1"/>
  <c r="X15" i="7" a="1"/>
  <c r="X15" i="7" s="1"/>
  <c r="W15" i="7"/>
  <c r="V15" i="7" a="1"/>
  <c r="V15" i="7" s="1"/>
  <c r="U15" i="7" a="1"/>
  <c r="U15" i="7" s="1"/>
  <c r="U49" i="7" s="1"/>
  <c r="H15" i="7" a="1"/>
  <c r="H15" i="7" s="1"/>
  <c r="D49" i="7" s="1"/>
  <c r="G15" i="7" a="1"/>
  <c r="G15" i="7" s="1"/>
  <c r="F15" i="7" a="1"/>
  <c r="F15" i="7" s="1"/>
  <c r="E15" i="7"/>
  <c r="D15" i="7" a="1"/>
  <c r="D15" i="7" s="1"/>
  <c r="C15" i="7" a="1"/>
  <c r="C15" i="7" s="1"/>
  <c r="C49" i="7" s="1"/>
  <c r="BS14" i="7" a="1"/>
  <c r="BS14" i="7" s="1"/>
  <c r="BO48" i="7" s="1"/>
  <c r="BR14" i="7" a="1"/>
  <c r="BR14" i="7" s="1"/>
  <c r="BQ14" i="7" a="1"/>
  <c r="BQ14" i="7" s="1"/>
  <c r="BP14" i="7"/>
  <c r="BO14" i="7" a="1"/>
  <c r="BO14" i="7" s="1"/>
  <c r="BN14" i="7" a="1"/>
  <c r="BN14" i="7" s="1"/>
  <c r="BN48" i="7" s="1"/>
  <c r="BJ14" i="7" a="1"/>
  <c r="BJ14" i="7" s="1"/>
  <c r="BF48" i="7" s="1"/>
  <c r="BI14" i="7" a="1"/>
  <c r="BI14" i="7" s="1"/>
  <c r="BH14" i="7" a="1"/>
  <c r="BH14" i="7" s="1"/>
  <c r="BG14" i="7"/>
  <c r="BF14" i="7" a="1"/>
  <c r="BF14" i="7" s="1"/>
  <c r="BE14" i="7" a="1"/>
  <c r="BE14" i="7" s="1"/>
  <c r="BE48" i="7" s="1"/>
  <c r="BA14" i="7" a="1"/>
  <c r="BA14" i="7" s="1"/>
  <c r="AW48" i="7" s="1"/>
  <c r="AZ14" i="7" a="1"/>
  <c r="AZ14" i="7" s="1"/>
  <c r="AY14" i="7" a="1"/>
  <c r="AY14" i="7" s="1"/>
  <c r="AX14" i="7"/>
  <c r="AW14" i="7" a="1"/>
  <c r="AW14" i="7" s="1"/>
  <c r="AV14" i="7" a="1"/>
  <c r="AV14" i="7" s="1"/>
  <c r="AV48" i="7" s="1"/>
  <c r="AR14" i="7" a="1"/>
  <c r="AR14" i="7" s="1"/>
  <c r="AN48" i="7" s="1"/>
  <c r="AQ14" i="7" a="1"/>
  <c r="AQ14" i="7" s="1"/>
  <c r="AP14" i="7" a="1"/>
  <c r="AP14" i="7" s="1"/>
  <c r="AO14" i="7"/>
  <c r="AN14" i="7" a="1"/>
  <c r="AN14" i="7" s="1"/>
  <c r="AM14" i="7" a="1"/>
  <c r="AM14" i="7" s="1"/>
  <c r="AM48" i="7" s="1"/>
  <c r="AI14" i="7" a="1"/>
  <c r="AI14" i="7" s="1"/>
  <c r="AE48" i="7" s="1"/>
  <c r="AH14" i="7" a="1"/>
  <c r="AH14" i="7" s="1"/>
  <c r="AG14" i="7" a="1"/>
  <c r="AG14" i="7" s="1"/>
  <c r="AF14" i="7"/>
  <c r="AE14" i="7" a="1"/>
  <c r="AE14" i="7" s="1"/>
  <c r="AD14" i="7" a="1"/>
  <c r="AD14" i="7" s="1"/>
  <c r="AD48" i="7" s="1"/>
  <c r="Z14" i="7" a="1"/>
  <c r="Z14" i="7" s="1"/>
  <c r="V48" i="7" s="1"/>
  <c r="Y14" i="7" a="1"/>
  <c r="Y14" i="7" s="1"/>
  <c r="X14" i="7" a="1"/>
  <c r="X14" i="7" s="1"/>
  <c r="W14" i="7"/>
  <c r="V14" i="7" a="1"/>
  <c r="V14" i="7" s="1"/>
  <c r="U14" i="7" a="1"/>
  <c r="U14" i="7" s="1"/>
  <c r="U48" i="7" s="1"/>
  <c r="H14" i="7" a="1"/>
  <c r="H14" i="7" s="1"/>
  <c r="D48" i="7" s="1"/>
  <c r="G14" i="7" a="1"/>
  <c r="G14" i="7" s="1"/>
  <c r="F14" i="7" a="1"/>
  <c r="F14" i="7" s="1"/>
  <c r="E14" i="7"/>
  <c r="D14" i="7" a="1"/>
  <c r="D14" i="7" s="1"/>
  <c r="C14" i="7" a="1"/>
  <c r="C14" i="7" s="1"/>
  <c r="C48" i="7" s="1"/>
  <c r="C10" i="7" a="1"/>
  <c r="C10" i="7" s="1"/>
  <c r="C44" i="7" s="1"/>
  <c r="BS8" i="7" a="1"/>
  <c r="BS8" i="7" s="1"/>
  <c r="BO42" i="7" s="1"/>
  <c r="BR8" i="7" a="1"/>
  <c r="BR8" i="7" s="1"/>
  <c r="BQ8" i="7" a="1"/>
  <c r="BQ8" i="7" s="1"/>
  <c r="BP8" i="7"/>
  <c r="BO8" i="7" a="1"/>
  <c r="BO8" i="7" s="1"/>
  <c r="BN8" i="7" a="1"/>
  <c r="BN8" i="7" s="1"/>
  <c r="BN42" i="7" s="1"/>
  <c r="BJ8" i="7" a="1"/>
  <c r="BJ8" i="7" s="1"/>
  <c r="BF42" i="7" s="1"/>
  <c r="BI8" i="7" a="1"/>
  <c r="BI8" i="7" s="1"/>
  <c r="BH8" i="7" a="1"/>
  <c r="BH8" i="7" s="1"/>
  <c r="BG8" i="7"/>
  <c r="BF8" i="7" a="1"/>
  <c r="BF8" i="7" s="1"/>
  <c r="BE8" i="7" a="1"/>
  <c r="BE8" i="7" s="1"/>
  <c r="BE42" i="7" s="1"/>
  <c r="BA8" i="7" a="1"/>
  <c r="BA8" i="7" s="1"/>
  <c r="AW42" i="7" s="1"/>
  <c r="AZ8" i="7" a="1"/>
  <c r="AZ8" i="7" s="1"/>
  <c r="AY8" i="7" a="1"/>
  <c r="AY8" i="7" s="1"/>
  <c r="AX8" i="7"/>
  <c r="AW8" i="7" a="1"/>
  <c r="AW8" i="7" s="1"/>
  <c r="AV8" i="7" a="1"/>
  <c r="AV8" i="7" s="1"/>
  <c r="AV42" i="7" s="1"/>
  <c r="AR8" i="7" a="1"/>
  <c r="AR8" i="7" s="1"/>
  <c r="AN42" i="7" s="1"/>
  <c r="AQ8" i="7" a="1"/>
  <c r="AQ8" i="7" s="1"/>
  <c r="AP8" i="7" a="1"/>
  <c r="AP8" i="7" s="1"/>
  <c r="AO8" i="7"/>
  <c r="AN8" i="7" a="1"/>
  <c r="AN8" i="7" s="1"/>
  <c r="AM8" i="7" a="1"/>
  <c r="AM8" i="7" s="1"/>
  <c r="AM42" i="7" s="1"/>
  <c r="AI8" i="7" a="1"/>
  <c r="AI8" i="7" s="1"/>
  <c r="AE42" i="7" s="1"/>
  <c r="AH8" i="7" a="1"/>
  <c r="AH8" i="7" s="1"/>
  <c r="AG8" i="7" a="1"/>
  <c r="AG8" i="7" s="1"/>
  <c r="AF8" i="7"/>
  <c r="AE8" i="7" a="1"/>
  <c r="AE8" i="7" s="1"/>
  <c r="AD8" i="7" a="1"/>
  <c r="AD8" i="7" s="1"/>
  <c r="AD42" i="7" s="1"/>
  <c r="Z8" i="7" a="1"/>
  <c r="Z8" i="7" s="1"/>
  <c r="V42" i="7" s="1"/>
  <c r="Y8" i="7" a="1"/>
  <c r="Y8" i="7" s="1"/>
  <c r="X8" i="7" a="1"/>
  <c r="X8" i="7" s="1"/>
  <c r="W8" i="7"/>
  <c r="V8" i="7" a="1"/>
  <c r="V8" i="7" s="1"/>
  <c r="U8" i="7" a="1"/>
  <c r="U8" i="7" s="1"/>
  <c r="U42" i="7" s="1"/>
  <c r="H8" i="7" a="1"/>
  <c r="H8" i="7" s="1"/>
  <c r="D42" i="7" s="1"/>
  <c r="G8" i="7" a="1"/>
  <c r="G8" i="7" s="1"/>
  <c r="F8" i="7" a="1"/>
  <c r="F8" i="7" s="1"/>
  <c r="E8" i="7"/>
  <c r="D8" i="7" a="1"/>
  <c r="D8" i="7" s="1"/>
  <c r="C8" i="7" a="1"/>
  <c r="C8" i="7" s="1"/>
  <c r="C42" i="7" s="1"/>
  <c r="BS7" i="7" a="1"/>
  <c r="BS7" i="7" s="1"/>
  <c r="BO41" i="7" s="1"/>
  <c r="BR7" i="7" a="1"/>
  <c r="BR7" i="7" s="1"/>
  <c r="BQ7" i="7" a="1"/>
  <c r="BQ7" i="7" s="1"/>
  <c r="BP7" i="7"/>
  <c r="BO7" i="7" a="1"/>
  <c r="BO7" i="7" s="1"/>
  <c r="BN7" i="7" a="1"/>
  <c r="BN7" i="7" s="1"/>
  <c r="BN41" i="7" s="1"/>
  <c r="BJ7" i="7" a="1"/>
  <c r="BJ7" i="7" s="1"/>
  <c r="BF41" i="7" s="1"/>
  <c r="BI7" i="7" a="1"/>
  <c r="BI7" i="7" s="1"/>
  <c r="BH7" i="7" a="1"/>
  <c r="BH7" i="7" s="1"/>
  <c r="BG7" i="7"/>
  <c r="BF7" i="7" a="1"/>
  <c r="BF7" i="7" s="1"/>
  <c r="BE7" i="7" a="1"/>
  <c r="BE7" i="7" s="1"/>
  <c r="BE41" i="7" s="1"/>
  <c r="BA7" i="7" a="1"/>
  <c r="BA7" i="7" s="1"/>
  <c r="AW41" i="7" s="1"/>
  <c r="AZ7" i="7" a="1"/>
  <c r="AZ7" i="7" s="1"/>
  <c r="AY7" i="7" a="1"/>
  <c r="AY7" i="7" s="1"/>
  <c r="AX7" i="7"/>
  <c r="AW7" i="7" a="1"/>
  <c r="AW7" i="7" s="1"/>
  <c r="AV7" i="7" a="1"/>
  <c r="AV7" i="7" s="1"/>
  <c r="AV41" i="7" s="1"/>
  <c r="AR7" i="7" a="1"/>
  <c r="AR7" i="7" s="1"/>
  <c r="AN41" i="7" s="1"/>
  <c r="AQ7" i="7" a="1"/>
  <c r="AQ7" i="7" s="1"/>
  <c r="AP7" i="7" a="1"/>
  <c r="AP7" i="7" s="1"/>
  <c r="AO7" i="7"/>
  <c r="AN7" i="7" a="1"/>
  <c r="AN7" i="7" s="1"/>
  <c r="AM7" i="7" a="1"/>
  <c r="AM7" i="7" s="1"/>
  <c r="AM41" i="7" s="1"/>
  <c r="AI7" i="7" a="1"/>
  <c r="AI7" i="7" s="1"/>
  <c r="AE41" i="7" s="1"/>
  <c r="AH7" i="7" a="1"/>
  <c r="AH7" i="7" s="1"/>
  <c r="AG7" i="7" a="1"/>
  <c r="AG7" i="7" s="1"/>
  <c r="AF7" i="7"/>
  <c r="AE7" i="7" a="1"/>
  <c r="AE7" i="7" s="1"/>
  <c r="AD7" i="7" a="1"/>
  <c r="AD7" i="7" s="1"/>
  <c r="AD41" i="7" s="1"/>
  <c r="Z7" i="7" a="1"/>
  <c r="Z7" i="7" s="1"/>
  <c r="V41" i="7" s="1"/>
  <c r="Y7" i="7" a="1"/>
  <c r="Y7" i="7" s="1"/>
  <c r="X7" i="7" a="1"/>
  <c r="X7" i="7" s="1"/>
  <c r="W7" i="7"/>
  <c r="V7" i="7" a="1"/>
  <c r="V7" i="7" s="1"/>
  <c r="U7" i="7" a="1"/>
  <c r="U7" i="7" s="1"/>
  <c r="U41" i="7" s="1"/>
  <c r="H7" i="7" a="1"/>
  <c r="H7" i="7" s="1"/>
  <c r="D41" i="7" s="1"/>
  <c r="G7" i="7" a="1"/>
  <c r="G7" i="7" s="1"/>
  <c r="F7" i="7" a="1"/>
  <c r="F7" i="7" s="1"/>
  <c r="E7" i="7"/>
  <c r="D7" i="7" a="1"/>
  <c r="D7" i="7" s="1"/>
  <c r="C7" i="7" a="1"/>
  <c r="C7" i="7" s="1"/>
  <c r="C41" i="7" s="1"/>
  <c r="BS6" i="7" a="1"/>
  <c r="BS6" i="7" s="1"/>
  <c r="BO40" i="7" s="1"/>
  <c r="BR6" i="7" a="1"/>
  <c r="BR6" i="7" s="1"/>
  <c r="BQ6" i="7" a="1"/>
  <c r="BQ6" i="7" s="1"/>
  <c r="BP6" i="7"/>
  <c r="BO6" i="7" a="1"/>
  <c r="BO6" i="7" s="1"/>
  <c r="BN6" i="7" a="1"/>
  <c r="BN6" i="7" s="1"/>
  <c r="BN40" i="7" s="1"/>
  <c r="BJ6" i="7" a="1"/>
  <c r="BJ6" i="7" s="1"/>
  <c r="BF40" i="7" s="1"/>
  <c r="BI6" i="7" a="1"/>
  <c r="BI6" i="7" s="1"/>
  <c r="BH6" i="7" a="1"/>
  <c r="BH6" i="7" s="1"/>
  <c r="BG6" i="7"/>
  <c r="BF6" i="7" a="1"/>
  <c r="BF6" i="7" s="1"/>
  <c r="BE6" i="7" a="1"/>
  <c r="BE6" i="7" s="1"/>
  <c r="BE40" i="7" s="1"/>
  <c r="BA6" i="7" a="1"/>
  <c r="BA6" i="7" s="1"/>
  <c r="AW40" i="7" s="1"/>
  <c r="AZ6" i="7" a="1"/>
  <c r="AZ6" i="7" s="1"/>
  <c r="AY6" i="7" a="1"/>
  <c r="AY6" i="7" s="1"/>
  <c r="AX6" i="7"/>
  <c r="AW6" i="7" a="1"/>
  <c r="AW6" i="7" s="1"/>
  <c r="AV6" i="7" a="1"/>
  <c r="AV6" i="7" s="1"/>
  <c r="AV40" i="7" s="1"/>
  <c r="AR6" i="7" a="1"/>
  <c r="AR6" i="7" s="1"/>
  <c r="AN40" i="7" s="1"/>
  <c r="AQ6" i="7" a="1"/>
  <c r="AQ6" i="7" s="1"/>
  <c r="AP6" i="7" a="1"/>
  <c r="AP6" i="7" s="1"/>
  <c r="AO6" i="7"/>
  <c r="AN6" i="7" a="1"/>
  <c r="AN6" i="7" s="1"/>
  <c r="AM6" i="7" a="1"/>
  <c r="AM6" i="7" s="1"/>
  <c r="AM40" i="7" s="1"/>
  <c r="AI6" i="7" a="1"/>
  <c r="AI6" i="7" s="1"/>
  <c r="AE40" i="7" s="1"/>
  <c r="AH6" i="7" a="1"/>
  <c r="AH6" i="7" s="1"/>
  <c r="AG6" i="7" a="1"/>
  <c r="AG6" i="7" s="1"/>
  <c r="AF6" i="7"/>
  <c r="AE6" i="7" a="1"/>
  <c r="AE6" i="7" s="1"/>
  <c r="AD6" i="7" a="1"/>
  <c r="AD6" i="7" s="1"/>
  <c r="AD40" i="7" s="1"/>
  <c r="Z6" i="7" a="1"/>
  <c r="Z6" i="7" s="1"/>
  <c r="V40" i="7" s="1"/>
  <c r="Y6" i="7" a="1"/>
  <c r="Y6" i="7" s="1"/>
  <c r="X6" i="7" a="1"/>
  <c r="X6" i="7" s="1"/>
  <c r="W6" i="7"/>
  <c r="V6" i="7" a="1"/>
  <c r="V6" i="7" s="1"/>
  <c r="U6" i="7" a="1"/>
  <c r="U6" i="7" s="1"/>
  <c r="U40" i="7" s="1"/>
  <c r="H6" i="7" a="1"/>
  <c r="H6" i="7" s="1"/>
  <c r="D40" i="7" s="1"/>
  <c r="G6" i="7" a="1"/>
  <c r="G6" i="7" s="1"/>
  <c r="F6" i="7" a="1"/>
  <c r="F6" i="7" s="1"/>
  <c r="E6" i="7"/>
  <c r="D6" i="7" a="1"/>
  <c r="D6" i="7" s="1"/>
  <c r="C6" i="7" a="1"/>
  <c r="C6" i="7" s="1"/>
  <c r="C40" i="7" s="1"/>
  <c r="BS4" i="7" a="1"/>
  <c r="BS4" i="7" s="1"/>
  <c r="BO38" i="7" s="1"/>
  <c r="BR4" i="7" a="1"/>
  <c r="BR4" i="7" s="1"/>
  <c r="BQ4" i="7" a="1"/>
  <c r="BQ4" i="7" s="1"/>
  <c r="BP4" i="7"/>
  <c r="BO4" i="7" a="1"/>
  <c r="BO4" i="7" s="1"/>
  <c r="BN4" i="7" a="1"/>
  <c r="BN4" i="7" s="1"/>
  <c r="BN38" i="7" s="1"/>
  <c r="BJ4" i="7" a="1"/>
  <c r="BJ4" i="7" s="1"/>
  <c r="BF38" i="7" s="1"/>
  <c r="BI4" i="7" a="1"/>
  <c r="BI4" i="7" s="1"/>
  <c r="BH4" i="7" a="1"/>
  <c r="BH4" i="7" s="1"/>
  <c r="BG4" i="7"/>
  <c r="BF4" i="7" a="1"/>
  <c r="BF4" i="7" s="1"/>
  <c r="BE4" i="7" a="1"/>
  <c r="BE4" i="7" s="1"/>
  <c r="BE38" i="7" s="1"/>
  <c r="BA4" i="7" a="1"/>
  <c r="BA4" i="7" s="1"/>
  <c r="AW38" i="7" s="1"/>
  <c r="AZ4" i="7" a="1"/>
  <c r="AZ4" i="7" s="1"/>
  <c r="AY4" i="7" a="1"/>
  <c r="AY4" i="7" s="1"/>
  <c r="AX4" i="7"/>
  <c r="AW4" i="7" a="1"/>
  <c r="AW4" i="7" s="1"/>
  <c r="AV4" i="7" a="1"/>
  <c r="AV4" i="7" s="1"/>
  <c r="AV38" i="7" s="1"/>
  <c r="AR4" i="7" a="1"/>
  <c r="AR4" i="7" s="1"/>
  <c r="AN38" i="7" s="1"/>
  <c r="AQ4" i="7" a="1"/>
  <c r="AQ4" i="7" s="1"/>
  <c r="AP4" i="7" a="1"/>
  <c r="AP4" i="7" s="1"/>
  <c r="AO4" i="7"/>
  <c r="AN4" i="7" a="1"/>
  <c r="AN4" i="7" s="1"/>
  <c r="AM4" i="7" a="1"/>
  <c r="AM4" i="7" s="1"/>
  <c r="AM38" i="7" s="1"/>
  <c r="AI4" i="7" a="1"/>
  <c r="AI4" i="7" s="1"/>
  <c r="AE38" i="7" s="1"/>
  <c r="AH4" i="7" a="1"/>
  <c r="AH4" i="7" s="1"/>
  <c r="AG4" i="7" a="1"/>
  <c r="AG4" i="7" s="1"/>
  <c r="AF4" i="7"/>
  <c r="AE4" i="7" a="1"/>
  <c r="AE4" i="7" s="1"/>
  <c r="AD4" i="7" a="1"/>
  <c r="AD4" i="7" s="1"/>
  <c r="AD38" i="7" s="1"/>
  <c r="Z4" i="7" a="1"/>
  <c r="Z4" i="7" s="1"/>
  <c r="V38" i="7" s="1"/>
  <c r="Y4" i="7" a="1"/>
  <c r="Y4" i="7" s="1"/>
  <c r="X4" i="7" a="1"/>
  <c r="X4" i="7" s="1"/>
  <c r="W4" i="7"/>
  <c r="V4" i="7" a="1"/>
  <c r="V4" i="7" s="1"/>
  <c r="U4" i="7" a="1"/>
  <c r="U4" i="7" s="1"/>
  <c r="U38" i="7" s="1"/>
  <c r="H4" i="7" a="1"/>
  <c r="H4" i="7" s="1"/>
  <c r="D38" i="7" s="1"/>
  <c r="G4" i="7" a="1"/>
  <c r="G4" i="7" s="1"/>
  <c r="F4" i="7" a="1"/>
  <c r="F4" i="7" s="1"/>
  <c r="E4" i="7"/>
  <c r="D4" i="7" a="1"/>
  <c r="D4" i="7" s="1"/>
  <c r="C4" i="7" a="1"/>
  <c r="C4" i="7" s="1"/>
  <c r="C38" i="7" s="1"/>
  <c r="AX35" i="6" a="1"/>
  <c r="AX35" i="6" s="1"/>
  <c r="Q70" i="6" s="1"/>
  <c r="AW35" i="6" a="1"/>
  <c r="AW35" i="6" s="1"/>
  <c r="AV35" i="6" a="1"/>
  <c r="AV35" i="6" s="1"/>
  <c r="AT35" i="6" a="1"/>
  <c r="AT35" i="6" s="1"/>
  <c r="AS35" i="6"/>
  <c r="AR35" i="6" a="1"/>
  <c r="AR35" i="6" s="1"/>
  <c r="AQ35" i="6" a="1"/>
  <c r="AQ35" i="6" s="1"/>
  <c r="P70" i="6" s="1"/>
  <c r="AN35" i="6" a="1"/>
  <c r="AN35" i="6" s="1"/>
  <c r="N70" i="6" s="1"/>
  <c r="AM35" i="6" a="1"/>
  <c r="AM35" i="6" s="1"/>
  <c r="AL35" i="6" a="1"/>
  <c r="AL35" i="6" s="1"/>
  <c r="AJ35" i="6" a="1"/>
  <c r="AJ35" i="6" s="1"/>
  <c r="AI35" i="6"/>
  <c r="AH35" i="6" a="1"/>
  <c r="AH35" i="6" s="1"/>
  <c r="AG35" i="6" a="1"/>
  <c r="AG35" i="6" s="1"/>
  <c r="M70" i="6" s="1"/>
  <c r="AD35" i="6" a="1"/>
  <c r="AD35" i="6" s="1"/>
  <c r="J70" i="6" s="1"/>
  <c r="AC35" i="6" a="1"/>
  <c r="AC35" i="6" s="1"/>
  <c r="AB35" i="6" a="1"/>
  <c r="AB35" i="6" s="1"/>
  <c r="Z35" i="6" a="1"/>
  <c r="Z35" i="6" s="1"/>
  <c r="Y35" i="6"/>
  <c r="X35" i="6" a="1"/>
  <c r="X35" i="6" s="1"/>
  <c r="W35" i="6" a="1"/>
  <c r="W35" i="6" s="1"/>
  <c r="I70" i="6" s="1"/>
  <c r="J35" i="6" a="1"/>
  <c r="J35" i="6" s="1"/>
  <c r="D70" i="6" s="1"/>
  <c r="I35" i="6" a="1"/>
  <c r="I35" i="6" s="1"/>
  <c r="H35" i="6" a="1"/>
  <c r="H35" i="6" s="1"/>
  <c r="F35" i="6" a="1"/>
  <c r="F35" i="6" s="1"/>
  <c r="E35" i="6"/>
  <c r="D35" i="6" a="1"/>
  <c r="D35" i="6" s="1"/>
  <c r="C35" i="6" a="1"/>
  <c r="C35" i="6" s="1"/>
  <c r="C70" i="6" s="1"/>
  <c r="AX34" i="6" a="1"/>
  <c r="AX34" i="6" s="1"/>
  <c r="Q69" i="6" s="1"/>
  <c r="AW34" i="6" a="1"/>
  <c r="AW34" i="6" s="1"/>
  <c r="AV34" i="6" a="1"/>
  <c r="AV34" i="6" s="1"/>
  <c r="AT34" i="6" a="1"/>
  <c r="AT34" i="6" s="1"/>
  <c r="AS34" i="6"/>
  <c r="AR34" i="6" a="1"/>
  <c r="AR34" i="6" s="1"/>
  <c r="AQ34" i="6" a="1"/>
  <c r="AQ34" i="6" s="1"/>
  <c r="P69" i="6" s="1"/>
  <c r="AN34" i="6" a="1"/>
  <c r="AN34" i="6" s="1"/>
  <c r="N69" i="6" s="1"/>
  <c r="AM34" i="6" a="1"/>
  <c r="AM34" i="6" s="1"/>
  <c r="AL34" i="6" a="1"/>
  <c r="AL34" i="6" s="1"/>
  <c r="AJ34" i="6" a="1"/>
  <c r="AJ34" i="6" s="1"/>
  <c r="AI34" i="6"/>
  <c r="AH34" i="6" a="1"/>
  <c r="AH34" i="6" s="1"/>
  <c r="AG34" i="6" a="1"/>
  <c r="AG34" i="6" s="1"/>
  <c r="M69" i="6" s="1"/>
  <c r="AD34" i="6" a="1"/>
  <c r="AD34" i="6" s="1"/>
  <c r="J69" i="6" s="1"/>
  <c r="AC34" i="6" a="1"/>
  <c r="AC34" i="6" s="1"/>
  <c r="AB34" i="6" a="1"/>
  <c r="AB34" i="6" s="1"/>
  <c r="Z34" i="6" a="1"/>
  <c r="Z34" i="6" s="1"/>
  <c r="Y34" i="6"/>
  <c r="X34" i="6" a="1"/>
  <c r="X34" i="6" s="1"/>
  <c r="W34" i="6" a="1"/>
  <c r="W34" i="6" s="1"/>
  <c r="I69" i="6" s="1"/>
  <c r="J34" i="6" a="1"/>
  <c r="J34" i="6" s="1"/>
  <c r="D69" i="6" s="1"/>
  <c r="I34" i="6" a="1"/>
  <c r="I34" i="6" s="1"/>
  <c r="H34" i="6" a="1"/>
  <c r="H34" i="6" s="1"/>
  <c r="F34" i="6" a="1"/>
  <c r="F34" i="6" s="1"/>
  <c r="E34" i="6"/>
  <c r="D34" i="6" a="1"/>
  <c r="D34" i="6" s="1"/>
  <c r="C34" i="6" a="1"/>
  <c r="C34" i="6" s="1"/>
  <c r="C69" i="6" s="1"/>
  <c r="AX33" i="6" a="1"/>
  <c r="AX33" i="6" s="1"/>
  <c r="Q68" i="6" s="1"/>
  <c r="AW33" i="6" a="1"/>
  <c r="AW33" i="6" s="1"/>
  <c r="AV33" i="6" a="1"/>
  <c r="AV33" i="6" s="1"/>
  <c r="AT33" i="6" a="1"/>
  <c r="AT33" i="6" s="1"/>
  <c r="AS33" i="6"/>
  <c r="AR33" i="6" a="1"/>
  <c r="AR33" i="6" s="1"/>
  <c r="AQ33" i="6" a="1"/>
  <c r="AQ33" i="6" s="1"/>
  <c r="P68" i="6" s="1"/>
  <c r="AN33" i="6" a="1"/>
  <c r="AN33" i="6" s="1"/>
  <c r="N68" i="6" s="1"/>
  <c r="AM33" i="6" a="1"/>
  <c r="AM33" i="6" s="1"/>
  <c r="AL33" i="6" a="1"/>
  <c r="AL33" i="6" s="1"/>
  <c r="AJ33" i="6" a="1"/>
  <c r="AJ33" i="6" s="1"/>
  <c r="AI33" i="6"/>
  <c r="AH33" i="6" a="1"/>
  <c r="AH33" i="6" s="1"/>
  <c r="AG33" i="6" a="1"/>
  <c r="AG33" i="6" s="1"/>
  <c r="AD33" i="6" a="1"/>
  <c r="AD33" i="6" s="1"/>
  <c r="J68" i="6" s="1"/>
  <c r="AC33" i="6" a="1"/>
  <c r="AC33" i="6" s="1"/>
  <c r="AB33" i="6" a="1"/>
  <c r="AB33" i="6" s="1"/>
  <c r="Z33" i="6" a="1"/>
  <c r="Z33" i="6" s="1"/>
  <c r="Y33" i="6"/>
  <c r="X33" i="6" a="1"/>
  <c r="X33" i="6" s="1"/>
  <c r="W33" i="6" a="1"/>
  <c r="W33" i="6" s="1"/>
  <c r="I68" i="6" s="1"/>
  <c r="J33" i="6" a="1"/>
  <c r="J33" i="6" s="1"/>
  <c r="D68" i="6" s="1"/>
  <c r="I33" i="6" a="1"/>
  <c r="I33" i="6" s="1"/>
  <c r="H33" i="6" a="1"/>
  <c r="H33" i="6" s="1"/>
  <c r="F33" i="6" a="1"/>
  <c r="F33" i="6" s="1"/>
  <c r="E33" i="6"/>
  <c r="D33" i="6" a="1"/>
  <c r="D33" i="6" s="1"/>
  <c r="C33" i="6" a="1"/>
  <c r="C33" i="6" s="1"/>
  <c r="C68" i="6" s="1"/>
  <c r="AX31" i="6" a="1"/>
  <c r="AX31" i="6" s="1"/>
  <c r="Q66" i="6" s="1"/>
  <c r="AW31" i="6" a="1"/>
  <c r="AW31" i="6" s="1"/>
  <c r="AV31" i="6" a="1"/>
  <c r="AV31" i="6" s="1"/>
  <c r="AT31" i="6" a="1"/>
  <c r="AT31" i="6" s="1"/>
  <c r="AS31" i="6"/>
  <c r="AR31" i="6" a="1"/>
  <c r="AR31" i="6" s="1"/>
  <c r="AQ31" i="6" a="1"/>
  <c r="AQ31" i="6" s="1"/>
  <c r="P66" i="6" s="1"/>
  <c r="AN31" i="6" a="1"/>
  <c r="AN31" i="6" s="1"/>
  <c r="N66" i="6" s="1"/>
  <c r="AM31" i="6" a="1"/>
  <c r="AM31" i="6" s="1"/>
  <c r="AL31" i="6" a="1"/>
  <c r="AL31" i="6" s="1"/>
  <c r="AJ31" i="6" a="1"/>
  <c r="AJ31" i="6" s="1"/>
  <c r="AI31" i="6"/>
  <c r="AH31" i="6" a="1"/>
  <c r="AH31" i="6" s="1"/>
  <c r="AG31" i="6" a="1"/>
  <c r="AG31" i="6" s="1"/>
  <c r="AD31" i="6" a="1"/>
  <c r="AD31" i="6" s="1"/>
  <c r="J66" i="6" s="1"/>
  <c r="AC31" i="6" a="1"/>
  <c r="AC31" i="6" s="1"/>
  <c r="AB31" i="6" a="1"/>
  <c r="AB31" i="6" s="1"/>
  <c r="Z31" i="6" a="1"/>
  <c r="Z31" i="6" s="1"/>
  <c r="Y31" i="6"/>
  <c r="X31" i="6" a="1"/>
  <c r="X31" i="6" s="1"/>
  <c r="W31" i="6" a="1"/>
  <c r="W31" i="6" s="1"/>
  <c r="I66" i="6" s="1"/>
  <c r="J31" i="6" a="1"/>
  <c r="J31" i="6" s="1"/>
  <c r="D66" i="6" s="1"/>
  <c r="I31" i="6" a="1"/>
  <c r="I31" i="6" s="1"/>
  <c r="H31" i="6" a="1"/>
  <c r="H31" i="6" s="1"/>
  <c r="F31" i="6" a="1"/>
  <c r="F31" i="6" s="1"/>
  <c r="E31" i="6"/>
  <c r="D31" i="6" a="1"/>
  <c r="D31" i="6" s="1"/>
  <c r="C31" i="6" a="1"/>
  <c r="C31" i="6" s="1"/>
  <c r="C66" i="6" s="1"/>
  <c r="AX30" i="6" a="1"/>
  <c r="AX30" i="6" s="1"/>
  <c r="Q65" i="6" s="1"/>
  <c r="AW30" i="6" a="1"/>
  <c r="AW30" i="6" s="1"/>
  <c r="AV30" i="6" a="1"/>
  <c r="AV30" i="6" s="1"/>
  <c r="AT30" i="6" a="1"/>
  <c r="AT30" i="6" s="1"/>
  <c r="AS30" i="6"/>
  <c r="AR30" i="6" a="1"/>
  <c r="AR30" i="6" s="1"/>
  <c r="AQ30" i="6" a="1"/>
  <c r="AQ30" i="6" s="1"/>
  <c r="P65" i="6" s="1"/>
  <c r="AN30" i="6" a="1"/>
  <c r="AN30" i="6" s="1"/>
  <c r="N65" i="6" s="1"/>
  <c r="AM30" i="6" a="1"/>
  <c r="AM30" i="6" s="1"/>
  <c r="AL30" i="6" a="1"/>
  <c r="AL30" i="6" s="1"/>
  <c r="AJ30" i="6" a="1"/>
  <c r="AJ30" i="6" s="1"/>
  <c r="AI30" i="6"/>
  <c r="AH30" i="6" a="1"/>
  <c r="AH30" i="6" s="1"/>
  <c r="AG30" i="6" a="1"/>
  <c r="AG30" i="6" s="1"/>
  <c r="M65" i="6" s="1"/>
  <c r="AD30" i="6" a="1"/>
  <c r="AD30" i="6" s="1"/>
  <c r="J65" i="6" s="1"/>
  <c r="AC30" i="6" a="1"/>
  <c r="AC30" i="6" s="1"/>
  <c r="AB30" i="6" a="1"/>
  <c r="AB30" i="6" s="1"/>
  <c r="Z30" i="6" a="1"/>
  <c r="Z30" i="6" s="1"/>
  <c r="Y30" i="6"/>
  <c r="X30" i="6" a="1"/>
  <c r="X30" i="6" s="1"/>
  <c r="W30" i="6" a="1"/>
  <c r="W30" i="6" s="1"/>
  <c r="I65" i="6" s="1"/>
  <c r="J30" i="6" a="1"/>
  <c r="J30" i="6" s="1"/>
  <c r="D65" i="6" s="1"/>
  <c r="I30" i="6" a="1"/>
  <c r="I30" i="6" s="1"/>
  <c r="H30" i="6" a="1"/>
  <c r="H30" i="6" s="1"/>
  <c r="F30" i="6" a="1"/>
  <c r="F30" i="6" s="1"/>
  <c r="E30" i="6"/>
  <c r="D30" i="6" a="1"/>
  <c r="D30" i="6" s="1"/>
  <c r="C30" i="6" a="1"/>
  <c r="C30" i="6" s="1"/>
  <c r="C65" i="6" s="1"/>
  <c r="AX29" i="6" a="1"/>
  <c r="AX29" i="6" s="1"/>
  <c r="Q64" i="6" s="1"/>
  <c r="AW29" i="6" a="1"/>
  <c r="AW29" i="6" s="1"/>
  <c r="AV29" i="6" a="1"/>
  <c r="AV29" i="6" s="1"/>
  <c r="AT29" i="6" a="1"/>
  <c r="AT29" i="6" s="1"/>
  <c r="AS29" i="6"/>
  <c r="AR29" i="6" a="1"/>
  <c r="AR29" i="6" s="1"/>
  <c r="AQ29" i="6" a="1"/>
  <c r="AQ29" i="6" s="1"/>
  <c r="P64" i="6" s="1"/>
  <c r="AN29" i="6" a="1"/>
  <c r="AN29" i="6" s="1"/>
  <c r="N64" i="6" s="1"/>
  <c r="AM29" i="6" a="1"/>
  <c r="AM29" i="6" s="1"/>
  <c r="AL29" i="6" a="1"/>
  <c r="AL29" i="6" s="1"/>
  <c r="AJ29" i="6" a="1"/>
  <c r="AJ29" i="6" s="1"/>
  <c r="AI29" i="6"/>
  <c r="AH29" i="6" a="1"/>
  <c r="AH29" i="6" s="1"/>
  <c r="AG29" i="6" a="1"/>
  <c r="AG29" i="6" s="1"/>
  <c r="M64" i="6" s="1"/>
  <c r="AD29" i="6" a="1"/>
  <c r="AD29" i="6" s="1"/>
  <c r="J64" i="6" s="1"/>
  <c r="AC29" i="6" a="1"/>
  <c r="AC29" i="6" s="1"/>
  <c r="AB29" i="6" a="1"/>
  <c r="AB29" i="6" s="1"/>
  <c r="Z29" i="6" a="1"/>
  <c r="Z29" i="6" s="1"/>
  <c r="Y29" i="6"/>
  <c r="X29" i="6" a="1"/>
  <c r="X29" i="6" s="1"/>
  <c r="W29" i="6" a="1"/>
  <c r="W29" i="6" s="1"/>
  <c r="I64" i="6" s="1"/>
  <c r="J29" i="6" a="1"/>
  <c r="J29" i="6" s="1"/>
  <c r="D64" i="6" s="1"/>
  <c r="I29" i="6" a="1"/>
  <c r="I29" i="6" s="1"/>
  <c r="H29" i="6" a="1"/>
  <c r="H29" i="6" s="1"/>
  <c r="F29" i="6" a="1"/>
  <c r="F29" i="6" s="1"/>
  <c r="E29" i="6"/>
  <c r="D29" i="6" a="1"/>
  <c r="D29" i="6" s="1"/>
  <c r="C29" i="6" a="1"/>
  <c r="C29" i="6" s="1"/>
  <c r="C64" i="6" s="1"/>
  <c r="AX22" i="6" a="1"/>
  <c r="AX22" i="6" s="1"/>
  <c r="Q57" i="6" s="1"/>
  <c r="AW22" i="6" a="1"/>
  <c r="AW22" i="6" s="1"/>
  <c r="AV22" i="6" a="1"/>
  <c r="AV22" i="6" s="1"/>
  <c r="AT22" i="6" a="1"/>
  <c r="AT22" i="6" s="1"/>
  <c r="AS22" i="6"/>
  <c r="AR22" i="6" a="1"/>
  <c r="AR22" i="6" s="1"/>
  <c r="AQ22" i="6" a="1"/>
  <c r="AQ22" i="6" s="1"/>
  <c r="P57" i="6" s="1"/>
  <c r="AN22" i="6" a="1"/>
  <c r="AN22" i="6" s="1"/>
  <c r="N57" i="6" s="1"/>
  <c r="AM22" i="6" a="1"/>
  <c r="AM22" i="6" s="1"/>
  <c r="AL22" i="6" a="1"/>
  <c r="AL22" i="6" s="1"/>
  <c r="AJ22" i="6" a="1"/>
  <c r="AJ22" i="6" s="1"/>
  <c r="AI22" i="6"/>
  <c r="AH22" i="6" a="1"/>
  <c r="AH22" i="6" s="1"/>
  <c r="AG22" i="6" a="1"/>
  <c r="AG22" i="6" s="1"/>
  <c r="M57" i="6" s="1"/>
  <c r="AD22" i="6" a="1"/>
  <c r="AD22" i="6" s="1"/>
  <c r="J57" i="6" s="1"/>
  <c r="AC22" i="6" a="1"/>
  <c r="AC22" i="6" s="1"/>
  <c r="AB22" i="6" a="1"/>
  <c r="AB22" i="6" s="1"/>
  <c r="Z22" i="6" a="1"/>
  <c r="Z22" i="6" s="1"/>
  <c r="Y22" i="6"/>
  <c r="X22" i="6" a="1"/>
  <c r="X22" i="6" s="1"/>
  <c r="W22" i="6" a="1"/>
  <c r="W22" i="6" s="1"/>
  <c r="I57" i="6" s="1"/>
  <c r="J22" i="6" a="1"/>
  <c r="J22" i="6" s="1"/>
  <c r="D57" i="6" s="1"/>
  <c r="I22" i="6" a="1"/>
  <c r="I22" i="6" s="1"/>
  <c r="H22" i="6" a="1"/>
  <c r="H22" i="6" s="1"/>
  <c r="F22" i="6" a="1"/>
  <c r="F22" i="6" s="1"/>
  <c r="E22" i="6"/>
  <c r="D22" i="6" a="1"/>
  <c r="D22" i="6" s="1"/>
  <c r="C22" i="6" a="1"/>
  <c r="C22" i="6" s="1"/>
  <c r="C57" i="6" s="1"/>
  <c r="AX21" i="6" a="1"/>
  <c r="AX21" i="6" s="1"/>
  <c r="Q56" i="6" s="1"/>
  <c r="AW21" i="6" a="1"/>
  <c r="AW21" i="6" s="1"/>
  <c r="AV21" i="6" a="1"/>
  <c r="AV21" i="6" s="1"/>
  <c r="AT21" i="6" a="1"/>
  <c r="AT21" i="6" s="1"/>
  <c r="AS21" i="6"/>
  <c r="AR21" i="6" a="1"/>
  <c r="AR21" i="6" s="1"/>
  <c r="AQ21" i="6" a="1"/>
  <c r="AQ21" i="6" s="1"/>
  <c r="P56" i="6" s="1"/>
  <c r="AN21" i="6" a="1"/>
  <c r="AN21" i="6" s="1"/>
  <c r="N56" i="6" s="1"/>
  <c r="AM21" i="6" a="1"/>
  <c r="AM21" i="6" s="1"/>
  <c r="AL21" i="6" a="1"/>
  <c r="AL21" i="6" s="1"/>
  <c r="AJ21" i="6" a="1"/>
  <c r="AJ21" i="6" s="1"/>
  <c r="AI21" i="6"/>
  <c r="AH21" i="6" a="1"/>
  <c r="AH21" i="6" s="1"/>
  <c r="AG21" i="6" a="1"/>
  <c r="AG21" i="6" s="1"/>
  <c r="M56" i="6" s="1"/>
  <c r="AD21" i="6" a="1"/>
  <c r="AD21" i="6" s="1"/>
  <c r="J56" i="6" s="1"/>
  <c r="AC21" i="6" a="1"/>
  <c r="AC21" i="6" s="1"/>
  <c r="AB21" i="6" a="1"/>
  <c r="AB21" i="6" s="1"/>
  <c r="Z21" i="6" a="1"/>
  <c r="Z21" i="6" s="1"/>
  <c r="Y21" i="6"/>
  <c r="X21" i="6" a="1"/>
  <c r="X21" i="6" s="1"/>
  <c r="W21" i="6" a="1"/>
  <c r="W21" i="6" s="1"/>
  <c r="I56" i="6" s="1"/>
  <c r="J21" i="6" a="1"/>
  <c r="J21" i="6" s="1"/>
  <c r="D56" i="6" s="1"/>
  <c r="I21" i="6" a="1"/>
  <c r="I21" i="6" s="1"/>
  <c r="H21" i="6" a="1"/>
  <c r="H21" i="6" s="1"/>
  <c r="F21" i="6" a="1"/>
  <c r="F21" i="6" s="1"/>
  <c r="E21" i="6"/>
  <c r="D21" i="6" a="1"/>
  <c r="D21" i="6" s="1"/>
  <c r="C21" i="6" a="1"/>
  <c r="C21" i="6" s="1"/>
  <c r="C56" i="6" s="1"/>
  <c r="AX20" i="6" a="1"/>
  <c r="AX20" i="6" s="1"/>
  <c r="Q55" i="6" s="1"/>
  <c r="AW20" i="6" a="1"/>
  <c r="AW20" i="6" s="1"/>
  <c r="AV20" i="6" a="1"/>
  <c r="AV20" i="6" s="1"/>
  <c r="AT20" i="6" a="1"/>
  <c r="AT20" i="6" s="1"/>
  <c r="AS20" i="6"/>
  <c r="AR20" i="6" a="1"/>
  <c r="AR20" i="6" s="1"/>
  <c r="AQ20" i="6" a="1"/>
  <c r="AQ20" i="6" s="1"/>
  <c r="P55" i="6" s="1"/>
  <c r="AN20" i="6" a="1"/>
  <c r="AN20" i="6" s="1"/>
  <c r="N55" i="6" s="1"/>
  <c r="AM20" i="6" a="1"/>
  <c r="AM20" i="6" s="1"/>
  <c r="AL20" i="6" a="1"/>
  <c r="AL20" i="6" s="1"/>
  <c r="AJ20" i="6" a="1"/>
  <c r="AJ20" i="6" s="1"/>
  <c r="AI20" i="6"/>
  <c r="AH20" i="6" a="1"/>
  <c r="AH20" i="6" s="1"/>
  <c r="AG20" i="6" a="1"/>
  <c r="AG20" i="6" s="1"/>
  <c r="M55" i="6" s="1"/>
  <c r="AD20" i="6" a="1"/>
  <c r="AD20" i="6" s="1"/>
  <c r="J55" i="6" s="1"/>
  <c r="AC20" i="6" a="1"/>
  <c r="AC20" i="6" s="1"/>
  <c r="AB20" i="6" a="1"/>
  <c r="AB20" i="6" s="1"/>
  <c r="Z20" i="6" a="1"/>
  <c r="Z20" i="6" s="1"/>
  <c r="Y20" i="6"/>
  <c r="X20" i="6" a="1"/>
  <c r="X20" i="6" s="1"/>
  <c r="W20" i="6" a="1"/>
  <c r="W20" i="6" s="1"/>
  <c r="I55" i="6" s="1"/>
  <c r="J20" i="6" a="1"/>
  <c r="J20" i="6" s="1"/>
  <c r="D55" i="6" s="1"/>
  <c r="I20" i="6" a="1"/>
  <c r="I20" i="6" s="1"/>
  <c r="H20" i="6" a="1"/>
  <c r="H20" i="6" s="1"/>
  <c r="F20" i="6" a="1"/>
  <c r="F20" i="6" s="1"/>
  <c r="E20" i="6"/>
  <c r="D20" i="6" a="1"/>
  <c r="D20" i="6" s="1"/>
  <c r="C20" i="6" a="1"/>
  <c r="C20" i="6" s="1"/>
  <c r="AX19" i="6" a="1"/>
  <c r="AX19" i="6" s="1"/>
  <c r="Q54" i="6" s="1"/>
  <c r="AW19" i="6" a="1"/>
  <c r="AW19" i="6" s="1"/>
  <c r="AV19" i="6" a="1"/>
  <c r="AV19" i="6" s="1"/>
  <c r="AT19" i="6" a="1"/>
  <c r="AT19" i="6" s="1"/>
  <c r="AS19" i="6"/>
  <c r="AR19" i="6" a="1"/>
  <c r="AR19" i="6" s="1"/>
  <c r="AQ19" i="6" a="1"/>
  <c r="AQ19" i="6" s="1"/>
  <c r="P54" i="6" s="1"/>
  <c r="AN19" i="6" a="1"/>
  <c r="AN19" i="6" s="1"/>
  <c r="N54" i="6" s="1"/>
  <c r="AM19" i="6" a="1"/>
  <c r="AM19" i="6" s="1"/>
  <c r="AL19" i="6" a="1"/>
  <c r="AL19" i="6" s="1"/>
  <c r="AJ19" i="6" a="1"/>
  <c r="AJ19" i="6" s="1"/>
  <c r="AI19" i="6"/>
  <c r="AH19" i="6" a="1"/>
  <c r="AH19" i="6" s="1"/>
  <c r="AG19" i="6" a="1"/>
  <c r="AG19" i="6" s="1"/>
  <c r="M54" i="6" s="1"/>
  <c r="AD19" i="6" a="1"/>
  <c r="AD19" i="6" s="1"/>
  <c r="J54" i="6" s="1"/>
  <c r="AC19" i="6" a="1"/>
  <c r="AC19" i="6" s="1"/>
  <c r="AB19" i="6" a="1"/>
  <c r="AB19" i="6" s="1"/>
  <c r="Z19" i="6" a="1"/>
  <c r="Z19" i="6" s="1"/>
  <c r="Y19" i="6"/>
  <c r="X19" i="6" a="1"/>
  <c r="X19" i="6" s="1"/>
  <c r="W19" i="6" a="1"/>
  <c r="W19" i="6" s="1"/>
  <c r="I54" i="6" s="1"/>
  <c r="J19" i="6" a="1"/>
  <c r="J19" i="6" s="1"/>
  <c r="D54" i="6" s="1"/>
  <c r="I19" i="6" a="1"/>
  <c r="I19" i="6" s="1"/>
  <c r="H19" i="6" a="1"/>
  <c r="H19" i="6" s="1"/>
  <c r="F19" i="6" a="1"/>
  <c r="F19" i="6" s="1"/>
  <c r="E19" i="6"/>
  <c r="D19" i="6" a="1"/>
  <c r="D19" i="6" s="1"/>
  <c r="C19" i="6" a="1"/>
  <c r="C19" i="6" s="1"/>
  <c r="C54" i="6" s="1"/>
  <c r="AX17" i="6" a="1"/>
  <c r="AX17" i="6" s="1"/>
  <c r="Q52" i="6" s="1"/>
  <c r="AW17" i="6" a="1"/>
  <c r="AW17" i="6" s="1"/>
  <c r="AV17" i="6" a="1"/>
  <c r="AV17" i="6" s="1"/>
  <c r="AT17" i="6" a="1"/>
  <c r="AT17" i="6" s="1"/>
  <c r="AS17" i="6"/>
  <c r="AR17" i="6" a="1"/>
  <c r="AR17" i="6" s="1"/>
  <c r="AQ17" i="6" a="1"/>
  <c r="AQ17" i="6" s="1"/>
  <c r="P52" i="6" s="1"/>
  <c r="AN17" i="6" a="1"/>
  <c r="AN17" i="6" s="1"/>
  <c r="N52" i="6" s="1"/>
  <c r="AM17" i="6" a="1"/>
  <c r="AM17" i="6" s="1"/>
  <c r="AL17" i="6" a="1"/>
  <c r="AL17" i="6" s="1"/>
  <c r="AJ17" i="6" a="1"/>
  <c r="AJ17" i="6" s="1"/>
  <c r="AI17" i="6"/>
  <c r="AH17" i="6" a="1"/>
  <c r="AH17" i="6" s="1"/>
  <c r="AG17" i="6" a="1"/>
  <c r="AG17" i="6" s="1"/>
  <c r="M52" i="6" s="1"/>
  <c r="AD17" i="6" a="1"/>
  <c r="AD17" i="6" s="1"/>
  <c r="J52" i="6" s="1"/>
  <c r="AC17" i="6" a="1"/>
  <c r="AC17" i="6" s="1"/>
  <c r="AB17" i="6" a="1"/>
  <c r="AB17" i="6" s="1"/>
  <c r="AA17" i="6" a="1"/>
  <c r="AA17" i="6" s="1"/>
  <c r="Z17" i="6" a="1"/>
  <c r="Z17" i="6" s="1"/>
  <c r="Y17" i="6"/>
  <c r="X17" i="6" a="1"/>
  <c r="X17" i="6" s="1"/>
  <c r="W17" i="6" a="1"/>
  <c r="W17" i="6" s="1"/>
  <c r="I52" i="6" s="1"/>
  <c r="J17" i="6" a="1"/>
  <c r="J17" i="6" s="1"/>
  <c r="D52" i="6" s="1"/>
  <c r="I17" i="6" a="1"/>
  <c r="I17" i="6" s="1"/>
  <c r="H17" i="6" a="1"/>
  <c r="H17" i="6" s="1"/>
  <c r="F17" i="6" a="1"/>
  <c r="F17" i="6" s="1"/>
  <c r="E17" i="6"/>
  <c r="D17" i="6" a="1"/>
  <c r="D17" i="6" s="1"/>
  <c r="C17" i="6" a="1"/>
  <c r="C17" i="6" s="1"/>
  <c r="AX16" i="6" a="1"/>
  <c r="AX16" i="6" s="1"/>
  <c r="Q51" i="6" s="1"/>
  <c r="AW16" i="6" a="1"/>
  <c r="AW16" i="6" s="1"/>
  <c r="AV16" i="6" a="1"/>
  <c r="AV16" i="6" s="1"/>
  <c r="AT16" i="6" a="1"/>
  <c r="AT16" i="6" s="1"/>
  <c r="AS16" i="6"/>
  <c r="AR16" i="6" a="1"/>
  <c r="AR16" i="6" s="1"/>
  <c r="AQ16" i="6" a="1"/>
  <c r="AQ16" i="6" s="1"/>
  <c r="P51" i="6" s="1"/>
  <c r="AN16" i="6" a="1"/>
  <c r="AN16" i="6" s="1"/>
  <c r="N51" i="6" s="1"/>
  <c r="AM16" i="6" a="1"/>
  <c r="AM16" i="6" s="1"/>
  <c r="AL16" i="6" a="1"/>
  <c r="AL16" i="6" s="1"/>
  <c r="AJ16" i="6" a="1"/>
  <c r="AJ16" i="6" s="1"/>
  <c r="AI16" i="6"/>
  <c r="AH16" i="6" a="1"/>
  <c r="AH16" i="6" s="1"/>
  <c r="AG16" i="6" a="1"/>
  <c r="AG16" i="6" s="1"/>
  <c r="M51" i="6" s="1"/>
  <c r="AD16" i="6" a="1"/>
  <c r="AD16" i="6" s="1"/>
  <c r="J51" i="6" s="1"/>
  <c r="AC16" i="6" a="1"/>
  <c r="AC16" i="6" s="1"/>
  <c r="AB16" i="6" a="1"/>
  <c r="AB16" i="6" s="1"/>
  <c r="AA16" i="6" a="1"/>
  <c r="AA16" i="6" s="1"/>
  <c r="Z16" i="6" a="1"/>
  <c r="Z16" i="6" s="1"/>
  <c r="Y16" i="6"/>
  <c r="X16" i="6" a="1"/>
  <c r="X16" i="6" s="1"/>
  <c r="W16" i="6" a="1"/>
  <c r="W16" i="6" s="1"/>
  <c r="I51" i="6" s="1"/>
  <c r="J16" i="6" a="1"/>
  <c r="J16" i="6" s="1"/>
  <c r="D51" i="6" s="1"/>
  <c r="I16" i="6" a="1"/>
  <c r="I16" i="6" s="1"/>
  <c r="H16" i="6" a="1"/>
  <c r="H16" i="6" s="1"/>
  <c r="F16" i="6" a="1"/>
  <c r="F16" i="6" s="1"/>
  <c r="E16" i="6"/>
  <c r="D16" i="6" a="1"/>
  <c r="D16" i="6" s="1"/>
  <c r="C16" i="6" a="1"/>
  <c r="C16" i="6" s="1"/>
  <c r="C51" i="6" s="1"/>
  <c r="AX15" i="6" a="1"/>
  <c r="AX15" i="6" s="1"/>
  <c r="Q50" i="6" s="1"/>
  <c r="AW15" i="6" a="1"/>
  <c r="AW15" i="6" s="1"/>
  <c r="AV15" i="6" a="1"/>
  <c r="AV15" i="6" s="1"/>
  <c r="AT15" i="6" a="1"/>
  <c r="AT15" i="6" s="1"/>
  <c r="AS15" i="6"/>
  <c r="AR15" i="6" a="1"/>
  <c r="AR15" i="6" s="1"/>
  <c r="AQ15" i="6" a="1"/>
  <c r="AQ15" i="6" s="1"/>
  <c r="AN15" i="6" a="1"/>
  <c r="AN15" i="6" s="1"/>
  <c r="N50" i="6" s="1"/>
  <c r="AM15" i="6" a="1"/>
  <c r="AM15" i="6" s="1"/>
  <c r="AL15" i="6" a="1"/>
  <c r="AL15" i="6" s="1"/>
  <c r="AJ15" i="6" a="1"/>
  <c r="AJ15" i="6" s="1"/>
  <c r="AI15" i="6"/>
  <c r="AH15" i="6" a="1"/>
  <c r="AH15" i="6" s="1"/>
  <c r="AG15" i="6" a="1"/>
  <c r="AG15" i="6" s="1"/>
  <c r="M50" i="6" s="1"/>
  <c r="AD15" i="6" a="1"/>
  <c r="AD15" i="6" s="1"/>
  <c r="J50" i="6" s="1"/>
  <c r="AC15" i="6" a="1"/>
  <c r="AC15" i="6" s="1"/>
  <c r="AB15" i="6" a="1"/>
  <c r="AB15" i="6" s="1"/>
  <c r="Z15" i="6" a="1"/>
  <c r="Z15" i="6" s="1"/>
  <c r="Y15" i="6"/>
  <c r="X15" i="6" a="1"/>
  <c r="X15" i="6" s="1"/>
  <c r="W15" i="6" a="1"/>
  <c r="W15" i="6" s="1"/>
  <c r="I50" i="6" s="1"/>
  <c r="J15" i="6" a="1"/>
  <c r="J15" i="6" s="1"/>
  <c r="D50" i="6" s="1"/>
  <c r="I15" i="6" a="1"/>
  <c r="I15" i="6" s="1"/>
  <c r="H15" i="6" a="1"/>
  <c r="H15" i="6" s="1"/>
  <c r="F15" i="6" a="1"/>
  <c r="F15" i="6" s="1"/>
  <c r="E15" i="6"/>
  <c r="D15" i="6" a="1"/>
  <c r="D15" i="6" s="1"/>
  <c r="C15" i="6" a="1"/>
  <c r="C15" i="6" s="1"/>
  <c r="C50" i="6" s="1"/>
  <c r="AX14" i="6" a="1"/>
  <c r="AX14" i="6" s="1"/>
  <c r="Q49" i="6" s="1"/>
  <c r="AW14" i="6" a="1"/>
  <c r="AW14" i="6" s="1"/>
  <c r="AV14" i="6" a="1"/>
  <c r="AV14" i="6" s="1"/>
  <c r="AT14" i="6" a="1"/>
  <c r="AT14" i="6" s="1"/>
  <c r="AS14" i="6"/>
  <c r="AR14" i="6" a="1"/>
  <c r="AR14" i="6" s="1"/>
  <c r="AQ14" i="6" a="1"/>
  <c r="AQ14" i="6" s="1"/>
  <c r="P49" i="6" s="1"/>
  <c r="AN14" i="6" a="1"/>
  <c r="AN14" i="6" s="1"/>
  <c r="N49" i="6" s="1"/>
  <c r="AM14" i="6" a="1"/>
  <c r="AM14" i="6" s="1"/>
  <c r="AL14" i="6" a="1"/>
  <c r="AL14" i="6" s="1"/>
  <c r="AJ14" i="6" a="1"/>
  <c r="AJ14" i="6" s="1"/>
  <c r="AI14" i="6"/>
  <c r="AH14" i="6" a="1"/>
  <c r="AH14" i="6" s="1"/>
  <c r="AG14" i="6" a="1"/>
  <c r="AG14" i="6" s="1"/>
  <c r="M49" i="6" s="1"/>
  <c r="AD14" i="6" a="1"/>
  <c r="AD14" i="6" s="1"/>
  <c r="J49" i="6" s="1"/>
  <c r="AC14" i="6" a="1"/>
  <c r="AC14" i="6" s="1"/>
  <c r="AB14" i="6" a="1"/>
  <c r="AB14" i="6" s="1"/>
  <c r="Z14" i="6" a="1"/>
  <c r="Z14" i="6" s="1"/>
  <c r="Y14" i="6"/>
  <c r="X14" i="6" a="1"/>
  <c r="X14" i="6" s="1"/>
  <c r="W14" i="6" a="1"/>
  <c r="W14" i="6" s="1"/>
  <c r="I49" i="6" s="1"/>
  <c r="J14" i="6" a="1"/>
  <c r="J14" i="6" s="1"/>
  <c r="D49" i="6" s="1"/>
  <c r="I14" i="6" a="1"/>
  <c r="I14" i="6" s="1"/>
  <c r="H14" i="6" a="1"/>
  <c r="H14" i="6" s="1"/>
  <c r="F14" i="6" a="1"/>
  <c r="F14" i="6" s="1"/>
  <c r="E14" i="6"/>
  <c r="D14" i="6" a="1"/>
  <c r="D14" i="6" s="1"/>
  <c r="C14" i="6" a="1"/>
  <c r="C14" i="6" s="1"/>
  <c r="C49" i="6" s="1"/>
  <c r="C10" i="6" a="1"/>
  <c r="C10" i="6" s="1"/>
  <c r="C45" i="6" s="1"/>
  <c r="AX8" i="6" a="1"/>
  <c r="AX8" i="6" s="1"/>
  <c r="Q43" i="6" s="1"/>
  <c r="AW8" i="6" a="1"/>
  <c r="AW8" i="6" s="1"/>
  <c r="AV8" i="6" a="1"/>
  <c r="AV8" i="6" s="1"/>
  <c r="AT8" i="6" a="1"/>
  <c r="AT8" i="6" s="1"/>
  <c r="AS8" i="6"/>
  <c r="AR8" i="6" a="1"/>
  <c r="AR8" i="6" s="1"/>
  <c r="AQ8" i="6" a="1"/>
  <c r="AQ8" i="6" s="1"/>
  <c r="P43" i="6" s="1"/>
  <c r="AN8" i="6" a="1"/>
  <c r="AN8" i="6" s="1"/>
  <c r="N43" i="6" s="1"/>
  <c r="AM8" i="6" a="1"/>
  <c r="AM8" i="6" s="1"/>
  <c r="AL8" i="6" a="1"/>
  <c r="AL8" i="6" s="1"/>
  <c r="AJ8" i="6" a="1"/>
  <c r="AJ8" i="6" s="1"/>
  <c r="AI8" i="6"/>
  <c r="AH8" i="6" a="1"/>
  <c r="AH8" i="6" s="1"/>
  <c r="AG8" i="6" a="1"/>
  <c r="AG8" i="6" s="1"/>
  <c r="M43" i="6" s="1"/>
  <c r="AD8" i="6" a="1"/>
  <c r="AD8" i="6" s="1"/>
  <c r="J43" i="6" s="1"/>
  <c r="AC8" i="6" a="1"/>
  <c r="AC8" i="6" s="1"/>
  <c r="AB8" i="6" a="1"/>
  <c r="AB8" i="6" s="1"/>
  <c r="Z8" i="6" a="1"/>
  <c r="Z8" i="6" s="1"/>
  <c r="Y8" i="6"/>
  <c r="X8" i="6" a="1"/>
  <c r="X8" i="6" s="1"/>
  <c r="W8" i="6" a="1"/>
  <c r="W8" i="6" s="1"/>
  <c r="J8" i="6" a="1"/>
  <c r="J8" i="6" s="1"/>
  <c r="D43" i="6" s="1"/>
  <c r="I8" i="6" a="1"/>
  <c r="I8" i="6" s="1"/>
  <c r="H8" i="6" a="1"/>
  <c r="H8" i="6" s="1"/>
  <c r="F8" i="6" a="1"/>
  <c r="F8" i="6" s="1"/>
  <c r="E8" i="6"/>
  <c r="D8" i="6" a="1"/>
  <c r="D8" i="6" s="1"/>
  <c r="C8" i="6" a="1"/>
  <c r="C8" i="6" s="1"/>
  <c r="C43" i="6" s="1"/>
  <c r="AX7" i="6" a="1"/>
  <c r="AX7" i="6" s="1"/>
  <c r="Q42" i="6" s="1"/>
  <c r="AW7" i="6" a="1"/>
  <c r="AW7" i="6" s="1"/>
  <c r="AV7" i="6" a="1"/>
  <c r="AV7" i="6" s="1"/>
  <c r="AT7" i="6" a="1"/>
  <c r="AT7" i="6" s="1"/>
  <c r="AS7" i="6"/>
  <c r="AR7" i="6" a="1"/>
  <c r="AR7" i="6" s="1"/>
  <c r="AQ7" i="6" a="1"/>
  <c r="AQ7" i="6" s="1"/>
  <c r="P42" i="6" s="1"/>
  <c r="AN7" i="6" a="1"/>
  <c r="AN7" i="6" s="1"/>
  <c r="N42" i="6" s="1"/>
  <c r="AM7" i="6" a="1"/>
  <c r="AM7" i="6" s="1"/>
  <c r="AL7" i="6" a="1"/>
  <c r="AL7" i="6" s="1"/>
  <c r="AJ7" i="6" a="1"/>
  <c r="AJ7" i="6" s="1"/>
  <c r="AI7" i="6"/>
  <c r="AH7" i="6" a="1"/>
  <c r="AH7" i="6" s="1"/>
  <c r="AG7" i="6" a="1"/>
  <c r="AG7" i="6" s="1"/>
  <c r="AD7" i="6" a="1"/>
  <c r="AD7" i="6" s="1"/>
  <c r="J42" i="6" s="1"/>
  <c r="AC7" i="6" a="1"/>
  <c r="AC7" i="6" s="1"/>
  <c r="AB7" i="6" a="1"/>
  <c r="AB7" i="6" s="1"/>
  <c r="Z7" i="6" a="1"/>
  <c r="Z7" i="6" s="1"/>
  <c r="Y7" i="6"/>
  <c r="X7" i="6" a="1"/>
  <c r="X7" i="6" s="1"/>
  <c r="W7" i="6" a="1"/>
  <c r="W7" i="6" s="1"/>
  <c r="I42" i="6" s="1"/>
  <c r="J7" i="6" a="1"/>
  <c r="J7" i="6" s="1"/>
  <c r="D42" i="6" s="1"/>
  <c r="I7" i="6" a="1"/>
  <c r="I7" i="6" s="1"/>
  <c r="H7" i="6" a="1"/>
  <c r="H7" i="6" s="1"/>
  <c r="F7" i="6" a="1"/>
  <c r="F7" i="6" s="1"/>
  <c r="E7" i="6"/>
  <c r="D7" i="6" a="1"/>
  <c r="D7" i="6" s="1"/>
  <c r="C7" i="6" a="1"/>
  <c r="C7" i="6" s="1"/>
  <c r="C42" i="6" s="1"/>
  <c r="AX6" i="6" a="1"/>
  <c r="AX6" i="6" s="1"/>
  <c r="Q41" i="6" s="1"/>
  <c r="AW6" i="6" a="1"/>
  <c r="AW6" i="6" s="1"/>
  <c r="AV6" i="6" a="1"/>
  <c r="AV6" i="6" s="1"/>
  <c r="AT6" i="6" a="1"/>
  <c r="AT6" i="6" s="1"/>
  <c r="AS6" i="6"/>
  <c r="AR6" i="6" a="1"/>
  <c r="AR6" i="6" s="1"/>
  <c r="AQ6" i="6" a="1"/>
  <c r="AQ6" i="6" s="1"/>
  <c r="P41" i="6" s="1"/>
  <c r="AN6" i="6" a="1"/>
  <c r="AN6" i="6" s="1"/>
  <c r="N41" i="6" s="1"/>
  <c r="AM6" i="6" a="1"/>
  <c r="AM6" i="6" s="1"/>
  <c r="AL6" i="6" a="1"/>
  <c r="AL6" i="6" s="1"/>
  <c r="AJ6" i="6" a="1"/>
  <c r="AJ6" i="6" s="1"/>
  <c r="AI6" i="6"/>
  <c r="AH6" i="6" a="1"/>
  <c r="AH6" i="6" s="1"/>
  <c r="AG6" i="6" a="1"/>
  <c r="AG6" i="6" s="1"/>
  <c r="M41" i="6" s="1"/>
  <c r="AD6" i="6" a="1"/>
  <c r="AD6" i="6" s="1"/>
  <c r="J41" i="6" s="1"/>
  <c r="AC6" i="6" a="1"/>
  <c r="AC6" i="6" s="1"/>
  <c r="AB6" i="6" a="1"/>
  <c r="AB6" i="6" s="1"/>
  <c r="Z6" i="6" a="1"/>
  <c r="Z6" i="6" s="1"/>
  <c r="Y6" i="6"/>
  <c r="X6" i="6" a="1"/>
  <c r="X6" i="6" s="1"/>
  <c r="W6" i="6" a="1"/>
  <c r="W6" i="6" s="1"/>
  <c r="I41" i="6" s="1"/>
  <c r="J6" i="6" a="1"/>
  <c r="J6" i="6" s="1"/>
  <c r="D41" i="6" s="1"/>
  <c r="I6" i="6" a="1"/>
  <c r="I6" i="6" s="1"/>
  <c r="H6" i="6" a="1"/>
  <c r="H6" i="6" s="1"/>
  <c r="F6" i="6" a="1"/>
  <c r="F6" i="6" s="1"/>
  <c r="E6" i="6"/>
  <c r="D6" i="6" a="1"/>
  <c r="D6" i="6" s="1"/>
  <c r="C6" i="6" a="1"/>
  <c r="C6" i="6" s="1"/>
  <c r="C41" i="6" s="1"/>
  <c r="CQ4" i="6"/>
  <c r="CP4" i="6" a="1"/>
  <c r="CP4" i="6" s="1"/>
  <c r="CO4" i="6" a="1"/>
  <c r="CO4" i="6" s="1"/>
  <c r="CB4" i="6" a="1"/>
  <c r="CB4" i="6" s="1"/>
  <c r="CA4" i="6" a="1"/>
  <c r="CA4" i="6" s="1"/>
  <c r="BZ4" i="6" a="1"/>
  <c r="BZ4" i="6" s="1"/>
  <c r="BX4" i="6" a="1"/>
  <c r="BX4" i="6" s="1"/>
  <c r="BW4" i="6"/>
  <c r="BV4" i="6" a="1"/>
  <c r="BV4" i="6" s="1"/>
  <c r="BU4" i="6" a="1"/>
  <c r="BU4" i="6" s="1"/>
  <c r="BR4" i="6" a="1"/>
  <c r="BR4" i="6" s="1"/>
  <c r="BQ4" i="6" a="1"/>
  <c r="BQ4" i="6" s="1"/>
  <c r="BP4" i="6" a="1"/>
  <c r="BP4" i="6" s="1"/>
  <c r="BN4" i="6" a="1"/>
  <c r="BN4" i="6" s="1"/>
  <c r="BM4" i="6"/>
  <c r="BL4" i="6" a="1"/>
  <c r="BL4" i="6" s="1"/>
  <c r="BK4" i="6" a="1"/>
  <c r="BK4" i="6" s="1"/>
  <c r="BH4" i="6" a="1"/>
  <c r="BH4" i="6" s="1"/>
  <c r="BG4" i="6" a="1"/>
  <c r="BG4" i="6" s="1"/>
  <c r="BF4" i="6" a="1"/>
  <c r="BF4" i="6" s="1"/>
  <c r="BD4" i="6" a="1"/>
  <c r="BD4" i="6" s="1"/>
  <c r="BC4" i="6"/>
  <c r="BB4" i="6" a="1"/>
  <c r="BB4" i="6" s="1"/>
  <c r="BA4" i="6" a="1"/>
  <c r="BA4" i="6" s="1"/>
  <c r="AX4" i="6" a="1"/>
  <c r="AX4" i="6" s="1"/>
  <c r="Q39" i="6" s="1"/>
  <c r="AW4" i="6" a="1"/>
  <c r="AW4" i="6" s="1"/>
  <c r="AV4" i="6" a="1"/>
  <c r="AV4" i="6" s="1"/>
  <c r="AT4" i="6" a="1"/>
  <c r="AT4" i="6" s="1"/>
  <c r="AS4" i="6"/>
  <c r="AR4" i="6" a="1"/>
  <c r="AR4" i="6" s="1"/>
  <c r="AQ4" i="6" a="1"/>
  <c r="AQ4" i="6" s="1"/>
  <c r="P39" i="6" s="1"/>
  <c r="AN4" i="6" a="1"/>
  <c r="AN4" i="6" s="1"/>
  <c r="N39" i="6" s="1"/>
  <c r="AM4" i="6" a="1"/>
  <c r="AM4" i="6" s="1"/>
  <c r="AL4" i="6" a="1"/>
  <c r="AL4" i="6" s="1"/>
  <c r="AJ4" i="6" a="1"/>
  <c r="AJ4" i="6" s="1"/>
  <c r="AI4" i="6"/>
  <c r="AH4" i="6" a="1"/>
  <c r="AH4" i="6" s="1"/>
  <c r="AG4" i="6" a="1"/>
  <c r="AG4" i="6" s="1"/>
  <c r="M39" i="6" s="1"/>
  <c r="AD4" i="6" a="1"/>
  <c r="AD4" i="6" s="1"/>
  <c r="J39" i="6" s="1"/>
  <c r="AC4" i="6" a="1"/>
  <c r="AC4" i="6" s="1"/>
  <c r="AB4" i="6" a="1"/>
  <c r="AB4" i="6" s="1"/>
  <c r="Z4" i="6" a="1"/>
  <c r="Z4" i="6" s="1"/>
  <c r="Y4" i="6"/>
  <c r="X4" i="6" a="1"/>
  <c r="X4" i="6" s="1"/>
  <c r="W4" i="6" a="1"/>
  <c r="W4" i="6" s="1"/>
  <c r="I39" i="6" s="1"/>
  <c r="J4" i="6" a="1"/>
  <c r="J4" i="6" s="1"/>
  <c r="D39" i="6" s="1"/>
  <c r="I4" i="6" a="1"/>
  <c r="I4" i="6" s="1"/>
  <c r="H4" i="6" a="1"/>
  <c r="H4" i="6" s="1"/>
  <c r="F4" i="6" a="1"/>
  <c r="F4" i="6" s="1"/>
  <c r="E4" i="6"/>
  <c r="D4" i="6" a="1"/>
  <c r="D4" i="6" s="1"/>
  <c r="C4" i="6" a="1"/>
  <c r="C4" i="6" s="1"/>
  <c r="C39" i="6" s="1"/>
  <c r="K88" i="5"/>
  <c r="O88" i="5" s="1"/>
  <c r="R87" i="5"/>
  <c r="K87" i="5"/>
  <c r="O87" i="5" s="1"/>
  <c r="R86" i="5"/>
  <c r="K86" i="5"/>
  <c r="O86" i="5" s="1"/>
  <c r="R85" i="5"/>
  <c r="K85" i="5"/>
  <c r="O85" i="5" s="1"/>
  <c r="R84" i="5"/>
  <c r="K84" i="5"/>
  <c r="O84" i="5" s="1"/>
  <c r="R83" i="5"/>
  <c r="K83" i="5"/>
  <c r="O83" i="5" s="1"/>
  <c r="K82" i="5"/>
  <c r="O82" i="5" s="1"/>
  <c r="K81" i="5"/>
  <c r="O81" i="5" s="1"/>
  <c r="R80" i="5"/>
  <c r="K80" i="5"/>
  <c r="O80" i="5" s="1"/>
  <c r="K79" i="5"/>
  <c r="O79" i="5" s="1"/>
  <c r="K78" i="5"/>
  <c r="O78" i="5" s="1"/>
  <c r="K77" i="5"/>
  <c r="O77" i="5" s="1"/>
  <c r="R76" i="5"/>
  <c r="K76" i="5"/>
  <c r="O76" i="5" s="1"/>
  <c r="R75" i="5"/>
  <c r="K75" i="5"/>
  <c r="O75" i="5" s="1"/>
  <c r="K74" i="5"/>
  <c r="O74" i="5" s="1"/>
  <c r="R73" i="5"/>
  <c r="K73" i="5"/>
  <c r="O73" i="5" s="1"/>
  <c r="K72" i="5"/>
  <c r="O72" i="5" s="1"/>
  <c r="K71" i="5"/>
  <c r="O71" i="5" s="1"/>
  <c r="R70" i="5"/>
  <c r="K70" i="5"/>
  <c r="O70" i="5" s="1"/>
  <c r="R69" i="5"/>
  <c r="K69" i="5"/>
  <c r="O69" i="5" s="1"/>
  <c r="K68" i="5"/>
  <c r="O68" i="5" s="1"/>
  <c r="K67" i="5"/>
  <c r="O67" i="5" s="1"/>
  <c r="R66" i="5"/>
  <c r="K66" i="5"/>
  <c r="O66" i="5" s="1"/>
  <c r="K65" i="5"/>
  <c r="O65" i="5" s="1"/>
  <c r="R64" i="5"/>
  <c r="K64" i="5"/>
  <c r="O64" i="5" s="1"/>
  <c r="K63" i="5"/>
  <c r="O63" i="5" s="1"/>
  <c r="R62" i="5"/>
  <c r="K62" i="5"/>
  <c r="O62" i="5" s="1"/>
  <c r="K61" i="5"/>
  <c r="O61" i="5" s="1"/>
  <c r="K60" i="5"/>
  <c r="O60" i="5" s="1"/>
  <c r="R59" i="5"/>
  <c r="K59" i="5"/>
  <c r="O59" i="5" s="1"/>
  <c r="R58" i="5"/>
  <c r="K58" i="5"/>
  <c r="O58" i="5" s="1"/>
  <c r="K57" i="5"/>
  <c r="O57" i="5" s="1"/>
  <c r="R56" i="5"/>
  <c r="K56" i="5"/>
  <c r="O56" i="5" s="1"/>
  <c r="K55" i="5"/>
  <c r="O55" i="5" s="1"/>
  <c r="R54" i="5"/>
  <c r="K54" i="5"/>
  <c r="O54" i="5" s="1"/>
  <c r="K53" i="5"/>
  <c r="O53" i="5" s="1"/>
  <c r="K52" i="5"/>
  <c r="O52" i="5" s="1"/>
  <c r="K51" i="5"/>
  <c r="O51" i="5" s="1"/>
  <c r="K50" i="5"/>
  <c r="O50" i="5" s="1"/>
  <c r="R49" i="5"/>
  <c r="K49" i="5"/>
  <c r="O49" i="5" s="1"/>
  <c r="K48" i="5"/>
  <c r="O48" i="5" s="1"/>
  <c r="R47" i="5"/>
  <c r="K47" i="5"/>
  <c r="O47" i="5" s="1"/>
  <c r="K46" i="5"/>
  <c r="O46" i="5" s="1"/>
  <c r="R45" i="5"/>
  <c r="K45" i="5"/>
  <c r="O45" i="5" s="1"/>
  <c r="K44" i="5"/>
  <c r="O44" i="5" s="1"/>
  <c r="K43" i="5"/>
  <c r="O43" i="5" s="1"/>
  <c r="K42" i="5"/>
  <c r="O42" i="5" s="1"/>
  <c r="K41" i="5"/>
  <c r="O41" i="5" s="1"/>
  <c r="K40" i="5"/>
  <c r="O40" i="5" s="1"/>
  <c r="K39" i="5"/>
  <c r="O39" i="5" s="1"/>
  <c r="K38" i="5"/>
  <c r="O38" i="5" s="1"/>
  <c r="R37" i="5"/>
  <c r="K37" i="5"/>
  <c r="O37" i="5" s="1"/>
  <c r="R36" i="5"/>
  <c r="K36" i="5"/>
  <c r="O36" i="5" s="1"/>
  <c r="K35" i="5"/>
  <c r="O35" i="5" s="1"/>
  <c r="R34" i="5"/>
  <c r="K34" i="5"/>
  <c r="O34" i="5" s="1"/>
  <c r="R33" i="5"/>
  <c r="K33" i="5"/>
  <c r="O33" i="5" s="1"/>
  <c r="R32" i="5"/>
  <c r="K32" i="5"/>
  <c r="O32" i="5" s="1"/>
  <c r="K31" i="5"/>
  <c r="O31" i="5" s="1"/>
  <c r="R30" i="5"/>
  <c r="K30" i="5"/>
  <c r="O30" i="5" s="1"/>
  <c r="K29" i="5"/>
  <c r="O29" i="5" s="1"/>
  <c r="K28" i="5"/>
  <c r="O28" i="5" s="1"/>
  <c r="K27" i="5"/>
  <c r="O27" i="5" s="1"/>
  <c r="R26" i="5"/>
  <c r="K26" i="5"/>
  <c r="O26" i="5" s="1"/>
  <c r="K25" i="5"/>
  <c r="O25" i="5" s="1"/>
  <c r="R24" i="5"/>
  <c r="K24" i="5"/>
  <c r="O24" i="5" s="1"/>
  <c r="R23" i="5"/>
  <c r="K23" i="5"/>
  <c r="O23" i="5" s="1"/>
  <c r="R22" i="5"/>
  <c r="K22" i="5"/>
  <c r="O22" i="5" s="1"/>
  <c r="R21" i="5"/>
  <c r="K21" i="5"/>
  <c r="O21" i="5" s="1"/>
  <c r="K20" i="5"/>
  <c r="O20" i="5" s="1"/>
  <c r="K19" i="5"/>
  <c r="O19" i="5" s="1"/>
  <c r="R18" i="5"/>
  <c r="K18" i="5"/>
  <c r="O18" i="5" s="1"/>
  <c r="R17" i="5"/>
  <c r="K17" i="5"/>
  <c r="O17" i="5" s="1"/>
  <c r="R16" i="5"/>
  <c r="K16" i="5"/>
  <c r="O16" i="5" s="1"/>
  <c r="R15" i="5"/>
  <c r="K15" i="5"/>
  <c r="O15" i="5" s="1"/>
  <c r="R14" i="5"/>
  <c r="K14" i="5"/>
  <c r="O14" i="5" s="1"/>
  <c r="K13" i="5"/>
  <c r="O13" i="5" s="1"/>
  <c r="R12" i="5"/>
  <c r="K12" i="5"/>
  <c r="O12" i="5" s="1"/>
  <c r="R11" i="5"/>
  <c r="K11" i="5"/>
  <c r="O11" i="5" s="1"/>
  <c r="R10" i="5"/>
  <c r="K10" i="5"/>
  <c r="K9" i="5"/>
  <c r="O9" i="5" s="1"/>
  <c r="R8" i="5"/>
  <c r="K8" i="5"/>
  <c r="O8" i="5" s="1"/>
  <c r="R7" i="5"/>
  <c r="K7" i="5"/>
  <c r="BE6" i="5" a="1"/>
  <c r="BE6" i="5" s="1"/>
  <c r="BD6" i="5" a="1"/>
  <c r="BD6" i="5" s="1"/>
  <c r="BC6" i="5" a="1"/>
  <c r="BC6" i="5" s="1"/>
  <c r="R6" i="5"/>
  <c r="K6" i="5"/>
  <c r="O6" i="5" s="1"/>
  <c r="K5" i="5"/>
  <c r="K4" i="5"/>
  <c r="O4" i="5" s="1"/>
  <c r="R3" i="5"/>
  <c r="K3" i="5"/>
  <c r="O3" i="5" s="1"/>
  <c r="W28" i="4"/>
  <c r="E178" i="4" s="1"/>
  <c r="V28" i="4" a="1"/>
  <c r="V28" i="4" s="1"/>
  <c r="D178" i="4" s="1"/>
  <c r="U28" i="4" a="1"/>
  <c r="U28" i="4" s="1"/>
  <c r="C178" i="4" s="1"/>
  <c r="T28" i="4"/>
  <c r="E157" i="4" s="1"/>
  <c r="S28" i="4" a="1"/>
  <c r="S28" i="4" s="1"/>
  <c r="D157" i="4" s="1"/>
  <c r="R28" i="4" a="1"/>
  <c r="R28" i="4" s="1"/>
  <c r="C157" i="4" s="1"/>
  <c r="Q28" i="4"/>
  <c r="E136" i="4" s="1"/>
  <c r="P28" i="4" a="1"/>
  <c r="P28" i="4" s="1"/>
  <c r="D136" i="4" s="1"/>
  <c r="O28" i="4" a="1"/>
  <c r="O28" i="4" s="1"/>
  <c r="C136" i="4" s="1"/>
  <c r="N28" i="4"/>
  <c r="E115" i="4" s="1"/>
  <c r="M28" i="4" a="1"/>
  <c r="M28" i="4" s="1"/>
  <c r="D115" i="4" s="1"/>
  <c r="L28" i="4" a="1"/>
  <c r="L28" i="4" s="1"/>
  <c r="C115" i="4" s="1"/>
  <c r="K28" i="4"/>
  <c r="E94" i="4" s="1"/>
  <c r="J28" i="4" a="1"/>
  <c r="J28" i="4" s="1"/>
  <c r="D94" i="4" s="1"/>
  <c r="I28" i="4" a="1"/>
  <c r="I28" i="4" s="1"/>
  <c r="C94" i="4" s="1"/>
  <c r="H28" i="4"/>
  <c r="E73" i="4" s="1"/>
  <c r="G28" i="4" a="1"/>
  <c r="G28" i="4" s="1"/>
  <c r="D73" i="4" s="1"/>
  <c r="F28" i="4" a="1"/>
  <c r="F28" i="4" s="1"/>
  <c r="C73" i="4" s="1"/>
  <c r="E28" i="4"/>
  <c r="E51" i="4" s="1"/>
  <c r="D28" i="4" a="1"/>
  <c r="D28" i="4" s="1"/>
  <c r="D51" i="4" s="1"/>
  <c r="C28" i="4" a="1"/>
  <c r="C28" i="4" s="1"/>
  <c r="C51" i="4" s="1"/>
  <c r="W27" i="4"/>
  <c r="E177" i="4" s="1"/>
  <c r="V27" i="4" a="1"/>
  <c r="V27" i="4" s="1"/>
  <c r="D177" i="4" s="1"/>
  <c r="U27" i="4" a="1"/>
  <c r="U27" i="4" s="1"/>
  <c r="C177" i="4" s="1"/>
  <c r="T27" i="4"/>
  <c r="E156" i="4" s="1"/>
  <c r="S27" i="4" a="1"/>
  <c r="S27" i="4" s="1"/>
  <c r="D156" i="4" s="1"/>
  <c r="R27" i="4" a="1"/>
  <c r="R27" i="4" s="1"/>
  <c r="C156" i="4" s="1"/>
  <c r="Q27" i="4"/>
  <c r="E135" i="4" s="1"/>
  <c r="P27" i="4" a="1"/>
  <c r="P27" i="4" s="1"/>
  <c r="D135" i="4" s="1"/>
  <c r="O27" i="4" a="1"/>
  <c r="O27" i="4" s="1"/>
  <c r="C135" i="4" s="1"/>
  <c r="N27" i="4"/>
  <c r="E114" i="4" s="1"/>
  <c r="M27" i="4" a="1"/>
  <c r="M27" i="4" s="1"/>
  <c r="D114" i="4" s="1"/>
  <c r="L27" i="4" a="1"/>
  <c r="L27" i="4" s="1"/>
  <c r="C114" i="4" s="1"/>
  <c r="K27" i="4"/>
  <c r="E93" i="4" s="1"/>
  <c r="J27" i="4" a="1"/>
  <c r="J27" i="4" s="1"/>
  <c r="D93" i="4" s="1"/>
  <c r="I27" i="4" a="1"/>
  <c r="I27" i="4" s="1"/>
  <c r="C93" i="4" s="1"/>
  <c r="H27" i="4"/>
  <c r="E72" i="4" s="1"/>
  <c r="G27" i="4" a="1"/>
  <c r="G27" i="4" s="1"/>
  <c r="D72" i="4" s="1"/>
  <c r="F27" i="4" a="1"/>
  <c r="F27" i="4" s="1"/>
  <c r="C72" i="4" s="1"/>
  <c r="E27" i="4"/>
  <c r="E50" i="4" s="1"/>
  <c r="D27" i="4" a="1"/>
  <c r="D27" i="4" s="1"/>
  <c r="D50" i="4" s="1"/>
  <c r="C27" i="4" a="1"/>
  <c r="C27" i="4" s="1"/>
  <c r="C50" i="4" s="1"/>
  <c r="W26" i="4"/>
  <c r="E176" i="4" s="1"/>
  <c r="V26" i="4" a="1"/>
  <c r="V26" i="4" s="1"/>
  <c r="D176" i="4" s="1"/>
  <c r="U26" i="4" a="1"/>
  <c r="U26" i="4" s="1"/>
  <c r="C176" i="4" s="1"/>
  <c r="T26" i="4"/>
  <c r="E155" i="4" s="1"/>
  <c r="S26" i="4" a="1"/>
  <c r="S26" i="4" s="1"/>
  <c r="D155" i="4" s="1"/>
  <c r="R26" i="4" a="1"/>
  <c r="R26" i="4" s="1"/>
  <c r="C155" i="4" s="1"/>
  <c r="Q26" i="4"/>
  <c r="E134" i="4" s="1"/>
  <c r="P26" i="4" a="1"/>
  <c r="P26" i="4" s="1"/>
  <c r="D134" i="4" s="1"/>
  <c r="O26" i="4" a="1"/>
  <c r="O26" i="4" s="1"/>
  <c r="C134" i="4" s="1"/>
  <c r="N26" i="4"/>
  <c r="E113" i="4" s="1"/>
  <c r="M26" i="4" a="1"/>
  <c r="M26" i="4" s="1"/>
  <c r="D113" i="4" s="1"/>
  <c r="L26" i="4" a="1"/>
  <c r="L26" i="4" s="1"/>
  <c r="C113" i="4" s="1"/>
  <c r="K26" i="4"/>
  <c r="E92" i="4" s="1"/>
  <c r="J26" i="4" a="1"/>
  <c r="J26" i="4" s="1"/>
  <c r="D92" i="4" s="1"/>
  <c r="I26" i="4" a="1"/>
  <c r="I26" i="4" s="1"/>
  <c r="C92" i="4" s="1"/>
  <c r="H26" i="4"/>
  <c r="E71" i="4" s="1"/>
  <c r="G26" i="4" a="1"/>
  <c r="G26" i="4" s="1"/>
  <c r="D71" i="4" s="1"/>
  <c r="F26" i="4" a="1"/>
  <c r="F26" i="4" s="1"/>
  <c r="C71" i="4" s="1"/>
  <c r="E26" i="4"/>
  <c r="E49" i="4" s="1"/>
  <c r="D26" i="4" a="1"/>
  <c r="D26" i="4" s="1"/>
  <c r="D49" i="4" s="1"/>
  <c r="C26" i="4" a="1"/>
  <c r="C26" i="4" s="1"/>
  <c r="C49" i="4" s="1"/>
  <c r="W24" i="4"/>
  <c r="E175" i="4" s="1"/>
  <c r="V24" i="4" a="1"/>
  <c r="V24" i="4" s="1"/>
  <c r="D175" i="4" s="1"/>
  <c r="U24" i="4" a="1"/>
  <c r="U24" i="4" s="1"/>
  <c r="C175" i="4" s="1"/>
  <c r="T24" i="4"/>
  <c r="E154" i="4" s="1"/>
  <c r="S24" i="4" a="1"/>
  <c r="S24" i="4" s="1"/>
  <c r="D154" i="4" s="1"/>
  <c r="R24" i="4" a="1"/>
  <c r="R24" i="4" s="1"/>
  <c r="C154" i="4" s="1"/>
  <c r="Q24" i="4"/>
  <c r="E133" i="4" s="1"/>
  <c r="P24" i="4" a="1"/>
  <c r="P24" i="4" s="1"/>
  <c r="D133" i="4" s="1"/>
  <c r="O24" i="4" a="1"/>
  <c r="O24" i="4" s="1"/>
  <c r="C133" i="4" s="1"/>
  <c r="N24" i="4"/>
  <c r="E112" i="4" s="1"/>
  <c r="M24" i="4" a="1"/>
  <c r="M24" i="4" s="1"/>
  <c r="D112" i="4" s="1"/>
  <c r="L24" i="4" a="1"/>
  <c r="L24" i="4" s="1"/>
  <c r="C112" i="4" s="1"/>
  <c r="K24" i="4"/>
  <c r="E91" i="4" s="1"/>
  <c r="J24" i="4" a="1"/>
  <c r="J24" i="4" s="1"/>
  <c r="D91" i="4" s="1"/>
  <c r="I24" i="4" a="1"/>
  <c r="I24" i="4" s="1"/>
  <c r="C91" i="4" s="1"/>
  <c r="H24" i="4"/>
  <c r="E70" i="4" s="1"/>
  <c r="G24" i="4" a="1"/>
  <c r="G24" i="4" s="1"/>
  <c r="D70" i="4" s="1"/>
  <c r="F24" i="4" a="1"/>
  <c r="F24" i="4" s="1"/>
  <c r="C70" i="4" s="1"/>
  <c r="E24" i="4"/>
  <c r="E48" i="4" s="1"/>
  <c r="D24" i="4" a="1"/>
  <c r="D24" i="4" s="1"/>
  <c r="D48" i="4" s="1"/>
  <c r="C24" i="4" a="1"/>
  <c r="C24" i="4" s="1"/>
  <c r="C48" i="4" s="1"/>
  <c r="W23" i="4"/>
  <c r="E174" i="4" s="1"/>
  <c r="V23" i="4" a="1"/>
  <c r="V23" i="4" s="1"/>
  <c r="D174" i="4" s="1"/>
  <c r="U23" i="4" a="1"/>
  <c r="U23" i="4" s="1"/>
  <c r="C174" i="4" s="1"/>
  <c r="T23" i="4"/>
  <c r="E153" i="4" s="1"/>
  <c r="S23" i="4" a="1"/>
  <c r="S23" i="4" s="1"/>
  <c r="D153" i="4" s="1"/>
  <c r="R23" i="4" a="1"/>
  <c r="R23" i="4" s="1"/>
  <c r="C153" i="4" s="1"/>
  <c r="Q23" i="4"/>
  <c r="E132" i="4" s="1"/>
  <c r="P23" i="4" a="1"/>
  <c r="P23" i="4" s="1"/>
  <c r="D132" i="4" s="1"/>
  <c r="O23" i="4" a="1"/>
  <c r="O23" i="4" s="1"/>
  <c r="C132" i="4" s="1"/>
  <c r="N23" i="4"/>
  <c r="E111" i="4" s="1"/>
  <c r="M23" i="4" a="1"/>
  <c r="M23" i="4" s="1"/>
  <c r="D111" i="4" s="1"/>
  <c r="L23" i="4" a="1"/>
  <c r="L23" i="4" s="1"/>
  <c r="C111" i="4" s="1"/>
  <c r="K23" i="4"/>
  <c r="E90" i="4" s="1"/>
  <c r="J23" i="4" a="1"/>
  <c r="J23" i="4" s="1"/>
  <c r="D90" i="4" s="1"/>
  <c r="I23" i="4" a="1"/>
  <c r="I23" i="4" s="1"/>
  <c r="C90" i="4" s="1"/>
  <c r="H23" i="4"/>
  <c r="E69" i="4" s="1"/>
  <c r="G23" i="4" a="1"/>
  <c r="G23" i="4" s="1"/>
  <c r="D69" i="4" s="1"/>
  <c r="F23" i="4" a="1"/>
  <c r="F23" i="4" s="1"/>
  <c r="C69" i="4" s="1"/>
  <c r="E23" i="4"/>
  <c r="E47" i="4" s="1"/>
  <c r="D23" i="4" a="1"/>
  <c r="D23" i="4" s="1"/>
  <c r="D47" i="4" s="1"/>
  <c r="C23" i="4" a="1"/>
  <c r="C23" i="4" s="1"/>
  <c r="C47" i="4" s="1"/>
  <c r="W22" i="4"/>
  <c r="E173" i="4" s="1"/>
  <c r="V22" i="4" a="1"/>
  <c r="V22" i="4" s="1"/>
  <c r="D173" i="4" s="1"/>
  <c r="U22" i="4" a="1"/>
  <c r="U22" i="4" s="1"/>
  <c r="C173" i="4" s="1"/>
  <c r="T22" i="4"/>
  <c r="E152" i="4" s="1"/>
  <c r="S22" i="4" a="1"/>
  <c r="S22" i="4" s="1"/>
  <c r="D152" i="4" s="1"/>
  <c r="R22" i="4" a="1"/>
  <c r="R22" i="4" s="1"/>
  <c r="C152" i="4" s="1"/>
  <c r="Q22" i="4"/>
  <c r="E131" i="4" s="1"/>
  <c r="P22" i="4" a="1"/>
  <c r="P22" i="4" s="1"/>
  <c r="D131" i="4" s="1"/>
  <c r="O22" i="4" a="1"/>
  <c r="O22" i="4" s="1"/>
  <c r="C131" i="4" s="1"/>
  <c r="N22" i="4"/>
  <c r="E110" i="4" s="1"/>
  <c r="M22" i="4" a="1"/>
  <c r="M22" i="4" s="1"/>
  <c r="D110" i="4" s="1"/>
  <c r="L22" i="4" a="1"/>
  <c r="L22" i="4" s="1"/>
  <c r="C110" i="4" s="1"/>
  <c r="K22" i="4"/>
  <c r="E89" i="4" s="1"/>
  <c r="J22" i="4" a="1"/>
  <c r="J22" i="4" s="1"/>
  <c r="D89" i="4" s="1"/>
  <c r="I22" i="4" a="1"/>
  <c r="I22" i="4" s="1"/>
  <c r="C89" i="4" s="1"/>
  <c r="H22" i="4"/>
  <c r="E68" i="4" s="1"/>
  <c r="G22" i="4" a="1"/>
  <c r="G22" i="4" s="1"/>
  <c r="D68" i="4" s="1"/>
  <c r="F22" i="4" a="1"/>
  <c r="F22" i="4" s="1"/>
  <c r="C68" i="4" s="1"/>
  <c r="E22" i="4"/>
  <c r="E46" i="4" s="1"/>
  <c r="D22" i="4" a="1"/>
  <c r="D22" i="4" s="1"/>
  <c r="D46" i="4" s="1"/>
  <c r="C22" i="4" a="1"/>
  <c r="C22" i="4" s="1"/>
  <c r="C46" i="4" s="1"/>
  <c r="W20" i="4"/>
  <c r="E172" i="4" s="1"/>
  <c r="V20" i="4" a="1"/>
  <c r="V20" i="4" s="1"/>
  <c r="D172" i="4" s="1"/>
  <c r="U20" i="4" a="1"/>
  <c r="U20" i="4" s="1"/>
  <c r="C172" i="4" s="1"/>
  <c r="T20" i="4"/>
  <c r="E151" i="4" s="1"/>
  <c r="S20" i="4" a="1"/>
  <c r="S20" i="4" s="1"/>
  <c r="D151" i="4" s="1"/>
  <c r="R20" i="4" a="1"/>
  <c r="R20" i="4" s="1"/>
  <c r="C151" i="4" s="1"/>
  <c r="Q20" i="4"/>
  <c r="E130" i="4" s="1"/>
  <c r="P20" i="4" a="1"/>
  <c r="P20" i="4" s="1"/>
  <c r="D130" i="4" s="1"/>
  <c r="O20" i="4" a="1"/>
  <c r="O20" i="4" s="1"/>
  <c r="C130" i="4" s="1"/>
  <c r="N20" i="4"/>
  <c r="E109" i="4" s="1"/>
  <c r="M20" i="4" a="1"/>
  <c r="M20" i="4" s="1"/>
  <c r="D109" i="4" s="1"/>
  <c r="L20" i="4" a="1"/>
  <c r="L20" i="4" s="1"/>
  <c r="C109" i="4" s="1"/>
  <c r="K20" i="4"/>
  <c r="E88" i="4" s="1"/>
  <c r="J20" i="4" a="1"/>
  <c r="J20" i="4" s="1"/>
  <c r="D88" i="4" s="1"/>
  <c r="I20" i="4" a="1"/>
  <c r="I20" i="4" s="1"/>
  <c r="C88" i="4" s="1"/>
  <c r="H20" i="4"/>
  <c r="E67" i="4" s="1"/>
  <c r="G20" i="4" a="1"/>
  <c r="G20" i="4" s="1"/>
  <c r="D67" i="4" s="1"/>
  <c r="F20" i="4" a="1"/>
  <c r="F20" i="4" s="1"/>
  <c r="C67" i="4" s="1"/>
  <c r="E20" i="4"/>
  <c r="E45" i="4" s="1"/>
  <c r="D20" i="4" a="1"/>
  <c r="D20" i="4" s="1"/>
  <c r="D45" i="4" s="1"/>
  <c r="C20" i="4" a="1"/>
  <c r="C20" i="4" s="1"/>
  <c r="C45" i="4" s="1"/>
  <c r="W19" i="4"/>
  <c r="E171" i="4" s="1"/>
  <c r="V19" i="4" a="1"/>
  <c r="V19" i="4" s="1"/>
  <c r="D171" i="4" s="1"/>
  <c r="U19" i="4" a="1"/>
  <c r="U19" i="4" s="1"/>
  <c r="C171" i="4" s="1"/>
  <c r="T19" i="4"/>
  <c r="E150" i="4" s="1"/>
  <c r="S19" i="4" a="1"/>
  <c r="S19" i="4" s="1"/>
  <c r="D150" i="4" s="1"/>
  <c r="R19" i="4" a="1"/>
  <c r="R19" i="4" s="1"/>
  <c r="C150" i="4" s="1"/>
  <c r="Q19" i="4"/>
  <c r="E129" i="4" s="1"/>
  <c r="P19" i="4" a="1"/>
  <c r="P19" i="4" s="1"/>
  <c r="D129" i="4" s="1"/>
  <c r="O19" i="4" a="1"/>
  <c r="O19" i="4" s="1"/>
  <c r="C129" i="4" s="1"/>
  <c r="N19" i="4"/>
  <c r="E108" i="4" s="1"/>
  <c r="M19" i="4" a="1"/>
  <c r="M19" i="4" s="1"/>
  <c r="D108" i="4" s="1"/>
  <c r="L19" i="4" a="1"/>
  <c r="L19" i="4" s="1"/>
  <c r="C108" i="4" s="1"/>
  <c r="K19" i="4"/>
  <c r="E87" i="4" s="1"/>
  <c r="J19" i="4" a="1"/>
  <c r="J19" i="4" s="1"/>
  <c r="D87" i="4" s="1"/>
  <c r="I19" i="4" a="1"/>
  <c r="I19" i="4" s="1"/>
  <c r="C87" i="4" s="1"/>
  <c r="H19" i="4"/>
  <c r="E66" i="4" s="1"/>
  <c r="G19" i="4" a="1"/>
  <c r="G19" i="4" s="1"/>
  <c r="D66" i="4" s="1"/>
  <c r="F19" i="4" a="1"/>
  <c r="F19" i="4" s="1"/>
  <c r="C66" i="4" s="1"/>
  <c r="E19" i="4"/>
  <c r="E44" i="4" s="1"/>
  <c r="D19" i="4" a="1"/>
  <c r="D19" i="4" s="1"/>
  <c r="D44" i="4" s="1"/>
  <c r="C19" i="4" a="1"/>
  <c r="C19" i="4" s="1"/>
  <c r="C44" i="4" s="1"/>
  <c r="W18" i="4"/>
  <c r="E170" i="4" s="1"/>
  <c r="V18" i="4" a="1"/>
  <c r="V18" i="4" s="1"/>
  <c r="D170" i="4" s="1"/>
  <c r="U18" i="4" a="1"/>
  <c r="U18" i="4" s="1"/>
  <c r="C170" i="4" s="1"/>
  <c r="T18" i="4"/>
  <c r="E149" i="4" s="1"/>
  <c r="S18" i="4" a="1"/>
  <c r="S18" i="4" s="1"/>
  <c r="D149" i="4" s="1"/>
  <c r="R18" i="4" a="1"/>
  <c r="R18" i="4" s="1"/>
  <c r="C149" i="4" s="1"/>
  <c r="Q18" i="4"/>
  <c r="E128" i="4" s="1"/>
  <c r="P18" i="4" a="1"/>
  <c r="P18" i="4" s="1"/>
  <c r="D128" i="4" s="1"/>
  <c r="O18" i="4" a="1"/>
  <c r="O18" i="4" s="1"/>
  <c r="C128" i="4" s="1"/>
  <c r="N18" i="4"/>
  <c r="E107" i="4" s="1"/>
  <c r="M18" i="4" a="1"/>
  <c r="M18" i="4" s="1"/>
  <c r="D107" i="4" s="1"/>
  <c r="L18" i="4" a="1"/>
  <c r="L18" i="4" s="1"/>
  <c r="C107" i="4" s="1"/>
  <c r="K18" i="4"/>
  <c r="E86" i="4" s="1"/>
  <c r="J18" i="4" a="1"/>
  <c r="J18" i="4" s="1"/>
  <c r="D86" i="4" s="1"/>
  <c r="I18" i="4" a="1"/>
  <c r="I18" i="4" s="1"/>
  <c r="C86" i="4" s="1"/>
  <c r="H18" i="4"/>
  <c r="E65" i="4" s="1"/>
  <c r="G18" i="4" a="1"/>
  <c r="G18" i="4" s="1"/>
  <c r="D65" i="4" s="1"/>
  <c r="F18" i="4" a="1"/>
  <c r="F18" i="4" s="1"/>
  <c r="C65" i="4" s="1"/>
  <c r="E18" i="4"/>
  <c r="E43" i="4" s="1"/>
  <c r="D18" i="4" a="1"/>
  <c r="D18" i="4" s="1"/>
  <c r="D43" i="4" s="1"/>
  <c r="C18" i="4" a="1"/>
  <c r="C18" i="4" s="1"/>
  <c r="C43" i="4" s="1"/>
  <c r="W17" i="4"/>
  <c r="E169" i="4" s="1"/>
  <c r="V17" i="4" a="1"/>
  <c r="V17" i="4" s="1"/>
  <c r="D169" i="4" s="1"/>
  <c r="U17" i="4" a="1"/>
  <c r="U17" i="4" s="1"/>
  <c r="C169" i="4" s="1"/>
  <c r="T17" i="4"/>
  <c r="E148" i="4" s="1"/>
  <c r="S17" i="4" a="1"/>
  <c r="S17" i="4" s="1"/>
  <c r="D148" i="4" s="1"/>
  <c r="R17" i="4" a="1"/>
  <c r="R17" i="4" s="1"/>
  <c r="C148" i="4" s="1"/>
  <c r="Q17" i="4"/>
  <c r="E127" i="4" s="1"/>
  <c r="P17" i="4" a="1"/>
  <c r="P17" i="4" s="1"/>
  <c r="D127" i="4" s="1"/>
  <c r="O17" i="4" a="1"/>
  <c r="O17" i="4" s="1"/>
  <c r="C127" i="4" s="1"/>
  <c r="N17" i="4"/>
  <c r="E106" i="4" s="1"/>
  <c r="M17" i="4" a="1"/>
  <c r="M17" i="4" s="1"/>
  <c r="D106" i="4" s="1"/>
  <c r="L17" i="4" a="1"/>
  <c r="L17" i="4" s="1"/>
  <c r="C106" i="4" s="1"/>
  <c r="K17" i="4"/>
  <c r="E85" i="4" s="1"/>
  <c r="J17" i="4" a="1"/>
  <c r="J17" i="4" s="1"/>
  <c r="D85" i="4" s="1"/>
  <c r="I17" i="4" a="1"/>
  <c r="I17" i="4" s="1"/>
  <c r="C85" i="4" s="1"/>
  <c r="H17" i="4"/>
  <c r="E64" i="4" s="1"/>
  <c r="G17" i="4" a="1"/>
  <c r="G17" i="4" s="1"/>
  <c r="D64" i="4" s="1"/>
  <c r="F17" i="4" a="1"/>
  <c r="F17" i="4" s="1"/>
  <c r="C64" i="4" s="1"/>
  <c r="E17" i="4"/>
  <c r="E42" i="4" s="1"/>
  <c r="D17" i="4" a="1"/>
  <c r="D17" i="4" s="1"/>
  <c r="D42" i="4" s="1"/>
  <c r="C17" i="4" a="1"/>
  <c r="C17" i="4" s="1"/>
  <c r="C42" i="4" s="1"/>
  <c r="W15" i="4"/>
  <c r="E168" i="4" s="1"/>
  <c r="V15" i="4" a="1"/>
  <c r="V15" i="4" s="1"/>
  <c r="D168" i="4" s="1"/>
  <c r="U15" i="4" a="1"/>
  <c r="U15" i="4" s="1"/>
  <c r="C168" i="4" s="1"/>
  <c r="T15" i="4"/>
  <c r="E147" i="4" s="1"/>
  <c r="S15" i="4" a="1"/>
  <c r="S15" i="4" s="1"/>
  <c r="D147" i="4" s="1"/>
  <c r="R15" i="4" a="1"/>
  <c r="R15" i="4" s="1"/>
  <c r="C147" i="4" s="1"/>
  <c r="Q15" i="4"/>
  <c r="E126" i="4" s="1"/>
  <c r="P15" i="4" a="1"/>
  <c r="P15" i="4" s="1"/>
  <c r="D126" i="4" s="1"/>
  <c r="O15" i="4" a="1"/>
  <c r="O15" i="4" s="1"/>
  <c r="C126" i="4" s="1"/>
  <c r="N15" i="4"/>
  <c r="E105" i="4" s="1"/>
  <c r="M15" i="4" a="1"/>
  <c r="M15" i="4" s="1"/>
  <c r="D105" i="4" s="1"/>
  <c r="L15" i="4" a="1"/>
  <c r="L15" i="4" s="1"/>
  <c r="C105" i="4" s="1"/>
  <c r="K15" i="4"/>
  <c r="E84" i="4" s="1"/>
  <c r="J15" i="4" a="1"/>
  <c r="J15" i="4" s="1"/>
  <c r="D84" i="4" s="1"/>
  <c r="I15" i="4" a="1"/>
  <c r="I15" i="4" s="1"/>
  <c r="C84" i="4" s="1"/>
  <c r="H15" i="4"/>
  <c r="E63" i="4" s="1"/>
  <c r="G15" i="4" a="1"/>
  <c r="G15" i="4" s="1"/>
  <c r="D63" i="4" s="1"/>
  <c r="F15" i="4" a="1"/>
  <c r="F15" i="4" s="1"/>
  <c r="C63" i="4" s="1"/>
  <c r="E15" i="4"/>
  <c r="E41" i="4" s="1"/>
  <c r="D15" i="4" a="1"/>
  <c r="D15" i="4" s="1"/>
  <c r="D41" i="4" s="1"/>
  <c r="C15" i="4" a="1"/>
  <c r="C15" i="4" s="1"/>
  <c r="C41" i="4" s="1"/>
  <c r="W14" i="4"/>
  <c r="E167" i="4" s="1"/>
  <c r="V14" i="4" a="1"/>
  <c r="V14" i="4" s="1"/>
  <c r="D167" i="4" s="1"/>
  <c r="U14" i="4" a="1"/>
  <c r="U14" i="4" s="1"/>
  <c r="C167" i="4" s="1"/>
  <c r="T14" i="4"/>
  <c r="E146" i="4" s="1"/>
  <c r="S14" i="4" a="1"/>
  <c r="S14" i="4" s="1"/>
  <c r="D146" i="4" s="1"/>
  <c r="R14" i="4" a="1"/>
  <c r="R14" i="4" s="1"/>
  <c r="C146" i="4" s="1"/>
  <c r="Q14" i="4"/>
  <c r="E125" i="4" s="1"/>
  <c r="P14" i="4" a="1"/>
  <c r="P14" i="4" s="1"/>
  <c r="D125" i="4" s="1"/>
  <c r="O14" i="4" a="1"/>
  <c r="O14" i="4" s="1"/>
  <c r="C125" i="4" s="1"/>
  <c r="N14" i="4"/>
  <c r="E104" i="4" s="1"/>
  <c r="M14" i="4" a="1"/>
  <c r="M14" i="4" s="1"/>
  <c r="D104" i="4" s="1"/>
  <c r="L14" i="4" a="1"/>
  <c r="L14" i="4" s="1"/>
  <c r="C104" i="4" s="1"/>
  <c r="K14" i="4"/>
  <c r="E83" i="4" s="1"/>
  <c r="J14" i="4" a="1"/>
  <c r="J14" i="4" s="1"/>
  <c r="D83" i="4" s="1"/>
  <c r="I14" i="4" a="1"/>
  <c r="I14" i="4" s="1"/>
  <c r="C83" i="4" s="1"/>
  <c r="H14" i="4"/>
  <c r="E62" i="4" s="1"/>
  <c r="G14" i="4" a="1"/>
  <c r="G14" i="4" s="1"/>
  <c r="D62" i="4" s="1"/>
  <c r="F14" i="4" a="1"/>
  <c r="F14" i="4" s="1"/>
  <c r="C62" i="4" s="1"/>
  <c r="E14" i="4"/>
  <c r="E40" i="4" s="1"/>
  <c r="D14" i="4" a="1"/>
  <c r="D14" i="4" s="1"/>
  <c r="D40" i="4" s="1"/>
  <c r="C14" i="4" a="1"/>
  <c r="C14" i="4" s="1"/>
  <c r="C40" i="4" s="1"/>
  <c r="W13" i="4"/>
  <c r="E166" i="4" s="1"/>
  <c r="V13" i="4" a="1"/>
  <c r="V13" i="4" s="1"/>
  <c r="D166" i="4" s="1"/>
  <c r="U13" i="4" a="1"/>
  <c r="U13" i="4" s="1"/>
  <c r="C166" i="4" s="1"/>
  <c r="T13" i="4"/>
  <c r="E145" i="4" s="1"/>
  <c r="S13" i="4" a="1"/>
  <c r="S13" i="4" s="1"/>
  <c r="D145" i="4" s="1"/>
  <c r="R13" i="4" a="1"/>
  <c r="R13" i="4" s="1"/>
  <c r="C145" i="4" s="1"/>
  <c r="Q13" i="4"/>
  <c r="E124" i="4" s="1"/>
  <c r="P13" i="4" a="1"/>
  <c r="P13" i="4" s="1"/>
  <c r="D124" i="4" s="1"/>
  <c r="O13" i="4" a="1"/>
  <c r="O13" i="4" s="1"/>
  <c r="C124" i="4" s="1"/>
  <c r="N13" i="4"/>
  <c r="E103" i="4" s="1"/>
  <c r="M13" i="4" a="1"/>
  <c r="M13" i="4" s="1"/>
  <c r="D103" i="4" s="1"/>
  <c r="L13" i="4" a="1"/>
  <c r="L13" i="4" s="1"/>
  <c r="C103" i="4" s="1"/>
  <c r="K13" i="4"/>
  <c r="E82" i="4" s="1"/>
  <c r="J13" i="4" a="1"/>
  <c r="J13" i="4" s="1"/>
  <c r="D82" i="4" s="1"/>
  <c r="I13" i="4" a="1"/>
  <c r="I13" i="4" s="1"/>
  <c r="C82" i="4" s="1"/>
  <c r="H13" i="4"/>
  <c r="E61" i="4" s="1"/>
  <c r="G13" i="4" a="1"/>
  <c r="G13" i="4" s="1"/>
  <c r="D61" i="4" s="1"/>
  <c r="F13" i="4" a="1"/>
  <c r="F13" i="4" s="1"/>
  <c r="C61" i="4" s="1"/>
  <c r="E13" i="4"/>
  <c r="E39" i="4" s="1"/>
  <c r="D13" i="4" a="1"/>
  <c r="D13" i="4" s="1"/>
  <c r="D39" i="4" s="1"/>
  <c r="C13" i="4" a="1"/>
  <c r="C13" i="4" s="1"/>
  <c r="C39" i="4" s="1"/>
  <c r="W7" i="4"/>
  <c r="E162" i="4" s="1"/>
  <c r="V7" i="4" a="1"/>
  <c r="V7" i="4" s="1"/>
  <c r="D162" i="4" s="1"/>
  <c r="U7" i="4" a="1"/>
  <c r="U7" i="4" s="1"/>
  <c r="C162" i="4" s="1"/>
  <c r="T7" i="4"/>
  <c r="E141" i="4" s="1"/>
  <c r="S7" i="4" a="1"/>
  <c r="S7" i="4" s="1"/>
  <c r="D141" i="4" s="1"/>
  <c r="R7" i="4" a="1"/>
  <c r="R7" i="4" s="1"/>
  <c r="C141" i="4" s="1"/>
  <c r="Q7" i="4"/>
  <c r="E120" i="4" s="1"/>
  <c r="P7" i="4" a="1"/>
  <c r="P7" i="4" s="1"/>
  <c r="D120" i="4" s="1"/>
  <c r="O7" i="4" a="1"/>
  <c r="O7" i="4" s="1"/>
  <c r="C120" i="4" s="1"/>
  <c r="N7" i="4"/>
  <c r="E99" i="4" s="1"/>
  <c r="M7" i="4" a="1"/>
  <c r="M7" i="4" s="1"/>
  <c r="D99" i="4" s="1"/>
  <c r="L7" i="4" a="1"/>
  <c r="L7" i="4" s="1"/>
  <c r="C99" i="4" s="1"/>
  <c r="K7" i="4"/>
  <c r="E78" i="4" s="1"/>
  <c r="J7" i="4" a="1"/>
  <c r="J7" i="4" s="1"/>
  <c r="D78" i="4" s="1"/>
  <c r="I7" i="4" a="1"/>
  <c r="I7" i="4" s="1"/>
  <c r="C78" i="4" s="1"/>
  <c r="H7" i="4"/>
  <c r="E57" i="4" s="1"/>
  <c r="G7" i="4" a="1"/>
  <c r="G7" i="4" s="1"/>
  <c r="D57" i="4" s="1"/>
  <c r="F7" i="4" a="1"/>
  <c r="F7" i="4" s="1"/>
  <c r="C57" i="4" s="1"/>
  <c r="E7" i="4"/>
  <c r="E35" i="4" s="1"/>
  <c r="D7" i="4" a="1"/>
  <c r="D7" i="4" s="1"/>
  <c r="D35" i="4" s="1"/>
  <c r="C7" i="4" a="1"/>
  <c r="C7" i="4" s="1"/>
  <c r="C35" i="4" s="1"/>
  <c r="W6" i="4"/>
  <c r="E161" i="4" s="1"/>
  <c r="V6" i="4" a="1"/>
  <c r="V6" i="4" s="1"/>
  <c r="D161" i="4" s="1"/>
  <c r="U6" i="4" a="1"/>
  <c r="U6" i="4" s="1"/>
  <c r="C161" i="4" s="1"/>
  <c r="T6" i="4"/>
  <c r="E140" i="4" s="1"/>
  <c r="S6" i="4" a="1"/>
  <c r="S6" i="4" s="1"/>
  <c r="D140" i="4" s="1"/>
  <c r="R6" i="4" a="1"/>
  <c r="R6" i="4" s="1"/>
  <c r="C140" i="4" s="1"/>
  <c r="Q6" i="4"/>
  <c r="E119" i="4" s="1"/>
  <c r="P6" i="4" a="1"/>
  <c r="P6" i="4" s="1"/>
  <c r="D119" i="4" s="1"/>
  <c r="O6" i="4" a="1"/>
  <c r="O6" i="4" s="1"/>
  <c r="C119" i="4" s="1"/>
  <c r="N6" i="4"/>
  <c r="E98" i="4" s="1"/>
  <c r="M6" i="4" a="1"/>
  <c r="M6" i="4" s="1"/>
  <c r="D98" i="4" s="1"/>
  <c r="L6" i="4" a="1"/>
  <c r="L6" i="4" s="1"/>
  <c r="C98" i="4" s="1"/>
  <c r="K6" i="4"/>
  <c r="E77" i="4" s="1"/>
  <c r="J6" i="4" a="1"/>
  <c r="J6" i="4" s="1"/>
  <c r="D77" i="4" s="1"/>
  <c r="I6" i="4" a="1"/>
  <c r="I6" i="4" s="1"/>
  <c r="C77" i="4" s="1"/>
  <c r="H6" i="4"/>
  <c r="E56" i="4" s="1"/>
  <c r="G6" i="4" a="1"/>
  <c r="G6" i="4" s="1"/>
  <c r="D56" i="4" s="1"/>
  <c r="F6" i="4" a="1"/>
  <c r="F6" i="4" s="1"/>
  <c r="C56" i="4" s="1"/>
  <c r="E6" i="4"/>
  <c r="E34" i="4" s="1"/>
  <c r="D6" i="4" a="1"/>
  <c r="D6" i="4" s="1"/>
  <c r="D34" i="4" s="1"/>
  <c r="C6" i="4" a="1"/>
  <c r="C6" i="4" s="1"/>
  <c r="C34" i="4" s="1"/>
  <c r="W4" i="4"/>
  <c r="E160" i="4" s="1"/>
  <c r="V4" i="4" a="1"/>
  <c r="V4" i="4" s="1"/>
  <c r="D160" i="4" s="1"/>
  <c r="U4" i="4" a="1"/>
  <c r="U4" i="4" s="1"/>
  <c r="C160" i="4" s="1"/>
  <c r="T4" i="4"/>
  <c r="E139" i="4" s="1"/>
  <c r="S4" i="4" a="1"/>
  <c r="S4" i="4" s="1"/>
  <c r="D139" i="4" s="1"/>
  <c r="R4" i="4" a="1"/>
  <c r="R4" i="4" s="1"/>
  <c r="C139" i="4" s="1"/>
  <c r="Q4" i="4"/>
  <c r="E118" i="4" s="1"/>
  <c r="P4" i="4" a="1"/>
  <c r="P4" i="4" s="1"/>
  <c r="D118" i="4" s="1"/>
  <c r="O4" i="4" a="1"/>
  <c r="O4" i="4" s="1"/>
  <c r="C118" i="4" s="1"/>
  <c r="N4" i="4"/>
  <c r="E97" i="4" s="1"/>
  <c r="M4" i="4" a="1"/>
  <c r="M4" i="4" s="1"/>
  <c r="D97" i="4" s="1"/>
  <c r="L4" i="4" a="1"/>
  <c r="L4" i="4" s="1"/>
  <c r="C97" i="4" s="1"/>
  <c r="K4" i="4"/>
  <c r="E76" i="4" s="1"/>
  <c r="J4" i="4" a="1"/>
  <c r="J4" i="4" s="1"/>
  <c r="D76" i="4" s="1"/>
  <c r="I4" i="4" a="1"/>
  <c r="I4" i="4" s="1"/>
  <c r="C76" i="4" s="1"/>
  <c r="H4" i="4"/>
  <c r="E55" i="4" s="1"/>
  <c r="G4" i="4" a="1"/>
  <c r="G4" i="4" s="1"/>
  <c r="D55" i="4" s="1"/>
  <c r="F4" i="4" a="1"/>
  <c r="F4" i="4" s="1"/>
  <c r="C55" i="4" s="1"/>
  <c r="E4" i="4"/>
  <c r="E33" i="4" s="1"/>
  <c r="D4" i="4" a="1"/>
  <c r="D4" i="4" s="1"/>
  <c r="D33" i="4" s="1"/>
  <c r="C4" i="4" a="1"/>
  <c r="C4" i="4" s="1"/>
  <c r="C33" i="4" s="1"/>
  <c r="K92" i="3"/>
  <c r="K91" i="3"/>
  <c r="K90" i="3"/>
  <c r="K89" i="3"/>
  <c r="K88" i="3"/>
  <c r="K87" i="3"/>
  <c r="K86" i="3"/>
  <c r="K85" i="3"/>
  <c r="K84" i="3"/>
  <c r="K83" i="3"/>
  <c r="K82" i="3"/>
  <c r="K81" i="3"/>
  <c r="K80" i="3"/>
  <c r="K79" i="3"/>
  <c r="K78" i="3"/>
  <c r="K77" i="3"/>
  <c r="K76" i="3"/>
  <c r="K75" i="3"/>
  <c r="K74" i="3"/>
  <c r="K73" i="3"/>
  <c r="K72" i="3"/>
  <c r="K71" i="3"/>
  <c r="K70" i="3"/>
  <c r="K69" i="3"/>
  <c r="K68" i="3"/>
  <c r="K67" i="3"/>
  <c r="K66" i="3"/>
  <c r="K65" i="3"/>
  <c r="K64" i="3"/>
  <c r="K63" i="3"/>
  <c r="K62" i="3"/>
  <c r="K61" i="3"/>
  <c r="K60" i="3"/>
  <c r="K59" i="3"/>
  <c r="K58" i="3"/>
  <c r="K57" i="3"/>
  <c r="K56" i="3"/>
  <c r="K55" i="3"/>
  <c r="K54" i="3"/>
  <c r="K53" i="3"/>
  <c r="K52" i="3"/>
  <c r="K51" i="3"/>
  <c r="K50" i="3"/>
  <c r="K49" i="3"/>
  <c r="K48" i="3"/>
  <c r="K47" i="3"/>
  <c r="K46"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AF11" i="3" a="1"/>
  <c r="AF11" i="3" s="1"/>
  <c r="K10" i="3"/>
  <c r="K9" i="3"/>
  <c r="K8" i="3"/>
  <c r="K7" i="3"/>
  <c r="K6" i="3"/>
  <c r="K5" i="3"/>
  <c r="AI10" i="1"/>
  <c r="AD10" i="1"/>
  <c r="AC10" i="1"/>
  <c r="AB10" i="1"/>
  <c r="AA10" i="1"/>
  <c r="V10" i="1"/>
  <c r="U10" i="1"/>
  <c r="AE10" i="1" s="1"/>
  <c r="R10" i="1"/>
  <c r="P10" i="1"/>
  <c r="AF21" i="5" s="1"/>
  <c r="O10" i="1"/>
  <c r="K10" i="1"/>
  <c r="AD7" i="1"/>
  <c r="AC7" i="1"/>
  <c r="AB7" i="1"/>
  <c r="U7" i="1"/>
  <c r="T7" i="1"/>
  <c r="AH7" i="1" s="1"/>
  <c r="S7" i="1"/>
  <c r="P7" i="1"/>
  <c r="O7" i="1"/>
  <c r="K7" i="1"/>
  <c r="Z69" i="1"/>
  <c r="W69" i="1"/>
  <c r="V69" i="1"/>
  <c r="P69" i="1"/>
  <c r="O69" i="1"/>
  <c r="K69" i="1"/>
  <c r="AH21" i="1"/>
  <c r="AG21" i="1"/>
  <c r="AF21" i="1"/>
  <c r="AE21" i="1"/>
  <c r="AD21" i="1"/>
  <c r="AC21" i="1"/>
  <c r="AB21" i="1"/>
  <c r="S21" i="1"/>
  <c r="AA21" i="1" s="1"/>
  <c r="P21" i="1"/>
  <c r="AF80" i="5" s="1"/>
  <c r="O21" i="1"/>
  <c r="K21" i="1"/>
  <c r="AH23" i="1"/>
  <c r="AG23" i="1"/>
  <c r="AD23" i="1"/>
  <c r="AC23" i="1"/>
  <c r="AB23" i="1"/>
  <c r="U23" i="1"/>
  <c r="S23" i="1"/>
  <c r="R23" i="1"/>
  <c r="P23" i="1"/>
  <c r="AF8" i="5" s="1"/>
  <c r="O23" i="1"/>
  <c r="K23" i="1"/>
  <c r="AD3" i="1"/>
  <c r="AB3" i="1"/>
  <c r="Y3" i="1"/>
  <c r="V3" i="1"/>
  <c r="U3" i="1"/>
  <c r="T3" i="1"/>
  <c r="S3" i="1"/>
  <c r="AA3" i="1" s="1"/>
  <c r="P3" i="1"/>
  <c r="AF32" i="5" s="1"/>
  <c r="O3" i="1"/>
  <c r="K3" i="1"/>
  <c r="AI46" i="1"/>
  <c r="AE46" i="1"/>
  <c r="AD46" i="1"/>
  <c r="AC46" i="1"/>
  <c r="AA46" i="1"/>
  <c r="X46" i="1"/>
  <c r="T46" i="1"/>
  <c r="AG46" i="1" s="1"/>
  <c r="P46" i="1"/>
  <c r="O46" i="1"/>
  <c r="K46" i="1"/>
  <c r="AI17" i="1"/>
  <c r="AF17" i="1"/>
  <c r="AE17" i="1"/>
  <c r="AD17" i="1"/>
  <c r="AC17" i="1"/>
  <c r="AB17" i="1"/>
  <c r="AA17" i="1"/>
  <c r="V17" i="1"/>
  <c r="P17" i="1"/>
  <c r="AF64" i="5" s="1"/>
  <c r="O17" i="1"/>
  <c r="K17" i="1"/>
  <c r="AG40" i="1"/>
  <c r="AD40" i="1"/>
  <c r="Y40" i="1"/>
  <c r="X40" i="1"/>
  <c r="W40" i="1"/>
  <c r="T40" i="1"/>
  <c r="AE40" i="1" s="1"/>
  <c r="S40" i="1"/>
  <c r="P40" i="1"/>
  <c r="AF85" i="5" s="1"/>
  <c r="O40" i="1"/>
  <c r="K40" i="1"/>
  <c r="AI34" i="1"/>
  <c r="AH34" i="1"/>
  <c r="AG34" i="1"/>
  <c r="AF34" i="1"/>
  <c r="AE34" i="1"/>
  <c r="AD34" i="1"/>
  <c r="AB34" i="1"/>
  <c r="Y34" i="1"/>
  <c r="AC34" i="1" s="1"/>
  <c r="R34" i="1"/>
  <c r="AA34" i="1" s="1"/>
  <c r="P34" i="1"/>
  <c r="AF13" i="5" s="1"/>
  <c r="O34" i="1"/>
  <c r="K34" i="1"/>
  <c r="AI22" i="1"/>
  <c r="AF22" i="1"/>
  <c r="AE22" i="1"/>
  <c r="AD22" i="1"/>
  <c r="AC22" i="1"/>
  <c r="AB22" i="1"/>
  <c r="AA22" i="1"/>
  <c r="V22" i="1"/>
  <c r="P22" i="1"/>
  <c r="AF26" i="5" s="1"/>
  <c r="O22" i="1"/>
  <c r="K22" i="1"/>
  <c r="AI15" i="1"/>
  <c r="AH15" i="1"/>
  <c r="AG15" i="1"/>
  <c r="AF15" i="1"/>
  <c r="AE15" i="1"/>
  <c r="AD15" i="1"/>
  <c r="AA15" i="1"/>
  <c r="Y15" i="1"/>
  <c r="AC15" i="1" s="1"/>
  <c r="X15" i="1"/>
  <c r="AB15" i="1" s="1"/>
  <c r="P15" i="1"/>
  <c r="AF43" i="5" s="1"/>
  <c r="O15" i="1"/>
  <c r="K15" i="1"/>
  <c r="AI54" i="1"/>
  <c r="AD54" i="1"/>
  <c r="AC54" i="1"/>
  <c r="AA54" i="1"/>
  <c r="X54" i="1"/>
  <c r="U54" i="1"/>
  <c r="U91" i="1" s="1"/>
  <c r="T54" i="1"/>
  <c r="AH54" i="1" s="1"/>
  <c r="P54" i="1"/>
  <c r="AF31" i="5" s="1"/>
  <c r="O54" i="1"/>
  <c r="K54" i="1"/>
  <c r="AI12" i="1"/>
  <c r="AF12" i="1"/>
  <c r="AE12" i="1"/>
  <c r="AD12" i="1"/>
  <c r="AC12" i="1"/>
  <c r="AB12" i="1"/>
  <c r="AA12" i="1"/>
  <c r="V12" i="1"/>
  <c r="AH12" i="1" s="1"/>
  <c r="P12" i="1"/>
  <c r="AF62" i="5" s="1"/>
  <c r="O12" i="1"/>
  <c r="K12" i="1"/>
  <c r="AI14" i="1"/>
  <c r="AH14" i="1"/>
  <c r="AG14" i="1"/>
  <c r="AF14" i="1"/>
  <c r="AE14" i="1"/>
  <c r="AD14" i="1"/>
  <c r="AB14" i="1"/>
  <c r="AA14" i="1"/>
  <c r="Y14" i="1"/>
  <c r="AC14" i="1" s="1"/>
  <c r="P14" i="1"/>
  <c r="AF81" i="5" s="1"/>
  <c r="O14" i="1"/>
  <c r="K14" i="1"/>
  <c r="AI5" i="1"/>
  <c r="AF5" i="1"/>
  <c r="AE5" i="1"/>
  <c r="AD5" i="1"/>
  <c r="AB5" i="1"/>
  <c r="V5" i="1"/>
  <c r="AH5" i="1" s="1"/>
  <c r="R5" i="1"/>
  <c r="AA5" i="1" s="1"/>
  <c r="P5" i="1"/>
  <c r="AF9" i="5" s="1"/>
  <c r="O5" i="1"/>
  <c r="K5" i="1"/>
  <c r="AI94" i="1"/>
  <c r="AH94" i="1"/>
  <c r="AG94" i="1"/>
  <c r="AF94" i="1"/>
  <c r="AE94" i="1"/>
  <c r="AD94" i="1"/>
  <c r="AC94" i="1"/>
  <c r="AB94" i="1"/>
  <c r="AA94" i="1"/>
  <c r="W94" i="1"/>
  <c r="W99" i="1" s="1"/>
  <c r="W100" i="1" s="1"/>
  <c r="P94" i="1"/>
  <c r="AF40" i="5" s="1"/>
  <c r="O94" i="1"/>
  <c r="K94" i="1"/>
  <c r="AI90" i="1"/>
  <c r="AH90" i="1"/>
  <c r="AG90" i="1"/>
  <c r="AF90" i="1"/>
  <c r="AE90" i="1"/>
  <c r="AD90" i="1"/>
  <c r="AC90" i="1"/>
  <c r="AB90" i="1"/>
  <c r="AA90" i="1"/>
  <c r="W90" i="1"/>
  <c r="P90" i="1"/>
  <c r="O90" i="1"/>
  <c r="K90" i="1"/>
  <c r="AI20" i="1"/>
  <c r="AH20" i="1"/>
  <c r="AG20" i="1"/>
  <c r="AF20" i="1"/>
  <c r="AE20" i="1"/>
  <c r="AD20" i="1"/>
  <c r="AC20" i="1"/>
  <c r="AB20" i="1"/>
  <c r="AA20" i="1"/>
  <c r="P20" i="1"/>
  <c r="AF88" i="5" s="1"/>
  <c r="O20" i="1"/>
  <c r="K20" i="1"/>
  <c r="AI86" i="1"/>
  <c r="AH86" i="1"/>
  <c r="AG86" i="1"/>
  <c r="AF86" i="1"/>
  <c r="AE86" i="1"/>
  <c r="AD86" i="1"/>
  <c r="AC86" i="1"/>
  <c r="AB86" i="1"/>
  <c r="AA86" i="1"/>
  <c r="P86" i="1"/>
  <c r="O86" i="1"/>
  <c r="K86" i="1"/>
  <c r="AI44" i="1"/>
  <c r="AH44" i="1"/>
  <c r="AG44" i="1"/>
  <c r="AF44" i="1"/>
  <c r="AE44" i="1"/>
  <c r="AD44" i="1"/>
  <c r="AC44" i="1"/>
  <c r="AB44" i="1"/>
  <c r="AA44" i="1"/>
  <c r="P44" i="1"/>
  <c r="O44" i="1"/>
  <c r="K44" i="1"/>
  <c r="AI65" i="1"/>
  <c r="AH65" i="1"/>
  <c r="AG65" i="1"/>
  <c r="AF65" i="1"/>
  <c r="AE65" i="1"/>
  <c r="AD65" i="1"/>
  <c r="AA65" i="1"/>
  <c r="Y65" i="1"/>
  <c r="AC65" i="1" s="1"/>
  <c r="X65" i="1"/>
  <c r="AB65" i="1" s="1"/>
  <c r="W65" i="1"/>
  <c r="P65" i="1"/>
  <c r="O65" i="1"/>
  <c r="K65" i="1"/>
  <c r="AH83" i="1"/>
  <c r="AG83" i="1"/>
  <c r="AF83" i="1"/>
  <c r="AE83" i="1"/>
  <c r="AD83" i="1"/>
  <c r="AC83" i="1"/>
  <c r="AB83" i="1"/>
  <c r="S83" i="1"/>
  <c r="AA83" i="1" s="1"/>
  <c r="P83" i="1"/>
  <c r="O83" i="1"/>
  <c r="K83" i="1"/>
  <c r="AI82" i="1"/>
  <c r="AH82" i="1"/>
  <c r="AG82" i="1"/>
  <c r="AD82" i="1"/>
  <c r="AC82" i="1"/>
  <c r="AB82" i="1"/>
  <c r="AA82" i="1"/>
  <c r="W82" i="1"/>
  <c r="U82" i="1"/>
  <c r="AF82" i="1" s="1"/>
  <c r="P82" i="1"/>
  <c r="O82" i="1"/>
  <c r="K82" i="1"/>
  <c r="AI68" i="1"/>
  <c r="AH68" i="1"/>
  <c r="AG68" i="1"/>
  <c r="AF68" i="1"/>
  <c r="AE68" i="1"/>
  <c r="AD68" i="1"/>
  <c r="AC68" i="1"/>
  <c r="AB68" i="1"/>
  <c r="AA68" i="1"/>
  <c r="P68" i="1"/>
  <c r="AF59" i="5" s="1"/>
  <c r="O68" i="1"/>
  <c r="K68" i="1"/>
  <c r="AI48" i="1"/>
  <c r="AH48" i="1"/>
  <c r="AG48" i="1"/>
  <c r="AF48" i="1"/>
  <c r="AE48" i="1"/>
  <c r="AD48" i="1"/>
  <c r="AC48" i="1"/>
  <c r="AB48" i="1"/>
  <c r="AA48" i="1"/>
  <c r="P48" i="1"/>
  <c r="O48" i="1"/>
  <c r="K48" i="1"/>
  <c r="AI73" i="1"/>
  <c r="AH73" i="1"/>
  <c r="AG73" i="1"/>
  <c r="AF73" i="1"/>
  <c r="AE73" i="1"/>
  <c r="AD73" i="1"/>
  <c r="AC73" i="1"/>
  <c r="AB73" i="1"/>
  <c r="AA73" i="1"/>
  <c r="P73" i="1"/>
  <c r="O73" i="1"/>
  <c r="K73" i="1"/>
  <c r="AI57" i="1"/>
  <c r="AH57" i="1"/>
  <c r="AG57" i="1"/>
  <c r="AF57" i="1"/>
  <c r="AE57" i="1"/>
  <c r="AD57" i="1"/>
  <c r="AC57" i="1"/>
  <c r="AB57" i="1"/>
  <c r="AA57" i="1"/>
  <c r="P57" i="1"/>
  <c r="O57" i="1"/>
  <c r="K57" i="1"/>
  <c r="AI50" i="1"/>
  <c r="AH50" i="1"/>
  <c r="AG50" i="1"/>
  <c r="AF50" i="1"/>
  <c r="AE50" i="1"/>
  <c r="AC50" i="1"/>
  <c r="AB50" i="1"/>
  <c r="AA50" i="1"/>
  <c r="Z50" i="1"/>
  <c r="AD50" i="1" s="1"/>
  <c r="P50" i="1"/>
  <c r="O50" i="1"/>
  <c r="K50" i="1"/>
  <c r="AH64" i="1"/>
  <c r="AG64" i="1"/>
  <c r="AF64" i="1"/>
  <c r="AE64" i="1"/>
  <c r="AD64" i="1"/>
  <c r="AC64" i="1"/>
  <c r="AB64" i="1"/>
  <c r="S64" i="1"/>
  <c r="AI64" i="1" s="1"/>
  <c r="P64" i="1"/>
  <c r="O64" i="1"/>
  <c r="K64" i="1"/>
  <c r="AI80" i="1"/>
  <c r="AH80" i="1"/>
  <c r="AG80" i="1"/>
  <c r="AF80" i="1"/>
  <c r="AE80" i="1"/>
  <c r="AD80" i="1"/>
  <c r="AC80" i="1"/>
  <c r="AB80" i="1"/>
  <c r="AA80" i="1"/>
  <c r="P80" i="1"/>
  <c r="O80" i="1"/>
  <c r="K80" i="1"/>
  <c r="AI74" i="1"/>
  <c r="AH74" i="1"/>
  <c r="AG74" i="1"/>
  <c r="AF74" i="1"/>
  <c r="AE74" i="1"/>
  <c r="AD74" i="1"/>
  <c r="AC74" i="1"/>
  <c r="AB74" i="1"/>
  <c r="AA74" i="1"/>
  <c r="P74" i="1"/>
  <c r="O74" i="1"/>
  <c r="K74" i="1"/>
  <c r="AI62" i="1"/>
  <c r="AH62" i="1"/>
  <c r="AG62" i="1"/>
  <c r="AF62" i="1"/>
  <c r="AE62" i="1"/>
  <c r="AD62" i="1"/>
  <c r="AC62" i="1"/>
  <c r="AB62" i="1"/>
  <c r="AA62" i="1"/>
  <c r="W62" i="1"/>
  <c r="P62" i="1"/>
  <c r="O62" i="1"/>
  <c r="K62" i="1"/>
  <c r="AI36" i="1"/>
  <c r="AH36" i="1"/>
  <c r="AG36" i="1"/>
  <c r="AF36" i="1"/>
  <c r="AE36" i="1"/>
  <c r="AD36" i="1"/>
  <c r="AB36" i="1"/>
  <c r="AA36" i="1"/>
  <c r="Y36" i="1"/>
  <c r="AC36" i="1" s="1"/>
  <c r="P36" i="1"/>
  <c r="AF53" i="5" s="1"/>
  <c r="O36" i="1"/>
  <c r="K36" i="1"/>
  <c r="AI52" i="1"/>
  <c r="AH52" i="1"/>
  <c r="AG52" i="1"/>
  <c r="AF52" i="1"/>
  <c r="AE52" i="1"/>
  <c r="AD52" i="1"/>
  <c r="AC52" i="1"/>
  <c r="AB52" i="1"/>
  <c r="AA52" i="1"/>
  <c r="P52" i="1"/>
  <c r="O52" i="1"/>
  <c r="K52" i="1"/>
  <c r="AI88" i="1"/>
  <c r="AH88" i="1"/>
  <c r="AG88" i="1"/>
  <c r="AF88" i="1"/>
  <c r="AE88" i="1"/>
  <c r="AD88" i="1"/>
  <c r="AC88" i="1"/>
  <c r="AB88" i="1"/>
  <c r="AA88" i="1"/>
  <c r="P88" i="1"/>
  <c r="O88" i="1"/>
  <c r="K88" i="1"/>
  <c r="AI56" i="1"/>
  <c r="AH56" i="1"/>
  <c r="AG56" i="1"/>
  <c r="AF56" i="1"/>
  <c r="AE56" i="1"/>
  <c r="AD56" i="1"/>
  <c r="AC56" i="1"/>
  <c r="AB56" i="1"/>
  <c r="AA56" i="1"/>
  <c r="O56" i="1"/>
  <c r="K56" i="1"/>
  <c r="AF55" i="1"/>
  <c r="AE55" i="1"/>
  <c r="AD55" i="1"/>
  <c r="AC55" i="1"/>
  <c r="X55" i="1"/>
  <c r="AB55" i="1" s="1"/>
  <c r="V55" i="1"/>
  <c r="AH55" i="1" s="1"/>
  <c r="S55" i="1"/>
  <c r="AA55" i="1" s="1"/>
  <c r="P55" i="1"/>
  <c r="AF54" i="5" s="1"/>
  <c r="O55" i="1"/>
  <c r="K55" i="1"/>
  <c r="AC75" i="1"/>
  <c r="AB75" i="1"/>
  <c r="T75" i="1"/>
  <c r="S75" i="1"/>
  <c r="AA75" i="1" s="1"/>
  <c r="P75" i="1"/>
  <c r="O75" i="1"/>
  <c r="K75" i="1"/>
  <c r="AH87" i="1"/>
  <c r="AG87" i="1"/>
  <c r="AF87" i="1"/>
  <c r="AE87" i="1"/>
  <c r="AD87" i="1"/>
  <c r="AC87" i="1"/>
  <c r="AB87" i="1"/>
  <c r="S87" i="1"/>
  <c r="AA87" i="1" s="1"/>
  <c r="P87" i="1"/>
  <c r="O87" i="1"/>
  <c r="K87" i="1"/>
  <c r="AI63" i="1"/>
  <c r="AH63" i="1"/>
  <c r="AG63" i="1"/>
  <c r="AF63" i="1"/>
  <c r="AE63" i="1"/>
  <c r="AD63" i="1"/>
  <c r="AC63" i="1"/>
  <c r="AB63" i="1"/>
  <c r="AA63" i="1"/>
  <c r="P63" i="1"/>
  <c r="O63" i="1"/>
  <c r="K63" i="1"/>
  <c r="AI33" i="1"/>
  <c r="AH33" i="1"/>
  <c r="AG33" i="1"/>
  <c r="AF33" i="1"/>
  <c r="AE33" i="1"/>
  <c r="AD33" i="1"/>
  <c r="AC33" i="1"/>
  <c r="AB33" i="1"/>
  <c r="AA33" i="1"/>
  <c r="P33" i="1"/>
  <c r="AF84" i="5" s="1"/>
  <c r="O33" i="1"/>
  <c r="K33" i="1"/>
  <c r="AI89" i="1"/>
  <c r="AD89" i="1"/>
  <c r="AB89" i="1"/>
  <c r="AA89" i="1"/>
  <c r="Y89" i="1"/>
  <c r="Y91" i="1" s="1"/>
  <c r="T89" i="1"/>
  <c r="P89" i="1"/>
  <c r="O89" i="1"/>
  <c r="K89" i="1"/>
  <c r="AD18" i="1"/>
  <c r="Y18" i="1"/>
  <c r="X18" i="1"/>
  <c r="T18" i="1"/>
  <c r="AH18" i="1" s="1"/>
  <c r="S18" i="1"/>
  <c r="P18" i="1"/>
  <c r="AF56" i="5" s="1"/>
  <c r="O18" i="1"/>
  <c r="K18" i="1"/>
  <c r="AI38" i="1"/>
  <c r="AH38" i="1"/>
  <c r="AG38" i="1"/>
  <c r="AF38" i="1"/>
  <c r="AE38" i="1"/>
  <c r="AD38" i="1"/>
  <c r="AC38" i="1"/>
  <c r="AB38" i="1"/>
  <c r="AA38" i="1"/>
  <c r="P38" i="1"/>
  <c r="O38" i="1"/>
  <c r="K38" i="1"/>
  <c r="AI59" i="1"/>
  <c r="AH59" i="1"/>
  <c r="AG59" i="1"/>
  <c r="AF59" i="1"/>
  <c r="AE59" i="1"/>
  <c r="AD59" i="1"/>
  <c r="AC59" i="1"/>
  <c r="AB59" i="1"/>
  <c r="AA59" i="1"/>
  <c r="W59" i="1"/>
  <c r="P59" i="1"/>
  <c r="O59" i="1"/>
  <c r="K59" i="1"/>
  <c r="AI47" i="1"/>
  <c r="AH47" i="1"/>
  <c r="AG47" i="1"/>
  <c r="AF47" i="1"/>
  <c r="AE47" i="1"/>
  <c r="AD47" i="1"/>
  <c r="AC47" i="1"/>
  <c r="AA47" i="1"/>
  <c r="X47" i="1"/>
  <c r="AB47" i="1" s="1"/>
  <c r="W47" i="1"/>
  <c r="P47" i="1"/>
  <c r="O47" i="1"/>
  <c r="K47" i="1"/>
  <c r="AG43" i="1"/>
  <c r="AD43" i="1"/>
  <c r="AC43" i="1"/>
  <c r="X43" i="1"/>
  <c r="X69" i="1" s="1"/>
  <c r="U43" i="1"/>
  <c r="S43" i="1"/>
  <c r="R43" i="1"/>
  <c r="P43" i="1"/>
  <c r="AF87" i="5" s="1"/>
  <c r="O43" i="1"/>
  <c r="K43" i="1"/>
  <c r="T43" i="1" s="1"/>
  <c r="AH43" i="1" s="1"/>
  <c r="AI42" i="1"/>
  <c r="AH42" i="1"/>
  <c r="AG42" i="1"/>
  <c r="AF42" i="1"/>
  <c r="AE42" i="1"/>
  <c r="AD42" i="1"/>
  <c r="AC42" i="1"/>
  <c r="AB42" i="1"/>
  <c r="AA42" i="1"/>
  <c r="P42" i="1"/>
  <c r="AF39" i="5" s="1"/>
  <c r="O42" i="1"/>
  <c r="K42" i="1"/>
  <c r="AH72" i="1"/>
  <c r="AG72" i="1"/>
  <c r="AF72" i="1"/>
  <c r="AE72" i="1"/>
  <c r="AD72" i="1"/>
  <c r="AC72" i="1"/>
  <c r="X72" i="1"/>
  <c r="AB72" i="1" s="1"/>
  <c r="S72" i="1"/>
  <c r="AI72" i="1" s="1"/>
  <c r="P72" i="1"/>
  <c r="O72" i="1"/>
  <c r="K72" i="1"/>
  <c r="AH30" i="1"/>
  <c r="AG30" i="1"/>
  <c r="AF30" i="1"/>
  <c r="AE30" i="1"/>
  <c r="AD30" i="1"/>
  <c r="AC30" i="1"/>
  <c r="AB30" i="1"/>
  <c r="S30" i="1"/>
  <c r="AA30" i="1" s="1"/>
  <c r="P30" i="1"/>
  <c r="AF61" i="5" s="1"/>
  <c r="O30" i="1"/>
  <c r="K30" i="1"/>
  <c r="AH79" i="1"/>
  <c r="AG79" i="1"/>
  <c r="AF79" i="1"/>
  <c r="AE79" i="1"/>
  <c r="AD79" i="1"/>
  <c r="AC79" i="1"/>
  <c r="AB79" i="1"/>
  <c r="S79" i="1"/>
  <c r="P79" i="1"/>
  <c r="O79" i="1"/>
  <c r="K79" i="1"/>
  <c r="AF19" i="1"/>
  <c r="AE19" i="1"/>
  <c r="AD19" i="1"/>
  <c r="AC19" i="1"/>
  <c r="AB19" i="1"/>
  <c r="W19" i="1"/>
  <c r="V19" i="1"/>
  <c r="AH19" i="1" s="1"/>
  <c r="S19" i="1"/>
  <c r="P19" i="1"/>
  <c r="O19" i="1"/>
  <c r="K19" i="1"/>
  <c r="AI31" i="1"/>
  <c r="AH31" i="1"/>
  <c r="AG31" i="1"/>
  <c r="AF31" i="1"/>
  <c r="AE31" i="1"/>
  <c r="AD31" i="1"/>
  <c r="AC31" i="1"/>
  <c r="AB31" i="1"/>
  <c r="AA31" i="1"/>
  <c r="W31" i="1"/>
  <c r="P31" i="1"/>
  <c r="O31" i="1"/>
  <c r="K31" i="1"/>
  <c r="AH6" i="1"/>
  <c r="AG6" i="1"/>
  <c r="AF6" i="1"/>
  <c r="AE6" i="1"/>
  <c r="AD6" i="1"/>
  <c r="AC6" i="1"/>
  <c r="AB6" i="1"/>
  <c r="S6" i="1"/>
  <c r="P6" i="1"/>
  <c r="O6" i="1"/>
  <c r="K6" i="1"/>
  <c r="AI37" i="1"/>
  <c r="AH37" i="1"/>
  <c r="AG37" i="1"/>
  <c r="AF37" i="1"/>
  <c r="AE37" i="1"/>
  <c r="AD37" i="1"/>
  <c r="AC37" i="1"/>
  <c r="AB37" i="1"/>
  <c r="AA37" i="1"/>
  <c r="P37" i="1"/>
  <c r="O37" i="1"/>
  <c r="K37" i="1"/>
  <c r="AI51" i="1"/>
  <c r="AH51" i="1"/>
  <c r="AG51" i="1"/>
  <c r="AF51" i="1"/>
  <c r="AE51" i="1"/>
  <c r="AD51" i="1"/>
  <c r="AC51" i="1"/>
  <c r="AB51" i="1"/>
  <c r="W51" i="1"/>
  <c r="R51" i="1"/>
  <c r="AA51" i="1" s="1"/>
  <c r="P51" i="1"/>
  <c r="AF36" i="5" s="1"/>
  <c r="O51" i="1"/>
  <c r="K51" i="1"/>
  <c r="AE97" i="1"/>
  <c r="AD97" i="1"/>
  <c r="AC97" i="1"/>
  <c r="X97" i="1"/>
  <c r="X99" i="1" s="1"/>
  <c r="X100" i="1" s="1"/>
  <c r="T97" i="1"/>
  <c r="S97" i="1"/>
  <c r="P97" i="1"/>
  <c r="O97" i="1"/>
  <c r="K97" i="1"/>
  <c r="AI45" i="1"/>
  <c r="AE45" i="1"/>
  <c r="AD45" i="1"/>
  <c r="AC45" i="1"/>
  <c r="AB45" i="1"/>
  <c r="AA45" i="1"/>
  <c r="T45" i="1"/>
  <c r="AG45" i="1" s="1"/>
  <c r="P45" i="1"/>
  <c r="O45" i="1"/>
  <c r="K45" i="1"/>
  <c r="AH41" i="1"/>
  <c r="AG41" i="1"/>
  <c r="AF41" i="1"/>
  <c r="AE41" i="1"/>
  <c r="AD41" i="1"/>
  <c r="AC41" i="1"/>
  <c r="X41" i="1"/>
  <c r="AB41" i="1" s="1"/>
  <c r="S41" i="1"/>
  <c r="AA41" i="1" s="1"/>
  <c r="P41" i="1"/>
  <c r="AF34" i="5" s="1"/>
  <c r="O41" i="1"/>
  <c r="K41" i="1"/>
  <c r="AH96" i="1"/>
  <c r="AG96" i="1"/>
  <c r="AF96" i="1"/>
  <c r="AE96" i="1"/>
  <c r="AC96" i="1"/>
  <c r="AB96" i="1"/>
  <c r="Z96" i="1"/>
  <c r="AD96" i="1" s="1"/>
  <c r="S96" i="1"/>
  <c r="AI96" i="1" s="1"/>
  <c r="R96" i="1"/>
  <c r="P96" i="1"/>
  <c r="O96" i="1"/>
  <c r="K96" i="1"/>
  <c r="Y78" i="1"/>
  <c r="X78" i="1"/>
  <c r="W78" i="1"/>
  <c r="V78" i="1"/>
  <c r="U78" i="1"/>
  <c r="P78" i="1"/>
  <c r="O78" i="1"/>
  <c r="K78" i="1"/>
  <c r="AH35" i="1"/>
  <c r="AG35" i="1"/>
  <c r="AF35" i="1"/>
  <c r="AE35" i="1"/>
  <c r="AD35" i="1"/>
  <c r="AC35" i="1"/>
  <c r="AB35" i="1"/>
  <c r="S35" i="1"/>
  <c r="AI35" i="1" s="1"/>
  <c r="P35" i="1"/>
  <c r="O35" i="1"/>
  <c r="K35" i="1"/>
  <c r="AH29" i="1"/>
  <c r="AG29" i="1"/>
  <c r="AF29" i="1"/>
  <c r="AE29" i="1"/>
  <c r="AD29" i="1"/>
  <c r="AC29" i="1"/>
  <c r="AB29" i="1"/>
  <c r="S29" i="1"/>
  <c r="AI29" i="1" s="1"/>
  <c r="P29" i="1"/>
  <c r="AF86" i="5" s="1"/>
  <c r="O29" i="1"/>
  <c r="K29" i="1"/>
  <c r="AI58" i="1"/>
  <c r="AH58" i="1"/>
  <c r="AG58" i="1"/>
  <c r="AF58" i="1"/>
  <c r="AE58" i="1"/>
  <c r="AD58" i="1"/>
  <c r="AC58" i="1"/>
  <c r="AB58" i="1"/>
  <c r="AA58" i="1"/>
  <c r="W58" i="1"/>
  <c r="P58" i="1"/>
  <c r="AF78" i="5" s="1"/>
  <c r="O58" i="1"/>
  <c r="K58" i="1"/>
  <c r="AI71" i="1"/>
  <c r="AD71" i="1"/>
  <c r="AB71" i="1"/>
  <c r="Y71" i="1"/>
  <c r="W71" i="1"/>
  <c r="V71" i="1"/>
  <c r="U71" i="1"/>
  <c r="T71" i="1"/>
  <c r="R71" i="1"/>
  <c r="AA71" i="1" s="1"/>
  <c r="K71" i="1"/>
  <c r="AI13" i="1"/>
  <c r="AE13" i="1"/>
  <c r="AD13" i="1"/>
  <c r="AC13" i="1"/>
  <c r="AA13" i="1"/>
  <c r="T13" i="1"/>
  <c r="AF13" i="1" s="1"/>
  <c r="P13" i="1"/>
  <c r="AF55" i="5" s="1"/>
  <c r="O13" i="1"/>
  <c r="K13" i="1"/>
  <c r="Z99" i="1"/>
  <c r="AD99" i="1" s="1"/>
  <c r="V99" i="1"/>
  <c r="V100" i="1" s="1"/>
  <c r="U99" i="1"/>
  <c r="U100" i="1" s="1"/>
  <c r="P99" i="1"/>
  <c r="O99" i="1"/>
  <c r="K99" i="1"/>
  <c r="AG77" i="1"/>
  <c r="AD77" i="1"/>
  <c r="AA77" i="1"/>
  <c r="T77" i="1"/>
  <c r="T78" i="1" s="1"/>
  <c r="P77" i="1"/>
  <c r="O77" i="1"/>
  <c r="K77" i="1"/>
  <c r="AI81" i="1"/>
  <c r="AH81" i="1"/>
  <c r="AG81" i="1"/>
  <c r="AF81" i="1"/>
  <c r="AE81" i="1"/>
  <c r="AD81" i="1"/>
  <c r="AC81" i="1"/>
  <c r="AB81" i="1"/>
  <c r="R81" i="1"/>
  <c r="R99" i="1" s="1"/>
  <c r="P81" i="1"/>
  <c r="O81" i="1"/>
  <c r="K81" i="1"/>
  <c r="AI66" i="1"/>
  <c r="AH66" i="1"/>
  <c r="AG66" i="1"/>
  <c r="AF66" i="1"/>
  <c r="AE66" i="1"/>
  <c r="AD66" i="1"/>
  <c r="AA66" i="1"/>
  <c r="Y66" i="1"/>
  <c r="AC66" i="1" s="1"/>
  <c r="X66" i="1"/>
  <c r="AB66" i="1" s="1"/>
  <c r="P66" i="1"/>
  <c r="O66" i="1"/>
  <c r="K66" i="1"/>
  <c r="P100" i="1"/>
  <c r="O100" i="1"/>
  <c r="K100" i="1"/>
  <c r="AI85" i="1"/>
  <c r="AH85" i="1"/>
  <c r="AG85" i="1"/>
  <c r="AF85" i="1"/>
  <c r="AE85" i="1"/>
  <c r="AD85" i="1"/>
  <c r="AC85" i="1"/>
  <c r="AB85" i="1"/>
  <c r="AA85" i="1"/>
  <c r="P85" i="1"/>
  <c r="O85" i="1"/>
  <c r="K85" i="1"/>
  <c r="AI76" i="1"/>
  <c r="AH76" i="1"/>
  <c r="AG76" i="1"/>
  <c r="AF76" i="1"/>
  <c r="AE76" i="1"/>
  <c r="AD76" i="1"/>
  <c r="AC76" i="1"/>
  <c r="AB76" i="1"/>
  <c r="R76" i="1"/>
  <c r="P76" i="1"/>
  <c r="O76" i="1"/>
  <c r="K76" i="1"/>
  <c r="AH26" i="1"/>
  <c r="AG26" i="1"/>
  <c r="AF26" i="1"/>
  <c r="AE26" i="1"/>
  <c r="AD26" i="1"/>
  <c r="AC26" i="1"/>
  <c r="AB26" i="1"/>
  <c r="W26" i="1"/>
  <c r="S26" i="1"/>
  <c r="AI26" i="1" s="1"/>
  <c r="P26" i="1"/>
  <c r="AF22" i="5" s="1"/>
  <c r="O26" i="1"/>
  <c r="AD22" i="5" s="1"/>
  <c r="K26" i="1"/>
  <c r="AH95" i="1"/>
  <c r="AG95" i="1"/>
  <c r="AF95" i="1"/>
  <c r="AE95" i="1"/>
  <c r="AD95" i="1"/>
  <c r="AC95" i="1"/>
  <c r="AB95" i="1"/>
  <c r="S95" i="1"/>
  <c r="AI95" i="1" s="1"/>
  <c r="P95" i="1"/>
  <c r="AF3" i="5" s="1"/>
  <c r="O95" i="1"/>
  <c r="K95" i="1"/>
  <c r="AI4" i="1"/>
  <c r="AF4" i="1"/>
  <c r="AE4" i="1"/>
  <c r="AD4" i="1"/>
  <c r="AC4" i="1"/>
  <c r="AB4" i="1"/>
  <c r="AA4" i="1"/>
  <c r="V4" i="1"/>
  <c r="AG4" i="1" s="1"/>
  <c r="P4" i="1"/>
  <c r="AF23" i="5" s="1"/>
  <c r="O4" i="1"/>
  <c r="K4" i="1"/>
  <c r="AI8" i="1"/>
  <c r="AH8" i="1"/>
  <c r="AG8" i="1"/>
  <c r="AF8" i="1"/>
  <c r="AE8" i="1"/>
  <c r="AD8" i="1"/>
  <c r="AB8" i="1"/>
  <c r="AA8" i="1"/>
  <c r="Y8" i="1"/>
  <c r="AC8" i="1" s="1"/>
  <c r="P8" i="1"/>
  <c r="O8" i="1"/>
  <c r="K8" i="1"/>
  <c r="AI32" i="1"/>
  <c r="AH32" i="1"/>
  <c r="AG32" i="1"/>
  <c r="AF32" i="1"/>
  <c r="AE32" i="1"/>
  <c r="AD32" i="1"/>
  <c r="AC32" i="1"/>
  <c r="AB32" i="1"/>
  <c r="AA32" i="1"/>
  <c r="W32" i="1"/>
  <c r="P32" i="1"/>
  <c r="O32" i="1"/>
  <c r="K32" i="1"/>
  <c r="AH92" i="1"/>
  <c r="AG92" i="1"/>
  <c r="AF92" i="1"/>
  <c r="AE92" i="1"/>
  <c r="AD92" i="1"/>
  <c r="Y92" i="1"/>
  <c r="AC92" i="1" s="1"/>
  <c r="X92" i="1"/>
  <c r="AB92" i="1" s="1"/>
  <c r="W92" i="1"/>
  <c r="S92" i="1"/>
  <c r="AI92" i="1" s="1"/>
  <c r="R92" i="1"/>
  <c r="P92" i="1"/>
  <c r="AF33" i="5" s="1"/>
  <c r="O92" i="1"/>
  <c r="K92" i="1"/>
  <c r="AI98" i="1"/>
  <c r="AH98" i="1"/>
  <c r="AG98" i="1"/>
  <c r="AF98" i="1"/>
  <c r="AE98" i="1"/>
  <c r="AD98" i="1"/>
  <c r="AB98" i="1"/>
  <c r="AA98" i="1"/>
  <c r="Y98" i="1"/>
  <c r="AC98" i="1" s="1"/>
  <c r="P98" i="1"/>
  <c r="O98" i="1"/>
  <c r="K98" i="1"/>
  <c r="AI53" i="1"/>
  <c r="AH53" i="1"/>
  <c r="AG53" i="1"/>
  <c r="AF53" i="1"/>
  <c r="AE53" i="1"/>
  <c r="AD53" i="1"/>
  <c r="AC53" i="1"/>
  <c r="AB53" i="1"/>
  <c r="AA53" i="1"/>
  <c r="W53" i="1"/>
  <c r="O53" i="1"/>
  <c r="K53" i="1"/>
  <c r="AI61" i="1"/>
  <c r="AH61" i="1"/>
  <c r="AG61" i="1"/>
  <c r="AF61" i="1"/>
  <c r="AE61" i="1"/>
  <c r="AD61" i="1"/>
  <c r="AC61" i="1"/>
  <c r="AB61" i="1"/>
  <c r="AA61" i="1"/>
  <c r="W61" i="1"/>
  <c r="P61" i="1"/>
  <c r="O61" i="1"/>
  <c r="K61" i="1"/>
  <c r="AE70" i="1"/>
  <c r="AD70" i="1"/>
  <c r="AA70" i="1"/>
  <c r="Y70" i="1"/>
  <c r="X70" i="1"/>
  <c r="W70" i="1"/>
  <c r="T70" i="1"/>
  <c r="AI70" i="1" s="1"/>
  <c r="P70" i="1"/>
  <c r="O70" i="1"/>
  <c r="K70" i="1"/>
  <c r="AI84" i="1"/>
  <c r="AH84" i="1"/>
  <c r="AG84" i="1"/>
  <c r="AF84" i="1"/>
  <c r="AE84" i="1"/>
  <c r="AD84" i="1"/>
  <c r="AC84" i="1"/>
  <c r="AB84" i="1"/>
  <c r="AA84" i="1"/>
  <c r="P84" i="1"/>
  <c r="O84" i="1"/>
  <c r="K84" i="1"/>
  <c r="AI49" i="1"/>
  <c r="AH49" i="1"/>
  <c r="AG49" i="1"/>
  <c r="AF49" i="1"/>
  <c r="AE49" i="1"/>
  <c r="AD49" i="1"/>
  <c r="AC49" i="1"/>
  <c r="AB49" i="1"/>
  <c r="R49" i="1"/>
  <c r="AA49" i="1" s="1"/>
  <c r="P49" i="1"/>
  <c r="O49" i="1"/>
  <c r="K49" i="1"/>
  <c r="AI93" i="1"/>
  <c r="AD93" i="1"/>
  <c r="AA93" i="1"/>
  <c r="Y93" i="1"/>
  <c r="X93" i="1"/>
  <c r="U93" i="1"/>
  <c r="T93" i="1"/>
  <c r="P93" i="1"/>
  <c r="AF16" i="5" s="1"/>
  <c r="O93" i="1"/>
  <c r="K93" i="1"/>
  <c r="AI60" i="1"/>
  <c r="AH60" i="1"/>
  <c r="AG60" i="1"/>
  <c r="AF60" i="1"/>
  <c r="AE60" i="1"/>
  <c r="AD60" i="1"/>
  <c r="AA60" i="1"/>
  <c r="Y60" i="1"/>
  <c r="AC60" i="1" s="1"/>
  <c r="X60" i="1"/>
  <c r="AB60" i="1" s="1"/>
  <c r="P60" i="1"/>
  <c r="O60" i="1"/>
  <c r="K60" i="1"/>
  <c r="AH67" i="1"/>
  <c r="AG67" i="1"/>
  <c r="AF67" i="1"/>
  <c r="AE67" i="1"/>
  <c r="AB67" i="1"/>
  <c r="Y67" i="1"/>
  <c r="Y69" i="1" s="1"/>
  <c r="S67" i="1"/>
  <c r="AI67" i="1" s="1"/>
  <c r="P67" i="1"/>
  <c r="O67" i="1"/>
  <c r="K67" i="1"/>
  <c r="AH11" i="1"/>
  <c r="AG11" i="1"/>
  <c r="AF11" i="1"/>
  <c r="AE11" i="1"/>
  <c r="AD11" i="1"/>
  <c r="AC11" i="1"/>
  <c r="AB11" i="1"/>
  <c r="S11" i="1"/>
  <c r="AA11" i="1" s="1"/>
  <c r="P11" i="1"/>
  <c r="AF11" i="5" s="1"/>
  <c r="O11" i="1"/>
  <c r="AD11" i="5" s="1"/>
  <c r="K11" i="1"/>
  <c r="AI24" i="1"/>
  <c r="AH24" i="1"/>
  <c r="AG24" i="1"/>
  <c r="AF24" i="1"/>
  <c r="AE24" i="1"/>
  <c r="AD24" i="1"/>
  <c r="AC24" i="1"/>
  <c r="AB24" i="1"/>
  <c r="AA24" i="1"/>
  <c r="P24" i="1"/>
  <c r="AF4" i="5" s="1"/>
  <c r="O24" i="1"/>
  <c r="K24" i="1"/>
  <c r="Z91" i="1"/>
  <c r="R91" i="1"/>
  <c r="P91" i="1"/>
  <c r="O91" i="1"/>
  <c r="K91" i="1"/>
  <c r="AI16" i="1"/>
  <c r="AH16" i="1"/>
  <c r="AG16" i="1"/>
  <c r="AF16" i="1"/>
  <c r="AE16" i="1"/>
  <c r="AD16" i="1"/>
  <c r="AC16" i="1"/>
  <c r="AB16" i="1"/>
  <c r="AA16" i="1"/>
  <c r="P16" i="1"/>
  <c r="AF74" i="5" s="1"/>
  <c r="O16" i="1"/>
  <c r="K16" i="1"/>
  <c r="AI27" i="1"/>
  <c r="AH27" i="1"/>
  <c r="AG27" i="1"/>
  <c r="AF27" i="1"/>
  <c r="AE27" i="1"/>
  <c r="AD27" i="1"/>
  <c r="AC27" i="1"/>
  <c r="AB27" i="1"/>
  <c r="AA27" i="1"/>
  <c r="W27" i="1"/>
  <c r="P27" i="1"/>
  <c r="O27" i="1"/>
  <c r="K27" i="1"/>
  <c r="AI25" i="1"/>
  <c r="AH25" i="1"/>
  <c r="AG25" i="1"/>
  <c r="AF25" i="1"/>
  <c r="AE25" i="1"/>
  <c r="AD25" i="1"/>
  <c r="AC25" i="1"/>
  <c r="AB25" i="1"/>
  <c r="AA25" i="1"/>
  <c r="W25" i="1"/>
  <c r="P25" i="1"/>
  <c r="AF83" i="5" s="1"/>
  <c r="O25" i="1"/>
  <c r="K25" i="1"/>
  <c r="AI9" i="1"/>
  <c r="AH9" i="1"/>
  <c r="AG9" i="1"/>
  <c r="AF9" i="1"/>
  <c r="AE9" i="1"/>
  <c r="AD9" i="1"/>
  <c r="AC9" i="1"/>
  <c r="AB9" i="1"/>
  <c r="AA9" i="1"/>
  <c r="P9" i="1"/>
  <c r="AF51" i="5" s="1"/>
  <c r="O9" i="1"/>
  <c r="K9" i="1"/>
  <c r="AH28" i="1"/>
  <c r="AG28" i="1"/>
  <c r="AF28" i="1"/>
  <c r="AE28" i="1"/>
  <c r="AD28" i="1"/>
  <c r="AC28" i="1"/>
  <c r="AB28" i="1"/>
  <c r="W28" i="1"/>
  <c r="S28" i="1"/>
  <c r="AA28" i="1" s="1"/>
  <c r="P28" i="1"/>
  <c r="O28" i="1"/>
  <c r="K28" i="1"/>
  <c r="AH39" i="1"/>
  <c r="AG39" i="1"/>
  <c r="AF39" i="1"/>
  <c r="AE39" i="1"/>
  <c r="AD39" i="1"/>
  <c r="AC39" i="1"/>
  <c r="S39" i="1"/>
  <c r="AA39" i="1" s="1"/>
  <c r="P39" i="1"/>
  <c r="AF45" i="5" s="1"/>
  <c r="O39" i="1"/>
  <c r="K39" i="1"/>
  <c r="BV87" i="9"/>
  <c r="BV86" i="9"/>
  <c r="BV85" i="9"/>
  <c r="BV84" i="9"/>
  <c r="BV83" i="9"/>
  <c r="BV82" i="9"/>
  <c r="BV81" i="9"/>
  <c r="BV80" i="9"/>
  <c r="BV79" i="9"/>
  <c r="BV78" i="9"/>
  <c r="BV77" i="9"/>
  <c r="BV76" i="9"/>
  <c r="BV75" i="9"/>
  <c r="BV74" i="9"/>
  <c r="BV73" i="9"/>
  <c r="BV72" i="9"/>
  <c r="BV71" i="9"/>
  <c r="BV70" i="9"/>
  <c r="BV69" i="9"/>
  <c r="BV68" i="9"/>
  <c r="BV67" i="9"/>
  <c r="BV66" i="9"/>
  <c r="BV65" i="9"/>
  <c r="BV64" i="9"/>
  <c r="BV63" i="9"/>
  <c r="BV62" i="9"/>
  <c r="BV61" i="9"/>
  <c r="BV60" i="9"/>
  <c r="BV59" i="9"/>
  <c r="BV58" i="9"/>
  <c r="BV57" i="9"/>
  <c r="BV56" i="9"/>
  <c r="BV55" i="9"/>
  <c r="BV54" i="9"/>
  <c r="BV53" i="9"/>
  <c r="BV52" i="9"/>
  <c r="BV51" i="9"/>
  <c r="BV50" i="9"/>
  <c r="BV49" i="9"/>
  <c r="BV48" i="9"/>
  <c r="BV47" i="9"/>
  <c r="BV46" i="9"/>
  <c r="BV45" i="9"/>
  <c r="BV44" i="9"/>
  <c r="BV43" i="9"/>
  <c r="BV42" i="9"/>
  <c r="BV41" i="9"/>
  <c r="BV40" i="9"/>
  <c r="BV39" i="9"/>
  <c r="BV38" i="9"/>
  <c r="BV37" i="9"/>
  <c r="BV36" i="9"/>
  <c r="BV35" i="9"/>
  <c r="BV34" i="9"/>
  <c r="BV33" i="9"/>
  <c r="BV32" i="9"/>
  <c r="BV31" i="9"/>
  <c r="BV30" i="9"/>
  <c r="BV29" i="9"/>
  <c r="BV28" i="9"/>
  <c r="BV27" i="9"/>
  <c r="BV26" i="9"/>
  <c r="BV25" i="9"/>
  <c r="BV24" i="9"/>
  <c r="BV23" i="9"/>
  <c r="BV22" i="9"/>
  <c r="BV21" i="9"/>
  <c r="BV20" i="9"/>
  <c r="BV19" i="9"/>
  <c r="BV18" i="9"/>
  <c r="BV17" i="9"/>
  <c r="BV16" i="9"/>
  <c r="BV15" i="9"/>
  <c r="BV14" i="9"/>
  <c r="BV13" i="9"/>
  <c r="BV12" i="9"/>
  <c r="BV11" i="9"/>
  <c r="BV10" i="9"/>
  <c r="BV9" i="9"/>
  <c r="BV8" i="9"/>
  <c r="BV7" i="9"/>
  <c r="BV6" i="9"/>
  <c r="BV5" i="9"/>
  <c r="BV4" i="9"/>
  <c r="BV3" i="9"/>
  <c r="BV2" i="9"/>
  <c r="AF10" i="5" l="1"/>
  <c r="Y67" i="3"/>
  <c r="AF79" i="5"/>
  <c r="AD52" i="5"/>
  <c r="AF73" i="5"/>
  <c r="AF44" i="5"/>
  <c r="AF7" i="5"/>
  <c r="AF63" i="5"/>
  <c r="AF75" i="5"/>
  <c r="AF29" i="5"/>
  <c r="AF5" i="5"/>
  <c r="AF72" i="5"/>
  <c r="AF46" i="5"/>
  <c r="AF71" i="5"/>
  <c r="AF6" i="5"/>
  <c r="AF60" i="5"/>
  <c r="AF15" i="5"/>
  <c r="AF41" i="5"/>
  <c r="AF77" i="5"/>
  <c r="AF66" i="5"/>
  <c r="AF42" i="5"/>
  <c r="AF70" i="5"/>
  <c r="AF82" i="5"/>
  <c r="AF30" i="5"/>
  <c r="AF12" i="5"/>
  <c r="AF28" i="5"/>
  <c r="AF27" i="5"/>
  <c r="AF18" i="5"/>
  <c r="AF17" i="5"/>
  <c r="AF14" i="5"/>
  <c r="AF35" i="5"/>
  <c r="AF24" i="5"/>
  <c r="AF37" i="5"/>
  <c r="AF76" i="5"/>
  <c r="AF67" i="5"/>
  <c r="AF49" i="5"/>
  <c r="Y99" i="1"/>
  <c r="Y100" i="1" s="1"/>
  <c r="AF25" i="5"/>
  <c r="AF69" i="5"/>
  <c r="AF68" i="5"/>
  <c r="AF19" i="5"/>
  <c r="AF38" i="5"/>
  <c r="AF48" i="5"/>
  <c r="AF20" i="5"/>
  <c r="AF57" i="5"/>
  <c r="AF52" i="5"/>
  <c r="AF58" i="5"/>
  <c r="AS22" i="8"/>
  <c r="AS17" i="8"/>
  <c r="AD80" i="5"/>
  <c r="X91" i="1"/>
  <c r="R69" i="1"/>
  <c r="AD45" i="5"/>
  <c r="T91" i="1"/>
  <c r="AF91" i="1" s="1"/>
  <c r="AD53" i="5"/>
  <c r="AD31" i="5"/>
  <c r="AD62" i="5"/>
  <c r="AD13" i="5"/>
  <c r="AD61" i="5"/>
  <c r="R78" i="1"/>
  <c r="Y38" i="3"/>
  <c r="AD30" i="5"/>
  <c r="AD23" i="5"/>
  <c r="W83" i="3"/>
  <c r="AD49" i="5"/>
  <c r="AD66" i="5"/>
  <c r="AD9" i="5"/>
  <c r="AD56" i="5"/>
  <c r="AD43" i="5"/>
  <c r="AD64" i="5"/>
  <c r="V91" i="1"/>
  <c r="AD26" i="5"/>
  <c r="S99" i="1"/>
  <c r="S100" i="1" s="1"/>
  <c r="AD83" i="5"/>
  <c r="AD4" i="5"/>
  <c r="AD68" i="5"/>
  <c r="AD59" i="5"/>
  <c r="AD82" i="5"/>
  <c r="AD35" i="5"/>
  <c r="AD10" i="5"/>
  <c r="AD55" i="5"/>
  <c r="AD8" i="5"/>
  <c r="U69" i="1"/>
  <c r="Y23" i="3"/>
  <c r="W38" i="3"/>
  <c r="AD16" i="5"/>
  <c r="AD54" i="5"/>
  <c r="Y81" i="3"/>
  <c r="AD17" i="5"/>
  <c r="AD32" i="5"/>
  <c r="AD51" i="5"/>
  <c r="AD87" i="5"/>
  <c r="AD20" i="5"/>
  <c r="W86" i="3"/>
  <c r="Z78" i="1"/>
  <c r="AD78" i="1" s="1"/>
  <c r="AB39" i="1"/>
  <c r="Y12" i="3"/>
  <c r="AD39" i="5"/>
  <c r="AD60" i="5"/>
  <c r="AD37" i="5"/>
  <c r="S91" i="1"/>
  <c r="Z100" i="1"/>
  <c r="AD50" i="5"/>
  <c r="AD46" i="5"/>
  <c r="AD29" i="5"/>
  <c r="AD44" i="5"/>
  <c r="AD67" i="5"/>
  <c r="AD42" i="5"/>
  <c r="AD72" i="5"/>
  <c r="AD73" i="5"/>
  <c r="AD38" i="5"/>
  <c r="AD75" i="5"/>
  <c r="AD14" i="5"/>
  <c r="AD12" i="5"/>
  <c r="T69" i="1"/>
  <c r="AB69" i="1" s="1"/>
  <c r="N6" i="8"/>
  <c r="Q8" i="8" a="1"/>
  <c r="Q8" i="8" s="1"/>
  <c r="M42" i="8" s="1"/>
  <c r="Q7" i="8" a="1"/>
  <c r="Q7" i="8" s="1"/>
  <c r="M41" i="8" s="1"/>
  <c r="P8" i="8" a="1"/>
  <c r="P8" i="8" s="1"/>
  <c r="O8" i="8" a="1"/>
  <c r="O8" i="8" s="1"/>
  <c r="O7" i="8" a="1"/>
  <c r="O7" i="8" s="1"/>
  <c r="N8" i="8" a="1"/>
  <c r="N8" i="8" s="1"/>
  <c r="N7" i="8" a="1"/>
  <c r="N7" i="8" s="1"/>
  <c r="P7" i="8" a="1"/>
  <c r="P7" i="8" s="1"/>
  <c r="L8" i="8" a="1"/>
  <c r="L8" i="8" s="1"/>
  <c r="L42" i="8" s="1"/>
  <c r="M8" i="8" a="1"/>
  <c r="M8" i="8" s="1"/>
  <c r="M7" i="8" a="1"/>
  <c r="M7" i="8" s="1"/>
  <c r="L7" i="8" a="1"/>
  <c r="L7" i="8" s="1"/>
  <c r="L41" i="8" s="1"/>
  <c r="L6" i="8" a="1"/>
  <c r="L6" i="8" s="1"/>
  <c r="L40" i="8" s="1"/>
  <c r="P3" i="5" a="1"/>
  <c r="P3" i="5" s="1"/>
  <c r="AF63" i="15"/>
  <c r="BK8" i="7"/>
  <c r="BB33" i="8"/>
  <c r="C11" i="6" a="1"/>
  <c r="C11" i="6" s="1"/>
  <c r="C46" i="6" s="1"/>
  <c r="AG54" i="1"/>
  <c r="D11" i="6" a="1"/>
  <c r="D11" i="6" s="1"/>
  <c r="AI40" i="1"/>
  <c r="I20" i="8"/>
  <c r="W80" i="3"/>
  <c r="AJ21" i="7"/>
  <c r="AO22" i="6"/>
  <c r="W28" i="3"/>
  <c r="AA21" i="7"/>
  <c r="BT30" i="7"/>
  <c r="AA32" i="7"/>
  <c r="K17" i="6"/>
  <c r="BB20" i="8"/>
  <c r="BK17" i="8"/>
  <c r="AJ19" i="8"/>
  <c r="AA8" i="8"/>
  <c r="AO6" i="6"/>
  <c r="BK7" i="7"/>
  <c r="Y50" i="3"/>
  <c r="I7" i="7"/>
  <c r="I14" i="8"/>
  <c r="AJ22" i="8"/>
  <c r="I20" i="7"/>
  <c r="AG5" i="1"/>
  <c r="BE4" i="6"/>
  <c r="AK19" i="6"/>
  <c r="AA20" i="6"/>
  <c r="AK34" i="6"/>
  <c r="I7" i="8"/>
  <c r="AJ7" i="8"/>
  <c r="AS16" i="8"/>
  <c r="BT34" i="8"/>
  <c r="BT6" i="7"/>
  <c r="I19" i="7"/>
  <c r="AA33" i="7"/>
  <c r="BT14" i="8"/>
  <c r="I16" i="8"/>
  <c r="AS30" i="8"/>
  <c r="W32" i="3"/>
  <c r="Y7" i="3"/>
  <c r="W24" i="3"/>
  <c r="AY16" i="6"/>
  <c r="G33" i="6"/>
  <c r="AO35" i="6"/>
  <c r="AE4" i="6"/>
  <c r="AY4" i="6"/>
  <c r="AA14" i="8"/>
  <c r="AF78" i="1"/>
  <c r="AJ4" i="8"/>
  <c r="BB30" i="8"/>
  <c r="AF50" i="15"/>
  <c r="I22" i="8"/>
  <c r="AF28" i="15"/>
  <c r="H80" i="15" s="1"/>
  <c r="AH70" i="1"/>
  <c r="I6" i="7"/>
  <c r="BB6" i="7"/>
  <c r="BK34" i="7"/>
  <c r="AA32" i="8"/>
  <c r="AD10" i="15"/>
  <c r="AG71" i="1"/>
  <c r="AY6" i="6"/>
  <c r="AJ20" i="7"/>
  <c r="BB8" i="8"/>
  <c r="BK15" i="8"/>
  <c r="AA21" i="8"/>
  <c r="AA21" i="15"/>
  <c r="AG19" i="1"/>
  <c r="AE54" i="1"/>
  <c r="AB40" i="1"/>
  <c r="AI7" i="1"/>
  <c r="P25" i="5" a="1"/>
  <c r="P25" i="5" s="1"/>
  <c r="BO4" i="6"/>
  <c r="K8" i="6"/>
  <c r="BK29" i="8"/>
  <c r="G19" i="6"/>
  <c r="AH45" i="1"/>
  <c r="AE7" i="6"/>
  <c r="G8" i="6"/>
  <c r="AY15" i="6"/>
  <c r="AO30" i="6"/>
  <c r="AA95" i="1"/>
  <c r="AK21" i="6"/>
  <c r="AA33" i="8"/>
  <c r="W61" i="3"/>
  <c r="AK30" i="6"/>
  <c r="AC40" i="1"/>
  <c r="AA15" i="6"/>
  <c r="AU31" i="6"/>
  <c r="BB29" i="7"/>
  <c r="AJ15" i="8"/>
  <c r="BT17" i="8"/>
  <c r="AS19" i="8"/>
  <c r="BK19" i="8"/>
  <c r="BW3" i="9"/>
  <c r="AA40" i="1"/>
  <c r="AU22" i="6"/>
  <c r="AA35" i="6"/>
  <c r="BK6" i="7"/>
  <c r="AA15" i="7"/>
  <c r="AS15" i="7"/>
  <c r="BK21" i="7"/>
  <c r="BT22" i="7"/>
  <c r="AJ29" i="7"/>
  <c r="BT34" i="7"/>
  <c r="AA19" i="8"/>
  <c r="AI11" i="1"/>
  <c r="AI41" i="1"/>
  <c r="Y60" i="3"/>
  <c r="W91" i="1"/>
  <c r="AH4" i="1"/>
  <c r="Y88" i="3"/>
  <c r="K15" i="6"/>
  <c r="BB21" i="8"/>
  <c r="AA30" i="8"/>
  <c r="AF21" i="15"/>
  <c r="AD55" i="15"/>
  <c r="BT7" i="7"/>
  <c r="AB70" i="1"/>
  <c r="BB29" i="8"/>
  <c r="BT30" i="8"/>
  <c r="AA18" i="15"/>
  <c r="BW43" i="9"/>
  <c r="AI97" i="1"/>
  <c r="W25" i="3"/>
  <c r="BB7" i="7"/>
  <c r="AJ15" i="7"/>
  <c r="BT17" i="7"/>
  <c r="AS19" i="7"/>
  <c r="AJ6" i="8"/>
  <c r="BT15" i="8"/>
  <c r="BB34" i="8"/>
  <c r="C81" i="15"/>
  <c r="BK22" i="7"/>
  <c r="BT19" i="8"/>
  <c r="AF29" i="15"/>
  <c r="P41" i="5" a="1"/>
  <c r="P41" i="5" s="1"/>
  <c r="P27" i="5" a="1"/>
  <c r="P27" i="5" s="1"/>
  <c r="P55" i="5" a="1"/>
  <c r="P55" i="5" s="1"/>
  <c r="P22" i="5" a="1"/>
  <c r="P22" i="5" s="1"/>
  <c r="AA26" i="1"/>
  <c r="AF71" i="1"/>
  <c r="Y6" i="3"/>
  <c r="W13" i="3"/>
  <c r="W71" i="3"/>
  <c r="AE6" i="6"/>
  <c r="AS22" i="7"/>
  <c r="AS33" i="7"/>
  <c r="BT7" i="8"/>
  <c r="Z5" i="15"/>
  <c r="AE37" i="15"/>
  <c r="G82" i="15" s="1"/>
  <c r="BK15" i="7"/>
  <c r="I17" i="7"/>
  <c r="BB6" i="8"/>
  <c r="BB7" i="8"/>
  <c r="BT16" i="8"/>
  <c r="AJ20" i="8"/>
  <c r="AA29" i="8"/>
  <c r="BT29" i="8"/>
  <c r="BK34" i="8"/>
  <c r="Z24" i="15"/>
  <c r="AF43" i="15"/>
  <c r="BY4" i="6"/>
  <c r="AA4" i="7"/>
  <c r="BT29" i="7"/>
  <c r="AJ32" i="7"/>
  <c r="I33" i="7"/>
  <c r="AA6" i="8"/>
  <c r="AS14" i="8"/>
  <c r="I21" i="8"/>
  <c r="BK21" i="8"/>
  <c r="BK32" i="8"/>
  <c r="BT33" i="8"/>
  <c r="O10" i="10"/>
  <c r="AE38" i="15"/>
  <c r="F82" i="15" s="1"/>
  <c r="Y15" i="3"/>
  <c r="AA35" i="1"/>
  <c r="AB43" i="1"/>
  <c r="BK8" i="8"/>
  <c r="I15" i="8"/>
  <c r="BW69" i="9"/>
  <c r="AE7" i="1"/>
  <c r="M10" i="10"/>
  <c r="AB18" i="1"/>
  <c r="AA7" i="1"/>
  <c r="BW37" i="9"/>
  <c r="AU17" i="6"/>
  <c r="AA6" i="7"/>
  <c r="AA7" i="8"/>
  <c r="AS7" i="8"/>
  <c r="I29" i="8"/>
  <c r="AJ32" i="8"/>
  <c r="BW14" i="9"/>
  <c r="BW49" i="9"/>
  <c r="AA67" i="1"/>
  <c r="AI87" i="1"/>
  <c r="Y10" i="3"/>
  <c r="Y35" i="3"/>
  <c r="Y76" i="3"/>
  <c r="AU20" i="6"/>
  <c r="AY21" i="6"/>
  <c r="K22" i="6"/>
  <c r="AK35" i="6"/>
  <c r="BB16" i="7"/>
  <c r="AA17" i="7"/>
  <c r="AA29" i="7"/>
  <c r="AS29" i="7"/>
  <c r="V10" i="15"/>
  <c r="G4" i="6"/>
  <c r="AA34" i="6"/>
  <c r="BW50" i="9"/>
  <c r="N11" i="4"/>
  <c r="E102" i="4" s="1"/>
  <c r="W84" i="3"/>
  <c r="AY19" i="6"/>
  <c r="AY8" i="6"/>
  <c r="AU16" i="6"/>
  <c r="AO20" i="6"/>
  <c r="I14" i="7"/>
  <c r="BK20" i="7"/>
  <c r="I22" i="7"/>
  <c r="AJ33" i="7"/>
  <c r="BB34" i="7"/>
  <c r="BB15" i="8"/>
  <c r="AA34" i="8"/>
  <c r="AB21" i="15"/>
  <c r="AA55" i="15"/>
  <c r="Y51" i="3"/>
  <c r="G15" i="6"/>
  <c r="AC70" i="1"/>
  <c r="AC18" i="1"/>
  <c r="BW15" i="9"/>
  <c r="BW75" i="9"/>
  <c r="AB78" i="1"/>
  <c r="AF18" i="1"/>
  <c r="AE23" i="1"/>
  <c r="W87" i="3"/>
  <c r="P11" i="5" a="1"/>
  <c r="P11" i="5" s="1"/>
  <c r="AK4" i="6"/>
  <c r="AO17" i="6"/>
  <c r="AY30" i="6"/>
  <c r="I4" i="7"/>
  <c r="I8" i="7"/>
  <c r="BB19" i="7"/>
  <c r="AJ22" i="7"/>
  <c r="I29" i="7"/>
  <c r="BB33" i="7"/>
  <c r="I4" i="8"/>
  <c r="I17" i="8"/>
  <c r="BB22" i="8"/>
  <c r="I30" i="8"/>
  <c r="BB32" i="8"/>
  <c r="Z30" i="15"/>
  <c r="Z32" i="15" s="1"/>
  <c r="Z48" i="15"/>
  <c r="Y32" i="3"/>
  <c r="AA7" i="6"/>
  <c r="BW62" i="9"/>
  <c r="AI39" i="1"/>
  <c r="AE18" i="1"/>
  <c r="Y5" i="1"/>
  <c r="AC5" i="1" s="1"/>
  <c r="AI28" i="1"/>
  <c r="AH71" i="1"/>
  <c r="AG18" i="1"/>
  <c r="AF23" i="1"/>
  <c r="W5" i="3"/>
  <c r="W37" i="3"/>
  <c r="AK8" i="6"/>
  <c r="AO15" i="6"/>
  <c r="AJ4" i="7"/>
  <c r="BT14" i="7"/>
  <c r="BB20" i="7"/>
  <c r="I21" i="7"/>
  <c r="BT33" i="7"/>
  <c r="I6" i="8"/>
  <c r="BK6" i="8"/>
  <c r="AA15" i="8"/>
  <c r="AS15" i="8"/>
  <c r="BW21" i="9"/>
  <c r="AC89" i="1"/>
  <c r="AF70" i="1"/>
  <c r="AF43" i="1"/>
  <c r="Y5" i="3"/>
  <c r="BI4" i="6"/>
  <c r="AK15" i="6"/>
  <c r="AE22" i="6"/>
  <c r="AY22" i="6"/>
  <c r="AG17" i="1"/>
  <c r="AH17" i="1"/>
  <c r="Y47" i="3"/>
  <c r="CC3" i="9"/>
  <c r="CD3" i="9" s="1"/>
  <c r="AC67" i="1"/>
  <c r="AD67" i="1"/>
  <c r="AG55" i="1"/>
  <c r="AD24" i="5"/>
  <c r="W44" i="3"/>
  <c r="Y45" i="3"/>
  <c r="W45" i="3"/>
  <c r="W63" i="3"/>
  <c r="AB46" i="1"/>
  <c r="BW2" i="9"/>
  <c r="AI18" i="1"/>
  <c r="AA18" i="1"/>
  <c r="Y63" i="3"/>
  <c r="AD57" i="5"/>
  <c r="W62" i="3"/>
  <c r="AD7" i="5"/>
  <c r="W91" i="3"/>
  <c r="W73" i="3"/>
  <c r="W81" i="3"/>
  <c r="AE29" i="6"/>
  <c r="AF40" i="15"/>
  <c r="Z40" i="15"/>
  <c r="Y82" i="3"/>
  <c r="AH46" i="1"/>
  <c r="AF46" i="1"/>
  <c r="AF93" i="1"/>
  <c r="AG93" i="1"/>
  <c r="AH93" i="1"/>
  <c r="Y37" i="3"/>
  <c r="AA19" i="1"/>
  <c r="AI19" i="1"/>
  <c r="AA79" i="1"/>
  <c r="AI79" i="1"/>
  <c r="Y59" i="3"/>
  <c r="AD33" i="5"/>
  <c r="Y62" i="3"/>
  <c r="Y65" i="3"/>
  <c r="Y72" i="3"/>
  <c r="W65" i="3"/>
  <c r="W74" i="3"/>
  <c r="Y89" i="3"/>
  <c r="AC3" i="1"/>
  <c r="AF3" i="1"/>
  <c r="AH3" i="1"/>
  <c r="BW86" i="9"/>
  <c r="Y64" i="3"/>
  <c r="AE93" i="1"/>
  <c r="Y25" i="3"/>
  <c r="Y26" i="3"/>
  <c r="AD86" i="5"/>
  <c r="W27" i="3"/>
  <c r="Y84" i="3"/>
  <c r="AI3" i="1"/>
  <c r="Y83" i="3"/>
  <c r="R16" i="6" a="1"/>
  <c r="R16" i="6" s="1"/>
  <c r="AA91" i="1"/>
  <c r="AD21" i="5"/>
  <c r="W9" i="3"/>
  <c r="AD81" i="5"/>
  <c r="W14" i="3"/>
  <c r="Y17" i="3"/>
  <c r="AA81" i="1"/>
  <c r="W10" i="3"/>
  <c r="Y16" i="3"/>
  <c r="C52" i="6"/>
  <c r="G17" i="6"/>
  <c r="BW82" i="9"/>
  <c r="AF45" i="1"/>
  <c r="AE82" i="1"/>
  <c r="Y44" i="3"/>
  <c r="Y52" i="3"/>
  <c r="AB93" i="1"/>
  <c r="Y9" i="3"/>
  <c r="Y75" i="3"/>
  <c r="AE16" i="6"/>
  <c r="AK16" i="6"/>
  <c r="AE19" i="6"/>
  <c r="AY20" i="6"/>
  <c r="AA31" i="6"/>
  <c r="K33" i="6"/>
  <c r="BK4" i="7"/>
  <c r="AS6" i="7"/>
  <c r="CC4" i="6"/>
  <c r="AC93" i="1"/>
  <c r="AG78" i="1"/>
  <c r="AI83" i="1"/>
  <c r="AB54" i="1"/>
  <c r="Y33" i="3"/>
  <c r="Y39" i="3"/>
  <c r="AY17" i="6"/>
  <c r="AO29" i="6"/>
  <c r="I15" i="7"/>
  <c r="AS16" i="7"/>
  <c r="I32" i="8"/>
  <c r="AF12" i="15"/>
  <c r="Z12" i="15"/>
  <c r="BB4" i="7"/>
  <c r="AS7" i="7"/>
  <c r="BB21" i="7"/>
  <c r="BK4" i="8"/>
  <c r="AY34" i="6"/>
  <c r="C10" i="4" a="1"/>
  <c r="C10" i="4" s="1"/>
  <c r="C37" i="4" s="1"/>
  <c r="W78" i="3"/>
  <c r="K34" i="6"/>
  <c r="AO34" i="6"/>
  <c r="AJ6" i="7"/>
  <c r="AY14" i="6"/>
  <c r="W17" i="3"/>
  <c r="Y24" i="3"/>
  <c r="W30" i="3"/>
  <c r="W36" i="3"/>
  <c r="P60" i="5" a="1"/>
  <c r="P60" i="5" s="1"/>
  <c r="P64" i="5" a="1"/>
  <c r="P64" i="5" s="1"/>
  <c r="P74" i="5" a="1"/>
  <c r="P74" i="5" s="1"/>
  <c r="AU4" i="6"/>
  <c r="BS4" i="6"/>
  <c r="K6" i="6"/>
  <c r="AU7" i="6"/>
  <c r="AU8" i="6"/>
  <c r="AU14" i="6"/>
  <c r="K20" i="6"/>
  <c r="AB97" i="1"/>
  <c r="AA43" i="1"/>
  <c r="BW4" i="9"/>
  <c r="AE43" i="1"/>
  <c r="W7" i="3"/>
  <c r="W12" i="3"/>
  <c r="Y30" i="3"/>
  <c r="W51" i="3"/>
  <c r="P10" i="5" a="1"/>
  <c r="P10" i="5" s="1"/>
  <c r="P30" i="5" a="1"/>
  <c r="P30" i="5" s="1"/>
  <c r="AO4" i="6"/>
  <c r="K14" i="6"/>
  <c r="AE14" i="6"/>
  <c r="AE17" i="6"/>
  <c r="AY29" i="6"/>
  <c r="AO31" i="6"/>
  <c r="BT4" i="7"/>
  <c r="BB14" i="7"/>
  <c r="AA19" i="7"/>
  <c r="AS34" i="7"/>
  <c r="I8" i="8"/>
  <c r="I33" i="8"/>
  <c r="AO7" i="6"/>
  <c r="G14" i="6"/>
  <c r="AA14" i="6"/>
  <c r="AU29" i="6"/>
  <c r="I30" i="7"/>
  <c r="AS30" i="7"/>
  <c r="BB32" i="7"/>
  <c r="AA4" i="6"/>
  <c r="AG70" i="1"/>
  <c r="W18" i="3"/>
  <c r="P36" i="5" a="1"/>
  <c r="P36" i="5" s="1"/>
  <c r="K4" i="6"/>
  <c r="AO21" i="6"/>
  <c r="AU21" i="6"/>
  <c r="K30" i="6"/>
  <c r="AE35" i="6"/>
  <c r="AJ16" i="8"/>
  <c r="BT21" i="8"/>
  <c r="BT22" i="8"/>
  <c r="AJ30" i="8"/>
  <c r="AE21" i="6"/>
  <c r="K29" i="6"/>
  <c r="AS20" i="8"/>
  <c r="AO16" i="6"/>
  <c r="K19" i="6"/>
  <c r="K21" i="6"/>
  <c r="AA21" i="6"/>
  <c r="AA29" i="6"/>
  <c r="K31" i="6"/>
  <c r="AA14" i="7"/>
  <c r="BB17" i="7"/>
  <c r="BK19" i="7"/>
  <c r="Z36" i="15"/>
  <c r="AS8" i="8"/>
  <c r="BT8" i="8"/>
  <c r="AS21" i="8"/>
  <c r="AA22" i="8"/>
  <c r="AS29" i="8"/>
  <c r="AS32" i="8"/>
  <c r="Z53" i="15"/>
  <c r="F80" i="15"/>
  <c r="H81" i="15"/>
  <c r="AJ34" i="7"/>
  <c r="BT4" i="8"/>
  <c r="AS6" i="8"/>
  <c r="AJ14" i="8"/>
  <c r="AJ17" i="8"/>
  <c r="BB19" i="8"/>
  <c r="M9" i="10"/>
  <c r="AA10" i="15"/>
  <c r="AD18" i="15"/>
  <c r="AB60" i="15"/>
  <c r="G80" i="15"/>
  <c r="AY33" i="6"/>
  <c r="G34" i="6"/>
  <c r="G35" i="6"/>
  <c r="AS4" i="7"/>
  <c r="AJ7" i="7"/>
  <c r="AS14" i="7"/>
  <c r="BK30" i="7"/>
  <c r="BK14" i="8"/>
  <c r="BK22" i="8"/>
  <c r="BT32" i="8"/>
  <c r="AS33" i="8"/>
  <c r="O9" i="10"/>
  <c r="E75" i="15"/>
  <c r="AB10" i="15"/>
  <c r="AD32" i="15"/>
  <c r="E78" i="15" s="1"/>
  <c r="AJ16" i="7"/>
  <c r="BK16" i="7"/>
  <c r="AJ30" i="7"/>
  <c r="AS32" i="7"/>
  <c r="BB4" i="8"/>
  <c r="BT6" i="8"/>
  <c r="AA16" i="8"/>
  <c r="BK16" i="8"/>
  <c r="I19" i="8"/>
  <c r="BT20" i="8"/>
  <c r="AJ29" i="8"/>
  <c r="AB18" i="15"/>
  <c r="AE32" i="15"/>
  <c r="E81" i="15" s="1"/>
  <c r="Q36" i="15"/>
  <c r="AA7" i="7"/>
  <c r="AS20" i="7"/>
  <c r="BK29" i="7"/>
  <c r="AA30" i="7"/>
  <c r="BT32" i="7"/>
  <c r="AS4" i="8"/>
  <c r="AJ8" i="8"/>
  <c r="BB17" i="8"/>
  <c r="AA20" i="8"/>
  <c r="AJ21" i="8"/>
  <c r="BK30" i="8"/>
  <c r="AS34" i="8"/>
  <c r="BB15" i="7"/>
  <c r="BT21" i="7"/>
  <c r="AA22" i="7"/>
  <c r="AA34" i="7"/>
  <c r="BK7" i="8"/>
  <c r="BB14" i="8"/>
  <c r="BB16" i="8"/>
  <c r="AA17" i="8"/>
  <c r="BK20" i="8"/>
  <c r="I34" i="8"/>
  <c r="M7" i="10"/>
  <c r="E77" i="15"/>
  <c r="AB59" i="15"/>
  <c r="AD64" i="15"/>
  <c r="F74" i="15" s="1"/>
  <c r="AJ14" i="7"/>
  <c r="BT20" i="7"/>
  <c r="BK33" i="7"/>
  <c r="AA4" i="8"/>
  <c r="AJ33" i="8"/>
  <c r="BK33" i="8"/>
  <c r="O7" i="10"/>
  <c r="I32" i="7"/>
  <c r="Z15" i="15"/>
  <c r="BW26" i="9"/>
  <c r="BW36" i="9"/>
  <c r="BW42" i="9"/>
  <c r="Y14" i="3"/>
  <c r="Y27" i="3"/>
  <c r="AD84" i="5"/>
  <c r="W29" i="3"/>
  <c r="Y53" i="3"/>
  <c r="Y54" i="3"/>
  <c r="Y55" i="3"/>
  <c r="AI23" i="1"/>
  <c r="S69" i="1"/>
  <c r="AA23" i="1"/>
  <c r="Y91" i="3"/>
  <c r="BW12" i="9"/>
  <c r="R100" i="1"/>
  <c r="AA76" i="1"/>
  <c r="AH78" i="1"/>
  <c r="CC4" i="9"/>
  <c r="BW20" i="9"/>
  <c r="BW27" i="9"/>
  <c r="BW46" i="9"/>
  <c r="BW52" i="9"/>
  <c r="BW58" i="9"/>
  <c r="BW64" i="9"/>
  <c r="AD78" i="5"/>
  <c r="W52" i="3"/>
  <c r="AH75" i="1"/>
  <c r="AE75" i="1"/>
  <c r="AD75" i="1"/>
  <c r="AI75" i="1"/>
  <c r="AG75" i="1"/>
  <c r="AF75" i="1"/>
  <c r="AH10" i="1"/>
  <c r="AG10" i="1"/>
  <c r="H10" i="4"/>
  <c r="E59" i="4" s="1"/>
  <c r="AD85" i="5"/>
  <c r="W34" i="3"/>
  <c r="BW70" i="9"/>
  <c r="BW76" i="9"/>
  <c r="AD48" i="5"/>
  <c r="W82" i="3"/>
  <c r="BW8" i="9"/>
  <c r="BW32" i="9"/>
  <c r="BW38" i="9"/>
  <c r="BW59" i="9"/>
  <c r="BW65" i="9"/>
  <c r="Y8" i="3"/>
  <c r="AH22" i="1"/>
  <c r="AG22" i="1"/>
  <c r="CC8" i="9"/>
  <c r="BW16" i="9"/>
  <c r="BW22" i="9"/>
  <c r="BW29" i="9"/>
  <c r="BW56" i="9"/>
  <c r="BW71" i="9"/>
  <c r="BW77" i="9"/>
  <c r="BW83" i="9"/>
  <c r="AF77" i="1"/>
  <c r="AE77" i="1"/>
  <c r="AI77" i="1"/>
  <c r="AH77" i="1"/>
  <c r="AC77" i="1"/>
  <c r="AB77" i="1"/>
  <c r="T99" i="1"/>
  <c r="Y41" i="3"/>
  <c r="AD18" i="5"/>
  <c r="W42" i="3"/>
  <c r="N10" i="4"/>
  <c r="E101" i="4" s="1"/>
  <c r="BW9" i="9"/>
  <c r="Y57" i="3"/>
  <c r="D9" i="4" a="1"/>
  <c r="D9" i="4" s="1"/>
  <c r="D36" i="4" s="1"/>
  <c r="BW10" i="9"/>
  <c r="BW17" i="9"/>
  <c r="BW87" i="9"/>
  <c r="AI6" i="1"/>
  <c r="AA6" i="1"/>
  <c r="J11" i="4" a="1"/>
  <c r="J11" i="4" s="1"/>
  <c r="D81" i="4" s="1"/>
  <c r="U9" i="4" a="1"/>
  <c r="U9" i="4" s="1"/>
  <c r="C163" i="4" s="1"/>
  <c r="M10" i="4" a="1"/>
  <c r="M10" i="4" s="1"/>
  <c r="D101" i="4" s="1"/>
  <c r="L10" i="4" a="1"/>
  <c r="L10" i="4" s="1"/>
  <c r="C101" i="4" s="1"/>
  <c r="C9" i="4" a="1"/>
  <c r="C9" i="4" s="1"/>
  <c r="C36" i="4" s="1"/>
  <c r="I10" i="4" a="1"/>
  <c r="I10" i="4" s="1"/>
  <c r="C80" i="4" s="1"/>
  <c r="T11" i="4"/>
  <c r="E144" i="4" s="1"/>
  <c r="V10" i="4" a="1"/>
  <c r="V10" i="4" s="1"/>
  <c r="D164" i="4" s="1"/>
  <c r="L9" i="4" a="1"/>
  <c r="L9" i="4" s="1"/>
  <c r="C100" i="4" s="1"/>
  <c r="T10" i="4"/>
  <c r="E143" i="4" s="1"/>
  <c r="I9" i="4" a="1"/>
  <c r="I9" i="4" s="1"/>
  <c r="C79" i="4" s="1"/>
  <c r="Y85" i="3"/>
  <c r="BW85" i="9"/>
  <c r="BW81" i="9"/>
  <c r="BW74" i="9"/>
  <c r="BW61" i="9"/>
  <c r="BW54" i="9"/>
  <c r="BW48" i="9"/>
  <c r="BW41" i="9"/>
  <c r="BW35" i="9"/>
  <c r="BW28" i="9"/>
  <c r="CC5" i="9"/>
  <c r="BW5" i="9"/>
  <c r="BW18" i="9"/>
  <c r="BW24" i="9"/>
  <c r="BW30" i="9"/>
  <c r="BW33" i="9"/>
  <c r="BW39" i="9"/>
  <c r="BW45" i="9"/>
  <c r="BW51" i="9"/>
  <c r="BW55" i="9"/>
  <c r="BW6" i="9"/>
  <c r="BW11" i="9"/>
  <c r="BW25" i="9"/>
  <c r="BW57" i="9"/>
  <c r="BW63" i="9"/>
  <c r="BW72" i="9"/>
  <c r="BW78" i="9"/>
  <c r="BW84" i="9"/>
  <c r="AD69" i="5"/>
  <c r="W56" i="3"/>
  <c r="Y92" i="3"/>
  <c r="AD74" i="5"/>
  <c r="W16" i="3"/>
  <c r="AA97" i="1"/>
  <c r="Y42" i="3"/>
  <c r="Y56" i="3"/>
  <c r="AD77" i="5"/>
  <c r="W59" i="3"/>
  <c r="Y80" i="3"/>
  <c r="AI21" i="1"/>
  <c r="W6" i="3"/>
  <c r="W15" i="3"/>
  <c r="Y29" i="3"/>
  <c r="W67" i="3"/>
  <c r="W69" i="3"/>
  <c r="O11" i="4" a="1"/>
  <c r="O11" i="4" s="1"/>
  <c r="C123" i="4" s="1"/>
  <c r="CC6" i="9"/>
  <c r="BW31" i="9"/>
  <c r="BW44" i="9"/>
  <c r="AE78" i="1"/>
  <c r="AH89" i="1"/>
  <c r="AG89" i="1"/>
  <c r="AF89" i="1"/>
  <c r="AF54" i="1"/>
  <c r="AD28" i="5"/>
  <c r="W85" i="3"/>
  <c r="W21" i="3"/>
  <c r="W23" i="3"/>
  <c r="W39" i="3"/>
  <c r="W49" i="3"/>
  <c r="E10" i="4"/>
  <c r="E37" i="4" s="1"/>
  <c r="U10" i="4" a="1"/>
  <c r="U10" i="4" s="1"/>
  <c r="C164" i="4" s="1"/>
  <c r="AG12" i="6" a="1"/>
  <c r="AG12" i="6" s="1"/>
  <c r="M47" i="6" s="1"/>
  <c r="Y34" i="3"/>
  <c r="AD36" i="5"/>
  <c r="W47" i="3"/>
  <c r="AD63" i="5"/>
  <c r="W70" i="3"/>
  <c r="Y90" i="3"/>
  <c r="W46" i="3"/>
  <c r="Y69" i="3"/>
  <c r="N9" i="4"/>
  <c r="E100" i="4" s="1"/>
  <c r="W19" i="3"/>
  <c r="AD47" i="5"/>
  <c r="AD34" i="5"/>
  <c r="W35" i="3"/>
  <c r="Y46" i="3"/>
  <c r="Y68" i="3"/>
  <c r="Y71" i="3"/>
  <c r="BW13" i="9"/>
  <c r="BW19" i="9"/>
  <c r="BW68" i="9"/>
  <c r="AD88" i="5"/>
  <c r="W20" i="3"/>
  <c r="AC78" i="1"/>
  <c r="AA96" i="1"/>
  <c r="AI43" i="1"/>
  <c r="AA64" i="1"/>
  <c r="AE3" i="1"/>
  <c r="W58" i="3"/>
  <c r="Y66" i="3"/>
  <c r="P9" i="4" a="1"/>
  <c r="P9" i="4" s="1"/>
  <c r="D121" i="4" s="1"/>
  <c r="J10" i="4" a="1"/>
  <c r="J10" i="4" s="1"/>
  <c r="D80" i="4" s="1"/>
  <c r="F11" i="4" a="1"/>
  <c r="F11" i="4" s="1"/>
  <c r="C60" i="4" s="1"/>
  <c r="U11" i="4" a="1"/>
  <c r="U11" i="4" s="1"/>
  <c r="C165" i="4" s="1"/>
  <c r="Y20" i="3"/>
  <c r="AA72" i="1"/>
  <c r="Y73" i="3"/>
  <c r="W76" i="3"/>
  <c r="AD19" i="5"/>
  <c r="AD79" i="5"/>
  <c r="W77" i="3"/>
  <c r="AH40" i="1"/>
  <c r="AF40" i="1"/>
  <c r="AD40" i="5"/>
  <c r="W88" i="3"/>
  <c r="K9" i="4"/>
  <c r="E79" i="4" s="1"/>
  <c r="Q11" i="4"/>
  <c r="E123" i="4" s="1"/>
  <c r="K10" i="4"/>
  <c r="E80" i="4" s="1"/>
  <c r="Y18" i="3"/>
  <c r="W68" i="3"/>
  <c r="W75" i="3"/>
  <c r="Q9" i="4"/>
  <c r="E121" i="4" s="1"/>
  <c r="CC2" i="9"/>
  <c r="BW7" i="9"/>
  <c r="BW67" i="9"/>
  <c r="BW80" i="9"/>
  <c r="Y21" i="3"/>
  <c r="AE71" i="1"/>
  <c r="AD41" i="5"/>
  <c r="W48" i="3"/>
  <c r="AE89" i="1"/>
  <c r="Y74" i="3"/>
  <c r="Y77" i="3"/>
  <c r="Y87" i="3"/>
  <c r="AD3" i="5"/>
  <c r="W89" i="3"/>
  <c r="AG3" i="1"/>
  <c r="AF10" i="1"/>
  <c r="W8" i="3"/>
  <c r="W22" i="3"/>
  <c r="W33" i="3"/>
  <c r="Y48" i="3"/>
  <c r="W50" i="3"/>
  <c r="W60" i="3"/>
  <c r="H11" i="4"/>
  <c r="E60" i="4" s="1"/>
  <c r="CC7" i="9"/>
  <c r="D15" i="9"/>
  <c r="BW34" i="9"/>
  <c r="BW40" i="9"/>
  <c r="BW47" i="9"/>
  <c r="BW53" i="9"/>
  <c r="BW60" i="9"/>
  <c r="BW66" i="9"/>
  <c r="BW73" i="9"/>
  <c r="AH13" i="1"/>
  <c r="AG13" i="1"/>
  <c r="Y78" i="3"/>
  <c r="W79" i="3"/>
  <c r="AD5" i="5"/>
  <c r="AD15" i="5"/>
  <c r="BW23" i="9"/>
  <c r="BW79" i="9"/>
  <c r="Y13" i="3"/>
  <c r="AA92" i="1"/>
  <c r="Y22" i="3"/>
  <c r="AD6" i="5"/>
  <c r="W40" i="3"/>
  <c r="Y49" i="3"/>
  <c r="Y70" i="3"/>
  <c r="Y28" i="3"/>
  <c r="AB13" i="1"/>
  <c r="AC71" i="1"/>
  <c r="S78" i="1"/>
  <c r="AA29" i="1"/>
  <c r="AH97" i="1"/>
  <c r="AG97" i="1"/>
  <c r="AF97" i="1"/>
  <c r="Y40" i="3"/>
  <c r="AD25" i="5"/>
  <c r="W41" i="3"/>
  <c r="AD27" i="5"/>
  <c r="W53" i="3"/>
  <c r="AD58" i="5"/>
  <c r="W54" i="3"/>
  <c r="AD76" i="5"/>
  <c r="W55" i="3"/>
  <c r="AI55" i="1"/>
  <c r="S11" i="4" a="1"/>
  <c r="S11" i="4" s="1"/>
  <c r="D144" i="4" s="1"/>
  <c r="L11" i="4" a="1"/>
  <c r="L11" i="4" s="1"/>
  <c r="C102" i="4" s="1"/>
  <c r="E11" i="4"/>
  <c r="E38" i="4" s="1"/>
  <c r="D10" i="4" a="1"/>
  <c r="D10" i="4" s="1"/>
  <c r="D37" i="4" s="1"/>
  <c r="R9" i="4" a="1"/>
  <c r="R9" i="4" s="1"/>
  <c r="C142" i="4" s="1"/>
  <c r="D11" i="4" a="1"/>
  <c r="D11" i="4" s="1"/>
  <c r="D38" i="4" s="1"/>
  <c r="R10" i="4" a="1"/>
  <c r="R10" i="4" s="1"/>
  <c r="C143" i="4" s="1"/>
  <c r="P11" i="4" a="1"/>
  <c r="P11" i="4" s="1"/>
  <c r="D123" i="4" s="1"/>
  <c r="I11" i="4" a="1"/>
  <c r="I11" i="4" s="1"/>
  <c r="C81" i="4" s="1"/>
  <c r="W10" i="4"/>
  <c r="E164" i="4" s="1"/>
  <c r="V9" i="4" a="1"/>
  <c r="V9" i="4" s="1"/>
  <c r="D163" i="4" s="1"/>
  <c r="O9" i="4" a="1"/>
  <c r="O9" i="4" s="1"/>
  <c r="C121" i="4" s="1"/>
  <c r="G11" i="4" a="1"/>
  <c r="G11" i="4" s="1"/>
  <c r="D60" i="4" s="1"/>
  <c r="S10" i="4" a="1"/>
  <c r="S10" i="4" s="1"/>
  <c r="D143" i="4" s="1"/>
  <c r="M9" i="4" a="1"/>
  <c r="M9" i="4" s="1"/>
  <c r="D100" i="4" s="1"/>
  <c r="E9" i="4"/>
  <c r="E36" i="4" s="1"/>
  <c r="P10" i="4" a="1"/>
  <c r="P10" i="4" s="1"/>
  <c r="D122" i="4" s="1"/>
  <c r="G10" i="4" a="1"/>
  <c r="G10" i="4" s="1"/>
  <c r="D59" i="4" s="1"/>
  <c r="T9" i="4"/>
  <c r="E142" i="4" s="1"/>
  <c r="W11" i="4"/>
  <c r="E165" i="4" s="1"/>
  <c r="O10" i="4" a="1"/>
  <c r="O10" i="4" s="1"/>
  <c r="C122" i="4" s="1"/>
  <c r="S9" i="4" a="1"/>
  <c r="S9" i="4" s="1"/>
  <c r="D142" i="4" s="1"/>
  <c r="J9" i="4" a="1"/>
  <c r="J9" i="4" s="1"/>
  <c r="D79" i="4" s="1"/>
  <c r="V11" i="4" a="1"/>
  <c r="V11" i="4" s="1"/>
  <c r="D165" i="4" s="1"/>
  <c r="M11" i="4" a="1"/>
  <c r="M11" i="4" s="1"/>
  <c r="D102" i="4" s="1"/>
  <c r="C11" i="4" a="1"/>
  <c r="C11" i="4" s="1"/>
  <c r="C38" i="4" s="1"/>
  <c r="F10" i="4" a="1"/>
  <c r="F10" i="4" s="1"/>
  <c r="C59" i="4" s="1"/>
  <c r="R11" i="4" a="1"/>
  <c r="R11" i="4" s="1"/>
  <c r="C144" i="4" s="1"/>
  <c r="F9" i="4" a="1"/>
  <c r="F9" i="4" s="1"/>
  <c r="C58" i="4" s="1"/>
  <c r="W57" i="3"/>
  <c r="G9" i="4" a="1"/>
  <c r="G9" i="4" s="1"/>
  <c r="D58" i="4" s="1"/>
  <c r="W9" i="4"/>
  <c r="E163" i="4" s="1"/>
  <c r="Q10" i="4"/>
  <c r="E122" i="4" s="1"/>
  <c r="K11" i="4"/>
  <c r="E81" i="4" s="1"/>
  <c r="O5" i="5"/>
  <c r="AI11" i="6"/>
  <c r="X10" i="6" a="1"/>
  <c r="X10" i="6" s="1"/>
  <c r="AD70" i="5"/>
  <c r="W43" i="3"/>
  <c r="Y79" i="3"/>
  <c r="AG12" i="1"/>
  <c r="AF7" i="1"/>
  <c r="Y43" i="3"/>
  <c r="Y61" i="3"/>
  <c r="AD71" i="5"/>
  <c r="W64" i="3"/>
  <c r="AG7" i="1"/>
  <c r="W26" i="3"/>
  <c r="Y36" i="3"/>
  <c r="W66" i="3"/>
  <c r="W72" i="3"/>
  <c r="W92" i="3"/>
  <c r="H9" i="4"/>
  <c r="E58" i="4" s="1"/>
  <c r="Y86" i="3"/>
  <c r="T7" i="6" a="1"/>
  <c r="T7" i="6" s="1"/>
  <c r="G42" i="6" s="1"/>
  <c r="T4" i="6" a="1"/>
  <c r="T4" i="6" s="1"/>
  <c r="G39" i="6" s="1"/>
  <c r="M7" i="6" a="1"/>
  <c r="M7" i="6" s="1"/>
  <c r="F42" i="6" s="1"/>
  <c r="R4" i="6" a="1"/>
  <c r="R4" i="6" s="1"/>
  <c r="P4" i="6" a="1"/>
  <c r="P4" i="6" s="1"/>
  <c r="O4" i="6"/>
  <c r="W90" i="3"/>
  <c r="E10" i="6"/>
  <c r="P39" i="5" a="1"/>
  <c r="P39" i="5" s="1"/>
  <c r="P56" i="5" a="1"/>
  <c r="P56" i="5" s="1"/>
  <c r="P78" i="5" a="1"/>
  <c r="P78" i="5" s="1"/>
  <c r="P86" i="5" a="1"/>
  <c r="P86" i="5" s="1"/>
  <c r="P6" i="5" a="1"/>
  <c r="P6" i="5" s="1"/>
  <c r="O7" i="5"/>
  <c r="P16" i="5" a="1"/>
  <c r="P16" i="5" s="1"/>
  <c r="P62" i="5" a="1"/>
  <c r="P62" i="5" s="1"/>
  <c r="P65" i="5" a="1"/>
  <c r="P65" i="5" s="1"/>
  <c r="O6" i="6"/>
  <c r="M6" i="6" a="1"/>
  <c r="M6" i="6" s="1"/>
  <c r="F41" i="6" s="1"/>
  <c r="P8" i="6" a="1"/>
  <c r="P8" i="6" s="1"/>
  <c r="N8" i="6" a="1"/>
  <c r="N8" i="6" s="1"/>
  <c r="S6" i="6" a="1"/>
  <c r="S6" i="6" s="1"/>
  <c r="P8" i="5" a="1"/>
  <c r="P8" i="5" s="1"/>
  <c r="P28" i="5" a="1"/>
  <c r="P28" i="5" s="1"/>
  <c r="P47" i="5" a="1"/>
  <c r="P47" i="5" s="1"/>
  <c r="P50" i="5" a="1"/>
  <c r="P50" i="5" s="1"/>
  <c r="P52" i="5" a="1"/>
  <c r="P52" i="5" s="1"/>
  <c r="P59" i="5" a="1"/>
  <c r="P59" i="5" s="1"/>
  <c r="P72" i="5" a="1"/>
  <c r="P72" i="5" s="1"/>
  <c r="P49" i="5" a="1"/>
  <c r="P49" i="5" s="1"/>
  <c r="P66" i="5" a="1"/>
  <c r="P66" i="5" s="1"/>
  <c r="AA6" i="6"/>
  <c r="P21" i="6" a="1"/>
  <c r="P21" i="6" s="1"/>
  <c r="P87" i="5" a="1"/>
  <c r="P87" i="5" s="1"/>
  <c r="P83" i="5" a="1"/>
  <c r="P83" i="5" s="1"/>
  <c r="P73" i="5" a="1"/>
  <c r="P73" i="5" s="1"/>
  <c r="P68" i="5" a="1"/>
  <c r="P68" i="5" s="1"/>
  <c r="P76" i="5" a="1"/>
  <c r="P76" i="5" s="1"/>
  <c r="P67" i="5" a="1"/>
  <c r="P67" i="5" s="1"/>
  <c r="P63" i="5" a="1"/>
  <c r="P63" i="5" s="1"/>
  <c r="P58" i="5" a="1"/>
  <c r="P58" i="5" s="1"/>
  <c r="P53" i="5" a="1"/>
  <c r="P53" i="5" s="1"/>
  <c r="P46" i="5" a="1"/>
  <c r="P46" i="5" s="1"/>
  <c r="P34" i="5" a="1"/>
  <c r="P34" i="5" s="1"/>
  <c r="P19" i="5" a="1"/>
  <c r="P19" i="5" s="1"/>
  <c r="P15" i="5" a="1"/>
  <c r="P15" i="5" s="1"/>
  <c r="P9" i="5" a="1"/>
  <c r="P9" i="5" s="1"/>
  <c r="P7" i="5" a="1"/>
  <c r="P7" i="5" s="1"/>
  <c r="P82" i="5" a="1"/>
  <c r="P82" i="5" s="1"/>
  <c r="P61" i="5" a="1"/>
  <c r="P61" i="5" s="1"/>
  <c r="P51" i="5" a="1"/>
  <c r="P51" i="5" s="1"/>
  <c r="P77" i="5" a="1"/>
  <c r="P77" i="5" s="1"/>
  <c r="P54" i="5" a="1"/>
  <c r="P54" i="5" s="1"/>
  <c r="P14" i="5" a="1"/>
  <c r="P14" i="5" s="1"/>
  <c r="P12" i="5" a="1"/>
  <c r="P12" i="5" s="1"/>
  <c r="P81" i="5" a="1"/>
  <c r="P81" i="5" s="1"/>
  <c r="P80" i="5" a="1"/>
  <c r="P80" i="5" s="1"/>
  <c r="P4" i="5" a="1"/>
  <c r="P4" i="5" s="1"/>
  <c r="P71" i="5" a="1"/>
  <c r="P71" i="5" s="1"/>
  <c r="P70" i="5" a="1"/>
  <c r="P70" i="5" s="1"/>
  <c r="P44" i="5" a="1"/>
  <c r="P44" i="5" s="1"/>
  <c r="P43" i="5" a="1"/>
  <c r="P43" i="5" s="1"/>
  <c r="P42" i="5" a="1"/>
  <c r="P42" i="5" s="1"/>
  <c r="P40" i="5" a="1"/>
  <c r="P40" i="5" s="1"/>
  <c r="P38" i="5" a="1"/>
  <c r="P38" i="5" s="1"/>
  <c r="P33" i="5" a="1"/>
  <c r="P33" i="5" s="1"/>
  <c r="P32" i="5" a="1"/>
  <c r="P32" i="5" s="1"/>
  <c r="P31" i="5" a="1"/>
  <c r="P31" i="5" s="1"/>
  <c r="P24" i="5" a="1"/>
  <c r="P24" i="5" s="1"/>
  <c r="P23" i="5" a="1"/>
  <c r="P23" i="5" s="1"/>
  <c r="P88" i="5" a="1"/>
  <c r="P88" i="5" s="1"/>
  <c r="P85" i="5" a="1"/>
  <c r="P85" i="5" s="1"/>
  <c r="P79" i="5" a="1"/>
  <c r="P79" i="5" s="1"/>
  <c r="P75" i="5" a="1"/>
  <c r="P75" i="5" s="1"/>
  <c r="P69" i="5" a="1"/>
  <c r="P69" i="5" s="1"/>
  <c r="P57" i="5" a="1"/>
  <c r="P57" i="5" s="1"/>
  <c r="P21" i="5" a="1"/>
  <c r="P21" i="5" s="1"/>
  <c r="P5" i="5" a="1"/>
  <c r="P5" i="5" s="1"/>
  <c r="P18" i="5" a="1"/>
  <c r="P18" i="5" s="1"/>
  <c r="P35" i="5" a="1"/>
  <c r="P35" i="5" s="1"/>
  <c r="P37" i="5" a="1"/>
  <c r="P37" i="5" s="1"/>
  <c r="P84" i="5" a="1"/>
  <c r="P84" i="5" s="1"/>
  <c r="P29" i="5" a="1"/>
  <c r="P29" i="5" s="1"/>
  <c r="S4" i="6" a="1"/>
  <c r="S4" i="6" s="1"/>
  <c r="O10" i="6"/>
  <c r="P20" i="5" a="1"/>
  <c r="P20" i="5" s="1"/>
  <c r="P26" i="5" a="1"/>
  <c r="P26" i="5" s="1"/>
  <c r="P45" i="5" a="1"/>
  <c r="P45" i="5" s="1"/>
  <c r="P13" i="5" a="1"/>
  <c r="P13" i="5" s="1"/>
  <c r="P17" i="5" a="1"/>
  <c r="P17" i="5" s="1"/>
  <c r="P48" i="5" a="1"/>
  <c r="P48" i="5" s="1"/>
  <c r="M42" i="6"/>
  <c r="AK7" i="6"/>
  <c r="X12" i="6" a="1"/>
  <c r="X12" i="6" s="1"/>
  <c r="AV11" i="6" a="1"/>
  <c r="AV11" i="6" s="1"/>
  <c r="AM11" i="6" a="1"/>
  <c r="AM11" i="6" s="1"/>
  <c r="AD11" i="6" a="1"/>
  <c r="AD11" i="6" s="1"/>
  <c r="J46" i="6" s="1"/>
  <c r="AB10" i="6" a="1"/>
  <c r="AB10" i="6" s="1"/>
  <c r="J10" i="6" a="1"/>
  <c r="J10" i="6" s="1"/>
  <c r="D45" i="6" s="1"/>
  <c r="W12" i="6" a="1"/>
  <c r="W12" i="6" s="1"/>
  <c r="I47" i="6" s="1"/>
  <c r="AL11" i="6" a="1"/>
  <c r="AL11" i="6" s="1"/>
  <c r="AR10" i="6" a="1"/>
  <c r="AR10" i="6" s="1"/>
  <c r="I10" i="6" a="1"/>
  <c r="I10" i="6" s="1"/>
  <c r="AL12" i="6" a="1"/>
  <c r="AL12" i="6" s="1"/>
  <c r="AC12" i="6" a="1"/>
  <c r="AC12" i="6" s="1"/>
  <c r="C12" i="6" a="1"/>
  <c r="C12" i="6" s="1"/>
  <c r="C47" i="6" s="1"/>
  <c r="AR11" i="6" a="1"/>
  <c r="AR11" i="6" s="1"/>
  <c r="I11" i="6" a="1"/>
  <c r="I11" i="6" s="1"/>
  <c r="AX10" i="6" a="1"/>
  <c r="AX10" i="6" s="1"/>
  <c r="Q45" i="6" s="1"/>
  <c r="AB12" i="6" a="1"/>
  <c r="AB12" i="6" s="1"/>
  <c r="AQ11" i="6" a="1"/>
  <c r="AQ11" i="6" s="1"/>
  <c r="P46" i="6" s="1"/>
  <c r="AH11" i="6" a="1"/>
  <c r="AH11" i="6" s="1"/>
  <c r="H11" i="6" a="1"/>
  <c r="H11" i="6" s="1"/>
  <c r="AW10" i="6" a="1"/>
  <c r="AW10" i="6" s="1"/>
  <c r="AN10" i="6" a="1"/>
  <c r="AN10" i="6" s="1"/>
  <c r="N45" i="6" s="1"/>
  <c r="W10" i="6" a="1"/>
  <c r="W10" i="6" s="1"/>
  <c r="I45" i="6" s="1"/>
  <c r="AJ12" i="6" a="1"/>
  <c r="AJ12" i="6" s="1"/>
  <c r="I12" i="6" a="1"/>
  <c r="I12" i="6" s="1"/>
  <c r="AX11" i="6" a="1"/>
  <c r="AX11" i="6" s="1"/>
  <c r="Q46" i="6" s="1"/>
  <c r="AD10" i="6" a="1"/>
  <c r="AD10" i="6" s="1"/>
  <c r="J45" i="6" s="1"/>
  <c r="D10" i="6" a="1"/>
  <c r="D10" i="6" s="1"/>
  <c r="AQ12" i="6" a="1"/>
  <c r="AQ12" i="6" s="1"/>
  <c r="P47" i="6" s="1"/>
  <c r="AH12" i="6" a="1"/>
  <c r="AH12" i="6" s="1"/>
  <c r="H12" i="6" a="1"/>
  <c r="H12" i="6" s="1"/>
  <c r="AW11" i="6" a="1"/>
  <c r="AW11" i="6" s="1"/>
  <c r="AN11" i="6" a="1"/>
  <c r="AN11" i="6" s="1"/>
  <c r="N46" i="6" s="1"/>
  <c r="F11" i="6" a="1"/>
  <c r="F11" i="6" s="1"/>
  <c r="AL10" i="6" a="1"/>
  <c r="AL10" i="6" s="1"/>
  <c r="AC10" i="6" a="1"/>
  <c r="AC10" i="6" s="1"/>
  <c r="AT12" i="6" a="1"/>
  <c r="AT12" i="6" s="1"/>
  <c r="AG10" i="6" a="1"/>
  <c r="AG10" i="6" s="1"/>
  <c r="M45" i="6" s="1"/>
  <c r="F10" i="6" a="1"/>
  <c r="F10" i="6" s="1"/>
  <c r="G10" i="6" s="1"/>
  <c r="Z11" i="6" a="1"/>
  <c r="Z11" i="6" s="1"/>
  <c r="AU6" i="6"/>
  <c r="G7" i="6"/>
  <c r="AK6" i="6"/>
  <c r="I43" i="6"/>
  <c r="AA8" i="6"/>
  <c r="J12" i="6" a="1"/>
  <c r="J12" i="6" s="1"/>
  <c r="D47" i="6" s="1"/>
  <c r="R8" i="6" a="1"/>
  <c r="R8" i="6" s="1"/>
  <c r="S8" i="6" a="1"/>
  <c r="S8" i="6" s="1"/>
  <c r="AK14" i="6"/>
  <c r="T29" i="6" a="1"/>
  <c r="T29" i="6" s="1"/>
  <c r="G64" i="6" s="1"/>
  <c r="T8" i="6" a="1"/>
  <c r="T8" i="6" s="1"/>
  <c r="G43" i="6" s="1"/>
  <c r="C55" i="6"/>
  <c r="G20" i="6"/>
  <c r="O7" i="6"/>
  <c r="R19" i="6" a="1"/>
  <c r="R19" i="6" s="1"/>
  <c r="Q34" i="8" a="1"/>
  <c r="Q34" i="8" s="1"/>
  <c r="M68" i="8" s="1"/>
  <c r="N33" i="8"/>
  <c r="N32" i="8"/>
  <c r="N30" i="8"/>
  <c r="N29" i="8"/>
  <c r="N22" i="8"/>
  <c r="N21" i="8"/>
  <c r="N20" i="8"/>
  <c r="N19" i="8"/>
  <c r="N17" i="8"/>
  <c r="N16" i="8"/>
  <c r="N15" i="8"/>
  <c r="N14" i="8"/>
  <c r="N12" i="8"/>
  <c r="N11" i="8"/>
  <c r="N10" i="8"/>
  <c r="N4" i="8"/>
  <c r="M33" i="8" a="1"/>
  <c r="M33" i="8" s="1"/>
  <c r="P34" i="8" a="1"/>
  <c r="P34" i="8" s="1"/>
  <c r="L30" i="8" a="1"/>
  <c r="L30" i="8" s="1"/>
  <c r="L64" i="8" s="1"/>
  <c r="M22" i="8" a="1"/>
  <c r="M22" i="8" s="1"/>
  <c r="L20" i="8" a="1"/>
  <c r="L20" i="8" s="1"/>
  <c r="L54" i="8" s="1"/>
  <c r="L32" i="8" a="1"/>
  <c r="L32" i="8" s="1"/>
  <c r="L66" i="8" s="1"/>
  <c r="L21" i="8" a="1"/>
  <c r="L21" i="8" s="1"/>
  <c r="L55" i="8" s="1"/>
  <c r="Q16" i="8" a="1"/>
  <c r="Q16" i="8" s="1"/>
  <c r="M50" i="8" s="1"/>
  <c r="O34" i="8" a="1"/>
  <c r="O34" i="8" s="1"/>
  <c r="P33" i="8" a="1"/>
  <c r="P33" i="8" s="1"/>
  <c r="L33" i="8" a="1"/>
  <c r="L33" i="8" s="1"/>
  <c r="L67" i="8" s="1"/>
  <c r="Q29" i="8" a="1"/>
  <c r="Q29" i="8" s="1"/>
  <c r="M63" i="8" s="1"/>
  <c r="M21" i="8" a="1"/>
  <c r="M21" i="8" s="1"/>
  <c r="O20" i="8" a="1"/>
  <c r="O20" i="8" s="1"/>
  <c r="P15" i="8" a="1"/>
  <c r="P15" i="8" s="1"/>
  <c r="M6" i="8" a="1"/>
  <c r="M6" i="8" s="1"/>
  <c r="Q22" i="8" a="1"/>
  <c r="Q22" i="8" s="1"/>
  <c r="M56" i="8" s="1"/>
  <c r="O17" i="8" a="1"/>
  <c r="O17" i="8" s="1"/>
  <c r="P16" i="8" a="1"/>
  <c r="P16" i="8" s="1"/>
  <c r="Q32" i="8" a="1"/>
  <c r="Q32" i="8" s="1"/>
  <c r="M66" i="8" s="1"/>
  <c r="P29" i="8" a="1"/>
  <c r="P29" i="8" s="1"/>
  <c r="M20" i="8" a="1"/>
  <c r="M20" i="8" s="1"/>
  <c r="Q19" i="8" a="1"/>
  <c r="Q19" i="8" s="1"/>
  <c r="M53" i="8" s="1"/>
  <c r="M34" i="8" a="1"/>
  <c r="M34" i="8" s="1"/>
  <c r="M32" i="8" a="1"/>
  <c r="M32" i="8" s="1"/>
  <c r="O30" i="8" a="1"/>
  <c r="O30" i="8" s="1"/>
  <c r="L29" i="8" a="1"/>
  <c r="L29" i="8" s="1"/>
  <c r="L63" i="8" s="1"/>
  <c r="P21" i="8" a="1"/>
  <c r="P21" i="8" s="1"/>
  <c r="Q20" i="8" a="1"/>
  <c r="Q20" i="8" s="1"/>
  <c r="M54" i="8" s="1"/>
  <c r="M19" i="8" a="1"/>
  <c r="M19" i="8" s="1"/>
  <c r="L34" i="8" a="1"/>
  <c r="L34" i="8" s="1"/>
  <c r="L68" i="8" s="1"/>
  <c r="P19" i="8" a="1"/>
  <c r="P19" i="8" s="1"/>
  <c r="M17" i="8" a="1"/>
  <c r="M17" i="8" s="1"/>
  <c r="O19" i="8" a="1"/>
  <c r="O19" i="8" s="1"/>
  <c r="L17" i="8" a="1"/>
  <c r="L17" i="8" s="1"/>
  <c r="L51" i="8" s="1"/>
  <c r="Q15" i="8" a="1"/>
  <c r="Q15" i="8" s="1"/>
  <c r="M49" i="8" s="1"/>
  <c r="Q33" i="8" a="1"/>
  <c r="Q33" i="8" s="1"/>
  <c r="M67" i="8" s="1"/>
  <c r="O29" i="8" a="1"/>
  <c r="O29" i="8" s="1"/>
  <c r="O16" i="8" a="1"/>
  <c r="O16" i="8" s="1"/>
  <c r="P14" i="8" a="1"/>
  <c r="P14" i="8" s="1"/>
  <c r="O33" i="8" a="1"/>
  <c r="O33" i="8" s="1"/>
  <c r="P32" i="8" a="1"/>
  <c r="P32" i="8" s="1"/>
  <c r="L19" i="8" a="1"/>
  <c r="L19" i="8" s="1"/>
  <c r="L53" i="8" s="1"/>
  <c r="O15" i="8" a="1"/>
  <c r="O15" i="8" s="1"/>
  <c r="O14" i="8" a="1"/>
  <c r="O14" i="8" s="1"/>
  <c r="P6" i="8" a="1"/>
  <c r="P6" i="8" s="1"/>
  <c r="O4" i="8" a="1"/>
  <c r="O4" i="8" s="1"/>
  <c r="O22" i="8" a="1"/>
  <c r="O22" i="8" s="1"/>
  <c r="N34" i="8"/>
  <c r="P20" i="8" a="1"/>
  <c r="P20" i="8" s="1"/>
  <c r="Q33" i="7" a="1"/>
  <c r="Q33" i="7" s="1"/>
  <c r="M67" i="7" s="1"/>
  <c r="Q32" i="7" a="1"/>
  <c r="Q32" i="7" s="1"/>
  <c r="M66" i="7" s="1"/>
  <c r="Q34" i="7" a="1"/>
  <c r="Q34" i="7" s="1"/>
  <c r="M68" i="7" s="1"/>
  <c r="Q21" i="8" a="1"/>
  <c r="Q21" i="8" s="1"/>
  <c r="M55" i="8" s="1"/>
  <c r="M16" i="8" a="1"/>
  <c r="M16" i="8" s="1"/>
  <c r="Q14" i="8" a="1"/>
  <c r="Q14" i="8" s="1"/>
  <c r="M48" i="8" s="1"/>
  <c r="Q4" i="8" a="1"/>
  <c r="Q4" i="8" s="1"/>
  <c r="M38" i="8" s="1"/>
  <c r="P22" i="8" a="1"/>
  <c r="P22" i="8" s="1"/>
  <c r="O21" i="8" a="1"/>
  <c r="O21" i="8" s="1"/>
  <c r="L16" i="8" a="1"/>
  <c r="L16" i="8" s="1"/>
  <c r="L50" i="8" s="1"/>
  <c r="M14" i="8" a="1"/>
  <c r="M14" i="8" s="1"/>
  <c r="P4" i="8" a="1"/>
  <c r="P4" i="8" s="1"/>
  <c r="P30" i="8" a="1"/>
  <c r="P30" i="8" s="1"/>
  <c r="M29" i="8" a="1"/>
  <c r="M29" i="8" s="1"/>
  <c r="L22" i="8" a="1"/>
  <c r="L22" i="8" s="1"/>
  <c r="L56" i="8" s="1"/>
  <c r="M4" i="8" a="1"/>
  <c r="M4" i="8" s="1"/>
  <c r="N34" i="7"/>
  <c r="O34" i="7" a="1"/>
  <c r="O34" i="7" s="1"/>
  <c r="M34" i="7" a="1"/>
  <c r="M34" i="7" s="1"/>
  <c r="O30" i="7" a="1"/>
  <c r="O30" i="7" s="1"/>
  <c r="O22" i="7" a="1"/>
  <c r="O22" i="7" s="1"/>
  <c r="Q30" i="8" a="1"/>
  <c r="Q30" i="8" s="1"/>
  <c r="M64" i="8" s="1"/>
  <c r="Q17" i="8" a="1"/>
  <c r="Q17" i="8" s="1"/>
  <c r="M51" i="8" s="1"/>
  <c r="L14" i="8" a="1"/>
  <c r="L14" i="8" s="1"/>
  <c r="L48" i="8" s="1"/>
  <c r="L34" i="7" a="1"/>
  <c r="L34" i="7" s="1"/>
  <c r="L68" i="7" s="1"/>
  <c r="P17" i="8" a="1"/>
  <c r="P17" i="8" s="1"/>
  <c r="Q6" i="8" a="1"/>
  <c r="Q6" i="8" s="1"/>
  <c r="M40" i="8" s="1"/>
  <c r="L4" i="8" a="1"/>
  <c r="L4" i="8" s="1"/>
  <c r="L38" i="8" s="1"/>
  <c r="M33" i="7" a="1"/>
  <c r="M33" i="7" s="1"/>
  <c r="O32" i="8" a="1"/>
  <c r="O32" i="8" s="1"/>
  <c r="O6" i="8" a="1"/>
  <c r="O6" i="8" s="1"/>
  <c r="M15" i="8" a="1"/>
  <c r="M15" i="8" s="1"/>
  <c r="M30" i="8" a="1"/>
  <c r="M30" i="8" s="1"/>
  <c r="Q22" i="7" a="1"/>
  <c r="Q22" i="7" s="1"/>
  <c r="M56" i="7" s="1"/>
  <c r="P21" i="7" a="1"/>
  <c r="P21" i="7" s="1"/>
  <c r="N19" i="7"/>
  <c r="P17" i="7" a="1"/>
  <c r="P17" i="7" s="1"/>
  <c r="N15" i="7"/>
  <c r="P14" i="7" a="1"/>
  <c r="P14" i="7" s="1"/>
  <c r="O8" i="7" a="1"/>
  <c r="O8" i="7" s="1"/>
  <c r="L15" i="8" a="1"/>
  <c r="L15" i="8" s="1"/>
  <c r="L49" i="8" s="1"/>
  <c r="Q29" i="7" a="1"/>
  <c r="Q29" i="7" s="1"/>
  <c r="M63" i="7" s="1"/>
  <c r="F75" i="7" s="1"/>
  <c r="P22" i="7" a="1"/>
  <c r="P22" i="7" s="1"/>
  <c r="M19" i="7" a="1"/>
  <c r="M19" i="7" s="1"/>
  <c r="Q30" i="7" a="1"/>
  <c r="Q30" i="7" s="1"/>
  <c r="M64" i="7" s="1"/>
  <c r="F76" i="7" s="1"/>
  <c r="P29" i="7" a="1"/>
  <c r="P29" i="7" s="1"/>
  <c r="O21" i="7" a="1"/>
  <c r="O21" i="7" s="1"/>
  <c r="P33" i="7" a="1"/>
  <c r="P33" i="7" s="1"/>
  <c r="P30" i="7" a="1"/>
  <c r="P30" i="7" s="1"/>
  <c r="Q20" i="7" a="1"/>
  <c r="Q20" i="7" s="1"/>
  <c r="M54" i="7" s="1"/>
  <c r="L19" i="7" a="1"/>
  <c r="L19" i="7" s="1"/>
  <c r="L53" i="7" s="1"/>
  <c r="Q16" i="7" a="1"/>
  <c r="Q16" i="7" s="1"/>
  <c r="M50" i="7" s="1"/>
  <c r="L15" i="7" a="1"/>
  <c r="L15" i="7" s="1"/>
  <c r="L49" i="7" s="1"/>
  <c r="O33" i="7" a="1"/>
  <c r="O33" i="7" s="1"/>
  <c r="O32" i="7" a="1"/>
  <c r="O32" i="7" s="1"/>
  <c r="N33" i="7"/>
  <c r="N30" i="7"/>
  <c r="N29" i="7"/>
  <c r="L33" i="7" a="1"/>
  <c r="L33" i="7" s="1"/>
  <c r="L67" i="7" s="1"/>
  <c r="M32" i="7" a="1"/>
  <c r="M32" i="7" s="1"/>
  <c r="N20" i="7"/>
  <c r="P19" i="7" a="1"/>
  <c r="P19" i="7" s="1"/>
  <c r="P34" i="7" a="1"/>
  <c r="P34" i="7" s="1"/>
  <c r="L32" i="7" a="1"/>
  <c r="L32" i="7" s="1"/>
  <c r="L66" i="7" s="1"/>
  <c r="L30" i="7" a="1"/>
  <c r="L30" i="7" s="1"/>
  <c r="L64" i="7" s="1"/>
  <c r="E76" i="7" s="1"/>
  <c r="L29" i="7" a="1"/>
  <c r="L29" i="7" s="1"/>
  <c r="L63" i="7" s="1"/>
  <c r="E75" i="7" s="1"/>
  <c r="M20" i="7" a="1"/>
  <c r="M20" i="7" s="1"/>
  <c r="O19" i="7" a="1"/>
  <c r="O19" i="7" s="1"/>
  <c r="O15" i="7" a="1"/>
  <c r="O15" i="7" s="1"/>
  <c r="O17" i="7" a="1"/>
  <c r="O17" i="7" s="1"/>
  <c r="M14" i="7" a="1"/>
  <c r="M14" i="7" s="1"/>
  <c r="N12" i="7"/>
  <c r="N11" i="7"/>
  <c r="O7" i="7" a="1"/>
  <c r="O7" i="7" s="1"/>
  <c r="O6" i="7" a="1"/>
  <c r="O6" i="7" s="1"/>
  <c r="O4" i="7" a="1"/>
  <c r="O4" i="7" s="1"/>
  <c r="N17" i="7"/>
  <c r="M17" i="7" a="1"/>
  <c r="M17" i="7" s="1"/>
  <c r="P16" i="7" a="1"/>
  <c r="P16" i="7" s="1"/>
  <c r="L14" i="7" a="1"/>
  <c r="L14" i="7" s="1"/>
  <c r="L48" i="7" s="1"/>
  <c r="N8" i="7"/>
  <c r="N7" i="7"/>
  <c r="N6" i="7"/>
  <c r="N4" i="7"/>
  <c r="S31" i="6" a="1"/>
  <c r="S31" i="6" s="1"/>
  <c r="Q19" i="7" a="1"/>
  <c r="Q19" i="7" s="1"/>
  <c r="M53" i="7" s="1"/>
  <c r="M8" i="7" a="1"/>
  <c r="M8" i="7" s="1"/>
  <c r="P32" i="7" a="1"/>
  <c r="P32" i="7" s="1"/>
  <c r="N22" i="7"/>
  <c r="L17" i="7" a="1"/>
  <c r="L17" i="7" s="1"/>
  <c r="L51" i="7" s="1"/>
  <c r="O16" i="7" a="1"/>
  <c r="O16" i="7" s="1"/>
  <c r="N10" i="7"/>
  <c r="N32" i="7"/>
  <c r="M22" i="7" a="1"/>
  <c r="M22" i="7" s="1"/>
  <c r="P20" i="7" a="1"/>
  <c r="P20" i="7" s="1"/>
  <c r="Q15" i="7" a="1"/>
  <c r="Q15" i="7" s="1"/>
  <c r="M49" i="7" s="1"/>
  <c r="L8" i="7" a="1"/>
  <c r="L8" i="7" s="1"/>
  <c r="L42" i="7" s="1"/>
  <c r="N16" i="7"/>
  <c r="M30" i="7" a="1"/>
  <c r="M30" i="7" s="1"/>
  <c r="O29" i="7" a="1"/>
  <c r="O29" i="7" s="1"/>
  <c r="N21" i="7"/>
  <c r="L16" i="7" a="1"/>
  <c r="L16" i="7" s="1"/>
  <c r="L50" i="7" s="1"/>
  <c r="Q14" i="7" a="1"/>
  <c r="Q14" i="7" s="1"/>
  <c r="M48" i="7" s="1"/>
  <c r="M21" i="7" a="1"/>
  <c r="M21" i="7" s="1"/>
  <c r="L20" i="7" a="1"/>
  <c r="L20" i="7" s="1"/>
  <c r="L54" i="7" s="1"/>
  <c r="M15" i="7" a="1"/>
  <c r="M15" i="7" s="1"/>
  <c r="M29" i="7" a="1"/>
  <c r="M29" i="7" s="1"/>
  <c r="O14" i="7" a="1"/>
  <c r="O14" i="7" s="1"/>
  <c r="L21" i="7" a="1"/>
  <c r="L21" i="7" s="1"/>
  <c r="L55" i="7" s="1"/>
  <c r="Q17" i="7" a="1"/>
  <c r="Q17" i="7" s="1"/>
  <c r="M51" i="7" s="1"/>
  <c r="N14" i="7"/>
  <c r="P8" i="7" a="1"/>
  <c r="P8" i="7" s="1"/>
  <c r="P6" i="7" a="1"/>
  <c r="P6" i="7" s="1"/>
  <c r="T33" i="6" a="1"/>
  <c r="T33" i="6" s="1"/>
  <c r="G68" i="6" s="1"/>
  <c r="S29" i="6" a="1"/>
  <c r="S29" i="6" s="1"/>
  <c r="O20" i="7" a="1"/>
  <c r="O20" i="7" s="1"/>
  <c r="M6" i="7" a="1"/>
  <c r="M6" i="7" s="1"/>
  <c r="O35" i="6"/>
  <c r="M34" i="6" a="1"/>
  <c r="M34" i="6" s="1"/>
  <c r="F69" i="6" s="1"/>
  <c r="R31" i="6" a="1"/>
  <c r="R31" i="6" s="1"/>
  <c r="T22" i="6" a="1"/>
  <c r="T22" i="6" s="1"/>
  <c r="G57" i="6" s="1"/>
  <c r="M22" i="6" a="1"/>
  <c r="M22" i="6" s="1"/>
  <c r="F57" i="6" s="1"/>
  <c r="O21" i="6"/>
  <c r="L22" i="7" a="1"/>
  <c r="L22" i="7" s="1"/>
  <c r="L56" i="7" s="1"/>
  <c r="N35" i="6" a="1"/>
  <c r="N35" i="6" s="1"/>
  <c r="T34" i="6" a="1"/>
  <c r="T34" i="6" s="1"/>
  <c r="G69" i="6" s="1"/>
  <c r="S33" i="6" a="1"/>
  <c r="S33" i="6" s="1"/>
  <c r="L6" i="7" a="1"/>
  <c r="L6" i="7" s="1"/>
  <c r="L40" i="7" s="1"/>
  <c r="M35" i="6" a="1"/>
  <c r="M35" i="6" s="1"/>
  <c r="F70" i="6" s="1"/>
  <c r="S22" i="6" a="1"/>
  <c r="S22" i="6" s="1"/>
  <c r="O16" i="6"/>
  <c r="Q7" i="7" a="1"/>
  <c r="Q7" i="7" s="1"/>
  <c r="M41" i="7" s="1"/>
  <c r="Q4" i="7" a="1"/>
  <c r="Q4" i="7" s="1"/>
  <c r="M38" i="7" s="1"/>
  <c r="T35" i="6" a="1"/>
  <c r="T35" i="6" s="1"/>
  <c r="G70" i="6" s="1"/>
  <c r="S34" i="6" a="1"/>
  <c r="S34" i="6" s="1"/>
  <c r="R33" i="6" a="1"/>
  <c r="R33" i="6" s="1"/>
  <c r="P31" i="6" a="1"/>
  <c r="P31" i="6" s="1"/>
  <c r="O30" i="6"/>
  <c r="Q8" i="7" a="1"/>
  <c r="Q8" i="7" s="1"/>
  <c r="M42" i="7" s="1"/>
  <c r="N30" i="6" a="1"/>
  <c r="N30" i="6" s="1"/>
  <c r="P29" i="6" a="1"/>
  <c r="P29" i="6" s="1"/>
  <c r="R22" i="6" a="1"/>
  <c r="R22" i="6" s="1"/>
  <c r="N20" i="6" a="1"/>
  <c r="N20" i="6" s="1"/>
  <c r="P19" i="6" a="1"/>
  <c r="P19" i="6" s="1"/>
  <c r="S7" i="6" a="1"/>
  <c r="S7" i="6" s="1"/>
  <c r="P7" i="7" a="1"/>
  <c r="P7" i="7" s="1"/>
  <c r="P4" i="7" a="1"/>
  <c r="P4" i="7" s="1"/>
  <c r="S35" i="6" a="1"/>
  <c r="S35" i="6" s="1"/>
  <c r="R34" i="6" a="1"/>
  <c r="R34" i="6" s="1"/>
  <c r="P15" i="7" a="1"/>
  <c r="P15" i="7" s="1"/>
  <c r="M7" i="7" a="1"/>
  <c r="M7" i="7" s="1"/>
  <c r="M4" i="7" a="1"/>
  <c r="M4" i="7" s="1"/>
  <c r="N31" i="6" a="1"/>
  <c r="N31" i="6" s="1"/>
  <c r="T30" i="6" a="1"/>
  <c r="T30" i="6" s="1"/>
  <c r="G65" i="6" s="1"/>
  <c r="M30" i="6" a="1"/>
  <c r="M30" i="6" s="1"/>
  <c r="F65" i="6" s="1"/>
  <c r="O29" i="6"/>
  <c r="T20" i="6" a="1"/>
  <c r="T20" i="6" s="1"/>
  <c r="G55" i="6" s="1"/>
  <c r="M20" i="6" a="1"/>
  <c r="M20" i="6" s="1"/>
  <c r="F55" i="6" s="1"/>
  <c r="L7" i="7" a="1"/>
  <c r="L7" i="7" s="1"/>
  <c r="L41" i="7" s="1"/>
  <c r="L4" i="7" a="1"/>
  <c r="L4" i="7" s="1"/>
  <c r="L38" i="7" s="1"/>
  <c r="P34" i="6" a="1"/>
  <c r="P34" i="6" s="1"/>
  <c r="N33" i="6" a="1"/>
  <c r="N33" i="6" s="1"/>
  <c r="M31" i="6" a="1"/>
  <c r="M31" i="6" s="1"/>
  <c r="F66" i="6" s="1"/>
  <c r="S30" i="6" a="1"/>
  <c r="S30" i="6" s="1"/>
  <c r="S20" i="6" a="1"/>
  <c r="S20" i="6" s="1"/>
  <c r="P17" i="6" a="1"/>
  <c r="P17" i="6" s="1"/>
  <c r="Q21" i="7" a="1"/>
  <c r="Q21" i="7" s="1"/>
  <c r="M55" i="7" s="1"/>
  <c r="Q6" i="7" a="1"/>
  <c r="Q6" i="7" s="1"/>
  <c r="M40" i="7" s="1"/>
  <c r="O34" i="6"/>
  <c r="T31" i="6" a="1"/>
  <c r="T31" i="6" s="1"/>
  <c r="G66" i="6" s="1"/>
  <c r="P35" i="6" a="1"/>
  <c r="P35" i="6" s="1"/>
  <c r="N34" i="6" a="1"/>
  <c r="N34" i="6" s="1"/>
  <c r="M33" i="6" a="1"/>
  <c r="M33" i="6" s="1"/>
  <c r="F68" i="6" s="1"/>
  <c r="R30" i="6" a="1"/>
  <c r="R30" i="6" s="1"/>
  <c r="N22" i="6" a="1"/>
  <c r="N22" i="6" s="1"/>
  <c r="R20" i="6" a="1"/>
  <c r="R20" i="6" s="1"/>
  <c r="M19" i="6" a="1"/>
  <c r="M19" i="6" s="1"/>
  <c r="F54" i="6" s="1"/>
  <c r="N16" i="6" a="1"/>
  <c r="N16" i="6" s="1"/>
  <c r="S15" i="6" a="1"/>
  <c r="S15" i="6" s="1"/>
  <c r="R14" i="6" a="1"/>
  <c r="R14" i="6" s="1"/>
  <c r="P12" i="6" a="1"/>
  <c r="P12" i="6" s="1"/>
  <c r="N11" i="6" a="1"/>
  <c r="N11" i="6" s="1"/>
  <c r="P22" i="6" a="1"/>
  <c r="P22" i="6" s="1"/>
  <c r="M16" i="6" a="1"/>
  <c r="M16" i="6" s="1"/>
  <c r="F51" i="6" s="1"/>
  <c r="M11" i="6" a="1"/>
  <c r="M11" i="6" s="1"/>
  <c r="F46" i="6" s="1"/>
  <c r="S10" i="6" a="1"/>
  <c r="S10" i="6" s="1"/>
  <c r="O22" i="6"/>
  <c r="P20" i="6" a="1"/>
  <c r="P20" i="6" s="1"/>
  <c r="R15" i="6" a="1"/>
  <c r="R15" i="6" s="1"/>
  <c r="P14" i="6" a="1"/>
  <c r="P14" i="6" s="1"/>
  <c r="O12" i="6"/>
  <c r="T11" i="6" a="1"/>
  <c r="T11" i="6" s="1"/>
  <c r="G46" i="6" s="1"/>
  <c r="N6" i="6" a="1"/>
  <c r="N6" i="6" s="1"/>
  <c r="N4" i="6" a="1"/>
  <c r="N4" i="6" s="1"/>
  <c r="P33" i="6" a="1"/>
  <c r="P33" i="6" s="1"/>
  <c r="T21" i="6" a="1"/>
  <c r="T21" i="6" s="1"/>
  <c r="G56" i="6" s="1"/>
  <c r="O20" i="6"/>
  <c r="T17" i="6" a="1"/>
  <c r="T17" i="6" s="1"/>
  <c r="G52" i="6" s="1"/>
  <c r="N12" i="6" a="1"/>
  <c r="N12" i="6" s="1"/>
  <c r="R10" i="6" a="1"/>
  <c r="R10" i="6" s="1"/>
  <c r="O33" i="6"/>
  <c r="S21" i="6" a="1"/>
  <c r="S21" i="6" s="1"/>
  <c r="T19" i="6" a="1"/>
  <c r="T19" i="6" s="1"/>
  <c r="G54" i="6" s="1"/>
  <c r="S17" i="6" a="1"/>
  <c r="S17" i="6" s="1"/>
  <c r="T16" i="6" a="1"/>
  <c r="T16" i="6" s="1"/>
  <c r="G51" i="6" s="1"/>
  <c r="O14" i="6"/>
  <c r="S11" i="6" a="1"/>
  <c r="S11" i="6" s="1"/>
  <c r="N7" i="6" a="1"/>
  <c r="N7" i="6" s="1"/>
  <c r="T6" i="6" a="1"/>
  <c r="T6" i="6" s="1"/>
  <c r="G41" i="6" s="1"/>
  <c r="M4" i="6" a="1"/>
  <c r="M4" i="6" s="1"/>
  <c r="F39" i="6" s="1"/>
  <c r="R21" i="6" a="1"/>
  <c r="R21" i="6" s="1"/>
  <c r="R17" i="6" a="1"/>
  <c r="R17" i="6" s="1"/>
  <c r="P15" i="6" a="1"/>
  <c r="P15" i="6" s="1"/>
  <c r="N14" i="6" a="1"/>
  <c r="N14" i="6" s="1"/>
  <c r="M12" i="6" a="1"/>
  <c r="M12" i="6" s="1"/>
  <c r="F47" i="6" s="1"/>
  <c r="O8" i="6"/>
  <c r="S19" i="6" a="1"/>
  <c r="S19" i="6" s="1"/>
  <c r="S16" i="6" a="1"/>
  <c r="S16" i="6" s="1"/>
  <c r="O15" i="6"/>
  <c r="T12" i="6" a="1"/>
  <c r="T12" i="6" s="1"/>
  <c r="G47" i="6" s="1"/>
  <c r="R11" i="6" a="1"/>
  <c r="R11" i="6" s="1"/>
  <c r="P10" i="6" a="1"/>
  <c r="P10" i="6" s="1"/>
  <c r="O31" i="6"/>
  <c r="R29" i="6" a="1"/>
  <c r="R29" i="6" s="1"/>
  <c r="T14" i="6" a="1"/>
  <c r="T14" i="6" s="1"/>
  <c r="G49" i="6" s="1"/>
  <c r="N10" i="6" a="1"/>
  <c r="N10" i="6" s="1"/>
  <c r="M16" i="7" a="1"/>
  <c r="M16" i="7" s="1"/>
  <c r="N21" i="6" a="1"/>
  <c r="N21" i="6" s="1"/>
  <c r="O17" i="6"/>
  <c r="M15" i="6" a="1"/>
  <c r="M15" i="6" s="1"/>
  <c r="F50" i="6" s="1"/>
  <c r="R12" i="6" a="1"/>
  <c r="R12" i="6" s="1"/>
  <c r="P11" i="6" a="1"/>
  <c r="P11" i="6" s="1"/>
  <c r="P30" i="6" a="1"/>
  <c r="P30" i="6" s="1"/>
  <c r="N29" i="6" a="1"/>
  <c r="N29" i="6" s="1"/>
  <c r="M21" i="6" a="1"/>
  <c r="M21" i="6" s="1"/>
  <c r="F56" i="6" s="1"/>
  <c r="O19" i="6"/>
  <c r="N17" i="6" a="1"/>
  <c r="N17" i="6" s="1"/>
  <c r="P16" i="6" a="1"/>
  <c r="P16" i="6" s="1"/>
  <c r="T15" i="6" a="1"/>
  <c r="T15" i="6" s="1"/>
  <c r="G50" i="6" s="1"/>
  <c r="S14" i="6" a="1"/>
  <c r="S14" i="6" s="1"/>
  <c r="M10" i="6" a="1"/>
  <c r="M10" i="6" s="1"/>
  <c r="F45" i="6" s="1"/>
  <c r="R7" i="6" a="1"/>
  <c r="R7" i="6" s="1"/>
  <c r="R35" i="6" a="1"/>
  <c r="R35" i="6" s="1"/>
  <c r="M29" i="6" a="1"/>
  <c r="M29" i="6" s="1"/>
  <c r="F64" i="6" s="1"/>
  <c r="N19" i="6" a="1"/>
  <c r="N19" i="6" s="1"/>
  <c r="M17" i="6" a="1"/>
  <c r="M17" i="6" s="1"/>
  <c r="F52" i="6" s="1"/>
  <c r="O11" i="6"/>
  <c r="T10" i="6" a="1"/>
  <c r="T10" i="6" s="1"/>
  <c r="G45" i="6" s="1"/>
  <c r="AO12" i="8"/>
  <c r="AO11" i="8"/>
  <c r="AO10" i="8"/>
  <c r="AO11" i="7"/>
  <c r="AO12" i="7"/>
  <c r="AO10" i="7"/>
  <c r="AS10" i="6"/>
  <c r="O10" i="5"/>
  <c r="AS11" i="6"/>
  <c r="AS12" i="6"/>
  <c r="P6" i="6" a="1"/>
  <c r="P6" i="6" s="1"/>
  <c r="P7" i="6" a="1"/>
  <c r="P7" i="6" s="1"/>
  <c r="P50" i="6"/>
  <c r="AU15" i="6"/>
  <c r="AE8" i="6"/>
  <c r="N15" i="6" a="1"/>
  <c r="N15" i="6" s="1"/>
  <c r="K16" i="6"/>
  <c r="M8" i="6" a="1"/>
  <c r="M8" i="6" s="1"/>
  <c r="F43" i="6" s="1"/>
  <c r="W12" i="8"/>
  <c r="W11" i="8"/>
  <c r="W10" i="8"/>
  <c r="W11" i="7"/>
  <c r="W12" i="7"/>
  <c r="W10" i="7"/>
  <c r="Y12" i="6"/>
  <c r="Y10" i="6"/>
  <c r="Y11" i="6"/>
  <c r="G6" i="6"/>
  <c r="R6" i="6" a="1"/>
  <c r="R6" i="6" s="1"/>
  <c r="M14" i="6" a="1"/>
  <c r="M14" i="6" s="1"/>
  <c r="F49" i="6" s="1"/>
  <c r="AY7" i="6"/>
  <c r="AV10" i="6" a="1"/>
  <c r="AV10" i="6" s="1"/>
  <c r="X11" i="6" a="1"/>
  <c r="X11" i="6" s="1"/>
  <c r="AG11" i="6" a="1"/>
  <c r="AG11" i="6" s="1"/>
  <c r="M46" i="6" s="1"/>
  <c r="Z12" i="6" a="1"/>
  <c r="Z12" i="6" s="1"/>
  <c r="AI12" i="6"/>
  <c r="AR12" i="6" a="1"/>
  <c r="AR12" i="6" s="1"/>
  <c r="G16" i="6"/>
  <c r="AA19" i="6"/>
  <c r="AE33" i="6"/>
  <c r="AK17" i="6"/>
  <c r="AK31" i="6"/>
  <c r="M66" i="6"/>
  <c r="G22" i="6"/>
  <c r="AK22" i="6"/>
  <c r="AE20" i="6"/>
  <c r="AK20" i="6"/>
  <c r="G21" i="6"/>
  <c r="AA22" i="6"/>
  <c r="G29" i="6"/>
  <c r="K7" i="6"/>
  <c r="H10" i="6" a="1"/>
  <c r="H10" i="6" s="1"/>
  <c r="AH10" i="6" a="1"/>
  <c r="AH10" i="6" s="1"/>
  <c r="AQ10" i="6" a="1"/>
  <c r="AQ10" i="6" s="1"/>
  <c r="P45" i="6" s="1"/>
  <c r="AJ11" i="6" a="1"/>
  <c r="AJ11" i="6" s="1"/>
  <c r="D12" i="6" a="1"/>
  <c r="D12" i="6" s="1"/>
  <c r="AE15" i="6"/>
  <c r="G30" i="6"/>
  <c r="G31" i="6"/>
  <c r="M68" i="6"/>
  <c r="AK33" i="6"/>
  <c r="K35" i="6"/>
  <c r="Z10" i="6" a="1"/>
  <c r="Z10" i="6" s="1"/>
  <c r="AI10" i="6"/>
  <c r="J11" i="6" a="1"/>
  <c r="J11" i="6" s="1"/>
  <c r="D46" i="6" s="1"/>
  <c r="AB11" i="6" a="1"/>
  <c r="AB11" i="6" s="1"/>
  <c r="AT11" i="6" a="1"/>
  <c r="AT11" i="6" s="1"/>
  <c r="E12" i="6"/>
  <c r="AD12" i="6" a="1"/>
  <c r="AD12" i="6" s="1"/>
  <c r="J47" i="6" s="1"/>
  <c r="AM12" i="6" a="1"/>
  <c r="AM12" i="6" s="1"/>
  <c r="AV12" i="6" a="1"/>
  <c r="AV12" i="6" s="1"/>
  <c r="AU30" i="6"/>
  <c r="AU33" i="6"/>
  <c r="AE30" i="6"/>
  <c r="AY35" i="6"/>
  <c r="AO8" i="6"/>
  <c r="AJ10" i="6" a="1"/>
  <c r="AJ10" i="6" s="1"/>
  <c r="F12" i="6" a="1"/>
  <c r="F12" i="6" s="1"/>
  <c r="AN12" i="6" a="1"/>
  <c r="AN12" i="6" s="1"/>
  <c r="N47" i="6" s="1"/>
  <c r="AW12" i="6" a="1"/>
  <c r="AW12" i="6" s="1"/>
  <c r="AA30" i="6"/>
  <c r="AE31" i="6"/>
  <c r="AO14" i="6"/>
  <c r="AU34" i="6"/>
  <c r="BP12" i="8"/>
  <c r="BG12" i="8"/>
  <c r="AX12" i="8"/>
  <c r="AF12" i="8"/>
  <c r="E12" i="8"/>
  <c r="BP11" i="8"/>
  <c r="BG11" i="8"/>
  <c r="AX11" i="8"/>
  <c r="AF11" i="8"/>
  <c r="E11" i="8"/>
  <c r="BP10" i="8"/>
  <c r="BG10" i="8"/>
  <c r="AX10" i="8"/>
  <c r="AF10" i="8"/>
  <c r="E10" i="8"/>
  <c r="BQ12" i="8" a="1"/>
  <c r="BQ12" i="8" s="1"/>
  <c r="AW12" i="8" a="1"/>
  <c r="AW12" i="8" s="1"/>
  <c r="AD12" i="8" a="1"/>
  <c r="AD12" i="8" s="1"/>
  <c r="AD46" i="8" s="1"/>
  <c r="BS11" i="8" a="1"/>
  <c r="BS11" i="8" s="1"/>
  <c r="BO45" i="8" s="1"/>
  <c r="AZ11" i="8" a="1"/>
  <c r="AZ11" i="8" s="1"/>
  <c r="AG11" i="8" a="1"/>
  <c r="AG11" i="8" s="1"/>
  <c r="M11" i="8" a="1"/>
  <c r="M11" i="8" s="1"/>
  <c r="BN10" i="8" a="1"/>
  <c r="BN10" i="8" s="1"/>
  <c r="BN44" i="8" s="1"/>
  <c r="AI10" i="8" a="1"/>
  <c r="AI10" i="8" s="1"/>
  <c r="AE44" i="8" s="1"/>
  <c r="P10" i="8" a="1"/>
  <c r="P10" i="8" s="1"/>
  <c r="AM12" i="8" a="1"/>
  <c r="AM12" i="8" s="1"/>
  <c r="AM46" i="8" s="1"/>
  <c r="AI11" i="8" a="1"/>
  <c r="AI11" i="8" s="1"/>
  <c r="AE45" i="8" s="1"/>
  <c r="Y11" i="8" a="1"/>
  <c r="Y11" i="8" s="1"/>
  <c r="O11" i="8" a="1"/>
  <c r="O11" i="8" s="1"/>
  <c r="D11" i="8" a="1"/>
  <c r="D11" i="8" s="1"/>
  <c r="BA10" i="8" a="1"/>
  <c r="BA10" i="8" s="1"/>
  <c r="AW44" i="8" s="1"/>
  <c r="AQ10" i="8" a="1"/>
  <c r="AQ10" i="8" s="1"/>
  <c r="AG10" i="8" a="1"/>
  <c r="AG10" i="8" s="1"/>
  <c r="V10" i="8" a="1"/>
  <c r="V10" i="8" s="1"/>
  <c r="L10" i="8" a="1"/>
  <c r="L10" i="8" s="1"/>
  <c r="L44" i="8" s="1"/>
  <c r="BF12" i="8" a="1"/>
  <c r="BF12" i="8" s="1"/>
  <c r="AV12" i="8" a="1"/>
  <c r="AV12" i="8" s="1"/>
  <c r="AV46" i="8" s="1"/>
  <c r="AR11" i="8" a="1"/>
  <c r="AR11" i="8" s="1"/>
  <c r="AN45" i="8" s="1"/>
  <c r="AH11" i="8" a="1"/>
  <c r="AH11" i="8" s="1"/>
  <c r="X11" i="8" a="1"/>
  <c r="X11" i="8" s="1"/>
  <c r="BJ10" i="8" a="1"/>
  <c r="BJ10" i="8" s="1"/>
  <c r="BF44" i="8" s="1"/>
  <c r="AZ10" i="8" a="1"/>
  <c r="AZ10" i="8" s="1"/>
  <c r="AP10" i="8" a="1"/>
  <c r="AP10" i="8" s="1"/>
  <c r="AE10" i="8" a="1"/>
  <c r="AE10" i="8" s="1"/>
  <c r="U10" i="8" a="1"/>
  <c r="U10" i="8" s="1"/>
  <c r="U44" i="8" s="1"/>
  <c r="BO12" i="8" a="1"/>
  <c r="BO12" i="8" s="1"/>
  <c r="BE12" i="8" a="1"/>
  <c r="BE12" i="8" s="1"/>
  <c r="BE46" i="8" s="1"/>
  <c r="BA11" i="8" a="1"/>
  <c r="BA11" i="8" s="1"/>
  <c r="AW45" i="8" s="1"/>
  <c r="AQ11" i="8" a="1"/>
  <c r="AQ11" i="8" s="1"/>
  <c r="BS10" i="8" a="1"/>
  <c r="BS10" i="8" s="1"/>
  <c r="BO44" i="8" s="1"/>
  <c r="BI10" i="8" a="1"/>
  <c r="BI10" i="8" s="1"/>
  <c r="AY10" i="8" a="1"/>
  <c r="AY10" i="8" s="1"/>
  <c r="AN10" i="8" a="1"/>
  <c r="AN10" i="8" s="1"/>
  <c r="AD10" i="8" a="1"/>
  <c r="AD10" i="8" s="1"/>
  <c r="AD44" i="8" s="1"/>
  <c r="AN12" i="8" a="1"/>
  <c r="AN12" i="8" s="1"/>
  <c r="X12" i="8" a="1"/>
  <c r="X12" i="8" s="1"/>
  <c r="BQ11" i="8" a="1"/>
  <c r="BQ11" i="8" s="1"/>
  <c r="BQ10" i="8" a="1"/>
  <c r="BQ10" i="8" s="1"/>
  <c r="Y10" i="8" a="1"/>
  <c r="Y10" i="8" s="1"/>
  <c r="BN12" i="8" a="1"/>
  <c r="BN12" i="8" s="1"/>
  <c r="BN46" i="8" s="1"/>
  <c r="AZ12" i="8" a="1"/>
  <c r="AZ12" i="8" s="1"/>
  <c r="H12" i="8" a="1"/>
  <c r="H12" i="8" s="1"/>
  <c r="D46" i="8" s="1"/>
  <c r="BO11" i="8" a="1"/>
  <c r="BO11" i="8" s="1"/>
  <c r="AM11" i="8" a="1"/>
  <c r="AM11" i="8" s="1"/>
  <c r="AM45" i="8" s="1"/>
  <c r="H11" i="8" a="1"/>
  <c r="H11" i="8" s="1"/>
  <c r="D45" i="8" s="1"/>
  <c r="AM10" i="8" a="1"/>
  <c r="AM10" i="8" s="1"/>
  <c r="AM44" i="8" s="1"/>
  <c r="AI12" i="8" a="1"/>
  <c r="AI12" i="8" s="1"/>
  <c r="AE46" i="8" s="1"/>
  <c r="V12" i="8" a="1"/>
  <c r="V12" i="8" s="1"/>
  <c r="BN11" i="8" a="1"/>
  <c r="BN11" i="8" s="1"/>
  <c r="BN45" i="8" s="1"/>
  <c r="AY11" i="8" a="1"/>
  <c r="AY11" i="8" s="1"/>
  <c r="V11" i="8" a="1"/>
  <c r="V11" i="8" s="1"/>
  <c r="BO10" i="8" a="1"/>
  <c r="BO10" i="8" s="1"/>
  <c r="X10" i="8" a="1"/>
  <c r="X10" i="8" s="1"/>
  <c r="H10" i="8" a="1"/>
  <c r="H10" i="8" s="1"/>
  <c r="D44" i="8" s="1"/>
  <c r="AY12" i="8" a="1"/>
  <c r="AY12" i="8" s="1"/>
  <c r="AH12" i="8" a="1"/>
  <c r="AH12" i="8" s="1"/>
  <c r="G12" i="8" a="1"/>
  <c r="G12" i="8" s="1"/>
  <c r="U11" i="8" a="1"/>
  <c r="U11" i="8" s="1"/>
  <c r="U45" i="8" s="1"/>
  <c r="G11" i="8" a="1"/>
  <c r="G11" i="8" s="1"/>
  <c r="G10" i="8" a="1"/>
  <c r="G10" i="8" s="1"/>
  <c r="BJ12" i="8" a="1"/>
  <c r="BJ12" i="8" s="1"/>
  <c r="BF46" i="8" s="1"/>
  <c r="U12" i="8" a="1"/>
  <c r="U12" i="8" s="1"/>
  <c r="U46" i="8" s="1"/>
  <c r="F12" i="8" a="1"/>
  <c r="F12" i="8" s="1"/>
  <c r="BJ11" i="8" a="1"/>
  <c r="BJ11" i="8" s="1"/>
  <c r="BF45" i="8" s="1"/>
  <c r="AW11" i="8" a="1"/>
  <c r="AW11" i="8" s="1"/>
  <c r="AW10" i="8" a="1"/>
  <c r="AW10" i="8" s="1"/>
  <c r="F10" i="8" a="1"/>
  <c r="F10" i="8" s="1"/>
  <c r="BI12" i="8" a="1"/>
  <c r="BI12" i="8" s="1"/>
  <c r="AR12" i="8" a="1"/>
  <c r="AR12" i="8" s="1"/>
  <c r="AN46" i="8" s="1"/>
  <c r="Q12" i="8" a="1"/>
  <c r="Q12" i="8" s="1"/>
  <c r="M46" i="8" s="1"/>
  <c r="C12" i="8" a="1"/>
  <c r="C12" i="8" s="1"/>
  <c r="C46" i="8" s="1"/>
  <c r="AV11" i="8" a="1"/>
  <c r="AV11" i="8" s="1"/>
  <c r="AV45" i="8" s="1"/>
  <c r="AE11" i="8" a="1"/>
  <c r="AE11" i="8" s="1"/>
  <c r="Q11" i="8" a="1"/>
  <c r="Q11" i="8" s="1"/>
  <c r="M45" i="8" s="1"/>
  <c r="AV10" i="8" a="1"/>
  <c r="AV10" i="8" s="1"/>
  <c r="AV44" i="8" s="1"/>
  <c r="Q10" i="8" a="1"/>
  <c r="Q10" i="8" s="1"/>
  <c r="M44" i="8" s="1"/>
  <c r="D10" i="8" a="1"/>
  <c r="D10" i="8" s="1"/>
  <c r="BS12" i="8" a="1"/>
  <c r="BS12" i="8" s="1"/>
  <c r="BO46" i="8" s="1"/>
  <c r="M12" i="8" a="1"/>
  <c r="M12" i="8" s="1"/>
  <c r="BF11" i="8" a="1"/>
  <c r="BF11" i="8" s="1"/>
  <c r="AP11" i="8" a="1"/>
  <c r="AP11" i="8" s="1"/>
  <c r="BF10" i="8" a="1"/>
  <c r="BF10" i="8" s="1"/>
  <c r="O10" i="8" a="1"/>
  <c r="O10" i="8" s="1"/>
  <c r="AQ12" i="8" a="1"/>
  <c r="AQ12" i="8" s="1"/>
  <c r="L12" i="8" a="1"/>
  <c r="L12" i="8" s="1"/>
  <c r="L46" i="8" s="1"/>
  <c r="AP12" i="8" a="1"/>
  <c r="AP12" i="8" s="1"/>
  <c r="D12" i="8" a="1"/>
  <c r="D12" i="8" s="1"/>
  <c r="L11" i="8" a="1"/>
  <c r="L11" i="8" s="1"/>
  <c r="L45" i="8" s="1"/>
  <c r="F11" i="8" a="1"/>
  <c r="F11" i="8" s="1"/>
  <c r="AR10" i="8" a="1"/>
  <c r="AR10" i="8" s="1"/>
  <c r="AN44" i="8" s="1"/>
  <c r="M10" i="8" a="1"/>
  <c r="M10" i="8" s="1"/>
  <c r="BR12" i="8" a="1"/>
  <c r="BR12" i="8" s="1"/>
  <c r="AG12" i="8" a="1"/>
  <c r="AG12" i="8" s="1"/>
  <c r="AN11" i="8" a="1"/>
  <c r="AN11" i="8" s="1"/>
  <c r="C11" i="8" a="1"/>
  <c r="C11" i="8" s="1"/>
  <c r="C45" i="8" s="1"/>
  <c r="AE12" i="8" a="1"/>
  <c r="AE12" i="8" s="1"/>
  <c r="BR11" i="8" a="1"/>
  <c r="BR11" i="8" s="1"/>
  <c r="BH12" i="8" a="1"/>
  <c r="BH12" i="8" s="1"/>
  <c r="Z12" i="8" a="1"/>
  <c r="Z12" i="8" s="1"/>
  <c r="V46" i="8" s="1"/>
  <c r="BI11" i="8" a="1"/>
  <c r="BI11" i="8" s="1"/>
  <c r="AD11" i="8" a="1"/>
  <c r="AD11" i="8" s="1"/>
  <c r="AD45" i="8" s="1"/>
  <c r="BA12" i="8" a="1"/>
  <c r="BA12" i="8" s="1"/>
  <c r="AW46" i="8" s="1"/>
  <c r="P12" i="8" a="1"/>
  <c r="P12" i="8" s="1"/>
  <c r="BE11" i="8" a="1"/>
  <c r="BE11" i="8" s="1"/>
  <c r="BE45" i="8" s="1"/>
  <c r="Z10" i="8" a="1"/>
  <c r="Z10" i="8" s="1"/>
  <c r="V44" i="8" s="1"/>
  <c r="BH10" i="8" a="1"/>
  <c r="BH10" i="8" s="1"/>
  <c r="BH11" i="8" a="1"/>
  <c r="BH11" i="8" s="1"/>
  <c r="BQ12" i="7" a="1"/>
  <c r="BQ12" i="7" s="1"/>
  <c r="BH12" i="7" a="1"/>
  <c r="BH12" i="7" s="1"/>
  <c r="AY12" i="7" a="1"/>
  <c r="AY12" i="7" s="1"/>
  <c r="AP12" i="7" a="1"/>
  <c r="AP12" i="7" s="1"/>
  <c r="AG12" i="7" a="1"/>
  <c r="AG12" i="7" s="1"/>
  <c r="X12" i="7" a="1"/>
  <c r="X12" i="7" s="1"/>
  <c r="O12" i="7" a="1"/>
  <c r="O12" i="7" s="1"/>
  <c r="F12" i="7" a="1"/>
  <c r="F12" i="7" s="1"/>
  <c r="BQ11" i="7" a="1"/>
  <c r="BQ11" i="7" s="1"/>
  <c r="BH11" i="7" a="1"/>
  <c r="BH11" i="7" s="1"/>
  <c r="AY11" i="7" a="1"/>
  <c r="AY11" i="7" s="1"/>
  <c r="AP11" i="7" a="1"/>
  <c r="AP11" i="7" s="1"/>
  <c r="AG11" i="7" a="1"/>
  <c r="AG11" i="7" s="1"/>
  <c r="X11" i="7" a="1"/>
  <c r="X11" i="7" s="1"/>
  <c r="O11" i="7" a="1"/>
  <c r="O11" i="7" s="1"/>
  <c r="F11" i="7" a="1"/>
  <c r="F11" i="7" s="1"/>
  <c r="BQ10" i="7" a="1"/>
  <c r="BQ10" i="7" s="1"/>
  <c r="BH10" i="7" a="1"/>
  <c r="BH10" i="7" s="1"/>
  <c r="AY10" i="7" a="1"/>
  <c r="AY10" i="7" s="1"/>
  <c r="AP10" i="7" a="1"/>
  <c r="AP10" i="7" s="1"/>
  <c r="AG10" i="7" a="1"/>
  <c r="AG10" i="7" s="1"/>
  <c r="X10" i="7" a="1"/>
  <c r="X10" i="7" s="1"/>
  <c r="O10" i="7" a="1"/>
  <c r="O10" i="7" s="1"/>
  <c r="F10" i="7" a="1"/>
  <c r="F10" i="7" s="1"/>
  <c r="BE10" i="8" a="1"/>
  <c r="BE10" i="8" s="1"/>
  <c r="BE44" i="8" s="1"/>
  <c r="AH10" i="8" a="1"/>
  <c r="AH10" i="8" s="1"/>
  <c r="BO12" i="7" a="1"/>
  <c r="BO12" i="7" s="1"/>
  <c r="BF12" i="7" a="1"/>
  <c r="BF12" i="7" s="1"/>
  <c r="AW12" i="7" a="1"/>
  <c r="AW12" i="7" s="1"/>
  <c r="AN12" i="7" a="1"/>
  <c r="AN12" i="7" s="1"/>
  <c r="AE12" i="7" a="1"/>
  <c r="AE12" i="7" s="1"/>
  <c r="V12" i="7" a="1"/>
  <c r="V12" i="7" s="1"/>
  <c r="M12" i="7" a="1"/>
  <c r="M12" i="7" s="1"/>
  <c r="D12" i="7" a="1"/>
  <c r="D12" i="7" s="1"/>
  <c r="BO11" i="7" a="1"/>
  <c r="BO11" i="7" s="1"/>
  <c r="Z11" i="8" a="1"/>
  <c r="Z11" i="8" s="1"/>
  <c r="V45" i="8" s="1"/>
  <c r="P11" i="8" a="1"/>
  <c r="P11" i="8" s="1"/>
  <c r="O12" i="8" a="1"/>
  <c r="O12" i="8" s="1"/>
  <c r="BR10" i="8" a="1"/>
  <c r="BR10" i="8" s="1"/>
  <c r="BR12" i="7" a="1"/>
  <c r="BR12" i="7" s="1"/>
  <c r="BI12" i="7" a="1"/>
  <c r="BI12" i="7" s="1"/>
  <c r="AZ12" i="7" a="1"/>
  <c r="AZ12" i="7" s="1"/>
  <c r="AQ12" i="7" a="1"/>
  <c r="AQ12" i="7" s="1"/>
  <c r="AH12" i="7" a="1"/>
  <c r="AH12" i="7" s="1"/>
  <c r="Y12" i="7" a="1"/>
  <c r="Y12" i="7" s="1"/>
  <c r="P12" i="7" a="1"/>
  <c r="P12" i="7" s="1"/>
  <c r="G12" i="7" a="1"/>
  <c r="G12" i="7" s="1"/>
  <c r="AX12" i="7"/>
  <c r="BJ11" i="7" a="1"/>
  <c r="BJ11" i="7" s="1"/>
  <c r="BF45" i="7" s="1"/>
  <c r="AQ11" i="7" a="1"/>
  <c r="AQ11" i="7" s="1"/>
  <c r="D11" i="7" a="1"/>
  <c r="D11" i="7" s="1"/>
  <c r="BE10" i="7" a="1"/>
  <c r="BE10" i="7" s="1"/>
  <c r="BE44" i="7" s="1"/>
  <c r="Z10" i="7" a="1"/>
  <c r="Z10" i="7" s="1"/>
  <c r="V44" i="7" s="1"/>
  <c r="G10" i="7" a="1"/>
  <c r="G10" i="7" s="1"/>
  <c r="AZ11" i="7" a="1"/>
  <c r="AZ11" i="7" s="1"/>
  <c r="M11" i="7" a="1"/>
  <c r="M11" i="7" s="1"/>
  <c r="BN10" i="7" a="1"/>
  <c r="BN10" i="7" s="1"/>
  <c r="BN44" i="7" s="1"/>
  <c r="AI10" i="7" a="1"/>
  <c r="AI10" i="7" s="1"/>
  <c r="AE44" i="7" s="1"/>
  <c r="P10" i="7" a="1"/>
  <c r="P10" i="7" s="1"/>
  <c r="AV12" i="7" a="1"/>
  <c r="AV12" i="7" s="1"/>
  <c r="AV46" i="7" s="1"/>
  <c r="AI12" i="7" a="1"/>
  <c r="AI12" i="7" s="1"/>
  <c r="AE46" i="7" s="1"/>
  <c r="L12" i="7" a="1"/>
  <c r="L12" i="7" s="1"/>
  <c r="L46" i="7" s="1"/>
  <c r="BS11" i="7" a="1"/>
  <c r="BS11" i="7" s="1"/>
  <c r="BO45" i="7" s="1"/>
  <c r="BI11" i="7" a="1"/>
  <c r="BI11" i="7" s="1"/>
  <c r="AF11" i="7"/>
  <c r="V11" i="7" a="1"/>
  <c r="V11" i="7" s="1"/>
  <c r="C11" i="7" a="1"/>
  <c r="C11" i="7" s="1"/>
  <c r="C45" i="7" s="1"/>
  <c r="AR10" i="7" a="1"/>
  <c r="AR10" i="7" s="1"/>
  <c r="AN44" i="7" s="1"/>
  <c r="Y10" i="7" a="1"/>
  <c r="Y10" i="7" s="1"/>
  <c r="BS12" i="7" a="1"/>
  <c r="BS12" i="7" s="1"/>
  <c r="BO46" i="7" s="1"/>
  <c r="BG12" i="7"/>
  <c r="AE11" i="7" a="1"/>
  <c r="AE11" i="7" s="1"/>
  <c r="L11" i="7" a="1"/>
  <c r="L11" i="7" s="1"/>
  <c r="L45" i="7" s="1"/>
  <c r="BA10" i="7" a="1"/>
  <c r="BA10" i="7" s="1"/>
  <c r="AW44" i="7" s="1"/>
  <c r="AH10" i="7" a="1"/>
  <c r="AH10" i="7" s="1"/>
  <c r="E10" i="7"/>
  <c r="BR11" i="7" a="1"/>
  <c r="BR11" i="7" s="1"/>
  <c r="AX11" i="7"/>
  <c r="AN11" i="7" a="1"/>
  <c r="AN11" i="7" s="1"/>
  <c r="U11" i="7" a="1"/>
  <c r="U11" i="7" s="1"/>
  <c r="U45" i="7" s="1"/>
  <c r="BJ10" i="7" a="1"/>
  <c r="BJ10" i="7" s="1"/>
  <c r="BF44" i="7" s="1"/>
  <c r="AQ10" i="7" a="1"/>
  <c r="AQ10" i="7" s="1"/>
  <c r="D10" i="7" a="1"/>
  <c r="D10" i="7" s="1"/>
  <c r="BE12" i="7" a="1"/>
  <c r="BE12" i="7" s="1"/>
  <c r="BE46" i="7" s="1"/>
  <c r="AR12" i="7" a="1"/>
  <c r="AR12" i="7" s="1"/>
  <c r="AN46" i="7" s="1"/>
  <c r="U12" i="7" a="1"/>
  <c r="U12" i="7" s="1"/>
  <c r="U46" i="7" s="1"/>
  <c r="H12" i="7" a="1"/>
  <c r="H12" i="7" s="1"/>
  <c r="D46" i="7" s="1"/>
  <c r="BG11" i="7"/>
  <c r="AW11" i="7" a="1"/>
  <c r="AW11" i="7" s="1"/>
  <c r="AD11" i="7" a="1"/>
  <c r="AD11" i="7" s="1"/>
  <c r="AD45" i="7" s="1"/>
  <c r="BS10" i="7" a="1"/>
  <c r="BS10" i="7" s="1"/>
  <c r="BO44" i="7" s="1"/>
  <c r="AZ10" i="7" a="1"/>
  <c r="AZ10" i="7" s="1"/>
  <c r="M10" i="7" a="1"/>
  <c r="M10" i="7" s="1"/>
  <c r="BN12" i="7" a="1"/>
  <c r="BN12" i="7" s="1"/>
  <c r="BN46" i="7" s="1"/>
  <c r="BA12" i="7" a="1"/>
  <c r="BA12" i="7" s="1"/>
  <c r="AW46" i="7" s="1"/>
  <c r="AD12" i="7" a="1"/>
  <c r="AD12" i="7" s="1"/>
  <c r="AD46" i="7" s="1"/>
  <c r="Q12" i="7" a="1"/>
  <c r="Q12" i="7" s="1"/>
  <c r="M46" i="7" s="1"/>
  <c r="BE11" i="7" a="1"/>
  <c r="BE11" i="7" s="1"/>
  <c r="BE45" i="7" s="1"/>
  <c r="Z11" i="7" a="1"/>
  <c r="Z11" i="7" s="1"/>
  <c r="V45" i="7" s="1"/>
  <c r="G11" i="7" a="1"/>
  <c r="G11" i="7" s="1"/>
  <c r="AX10" i="7"/>
  <c r="AN10" i="7" a="1"/>
  <c r="AN10" i="7" s="1"/>
  <c r="U10" i="7" a="1"/>
  <c r="U10" i="7" s="1"/>
  <c r="U44" i="7" s="1"/>
  <c r="C10" i="8" a="1"/>
  <c r="C10" i="8" s="1"/>
  <c r="C44" i="8" s="1"/>
  <c r="E12" i="7"/>
  <c r="BN11" i="7" a="1"/>
  <c r="BN11" i="7" s="1"/>
  <c r="BN45" i="7" s="1"/>
  <c r="AI11" i="7" a="1"/>
  <c r="AI11" i="7" s="1"/>
  <c r="AE45" i="7" s="1"/>
  <c r="P11" i="7" a="1"/>
  <c r="P11" i="7" s="1"/>
  <c r="BG10" i="7"/>
  <c r="AW10" i="7" a="1"/>
  <c r="AW10" i="7" s="1"/>
  <c r="AD10" i="7" a="1"/>
  <c r="AD10" i="7" s="1"/>
  <c r="AD44" i="7" s="1"/>
  <c r="AR11" i="7" a="1"/>
  <c r="AR11" i="7" s="1"/>
  <c r="AN45" i="7" s="1"/>
  <c r="Y11" i="7" a="1"/>
  <c r="Y11" i="7" s="1"/>
  <c r="BP10" i="7"/>
  <c r="BF10" i="7" a="1"/>
  <c r="BF10" i="7" s="1"/>
  <c r="AM10" i="7" a="1"/>
  <c r="AM10" i="7" s="1"/>
  <c r="AM44" i="7" s="1"/>
  <c r="H10" i="7" a="1"/>
  <c r="H10" i="7" s="1"/>
  <c r="D44" i="7" s="1"/>
  <c r="BJ12" i="7" a="1"/>
  <c r="BJ12" i="7" s="1"/>
  <c r="BF46" i="7" s="1"/>
  <c r="AM12" i="7" a="1"/>
  <c r="AM12" i="7" s="1"/>
  <c r="AM46" i="7" s="1"/>
  <c r="Z12" i="7" a="1"/>
  <c r="Z12" i="7" s="1"/>
  <c r="V46" i="7" s="1"/>
  <c r="C12" i="7" a="1"/>
  <c r="C12" i="7" s="1"/>
  <c r="C46" i="7" s="1"/>
  <c r="BA11" i="7" a="1"/>
  <c r="BA11" i="7" s="1"/>
  <c r="AW45" i="7" s="1"/>
  <c r="AH11" i="7" a="1"/>
  <c r="AH11" i="7" s="1"/>
  <c r="E11" i="7"/>
  <c r="BO10" i="7" a="1"/>
  <c r="BO10" i="7" s="1"/>
  <c r="AV10" i="7" a="1"/>
  <c r="AV10" i="7" s="1"/>
  <c r="AV44" i="7" s="1"/>
  <c r="Q10" i="7" a="1"/>
  <c r="Q10" i="7" s="1"/>
  <c r="M44" i="7" s="1"/>
  <c r="BP11" i="7"/>
  <c r="BF11" i="7" a="1"/>
  <c r="BF11" i="7" s="1"/>
  <c r="BR10" i="7" a="1"/>
  <c r="BR10" i="7" s="1"/>
  <c r="L10" i="7" a="1"/>
  <c r="L10" i="7" s="1"/>
  <c r="L44" i="7" s="1"/>
  <c r="BI10" i="7" a="1"/>
  <c r="BI10" i="7" s="1"/>
  <c r="AV11" i="7" a="1"/>
  <c r="AV11" i="7" s="1"/>
  <c r="AV45" i="7" s="1"/>
  <c r="AF12" i="7"/>
  <c r="AM11" i="7" a="1"/>
  <c r="AM11" i="7" s="1"/>
  <c r="AM45" i="7" s="1"/>
  <c r="S12" i="6" a="1"/>
  <c r="S12" i="6" s="1"/>
  <c r="AC11" i="6" a="1"/>
  <c r="AC11" i="6" s="1"/>
  <c r="AM10" i="6" a="1"/>
  <c r="AM10" i="6" s="1"/>
  <c r="Y12" i="8" a="1"/>
  <c r="Y12" i="8" s="1"/>
  <c r="AF10" i="7"/>
  <c r="Q11" i="7" a="1"/>
  <c r="Q11" i="7" s="1"/>
  <c r="M45" i="7" s="1"/>
  <c r="AE10" i="7" a="1"/>
  <c r="AE10" i="7" s="1"/>
  <c r="BP12" i="7"/>
  <c r="H11" i="7" a="1"/>
  <c r="H11" i="7" s="1"/>
  <c r="D45" i="7" s="1"/>
  <c r="V10" i="7" a="1"/>
  <c r="V10" i="7" s="1"/>
  <c r="AT10" i="6" a="1"/>
  <c r="AT10" i="6" s="1"/>
  <c r="E11" i="6"/>
  <c r="W11" i="6" a="1"/>
  <c r="W11" i="6" s="1"/>
  <c r="I46" i="6" s="1"/>
  <c r="AX12" i="6" a="1"/>
  <c r="AX12" i="6" s="1"/>
  <c r="Q47" i="6" s="1"/>
  <c r="AO19" i="6"/>
  <c r="AU19" i="6"/>
  <c r="AK29" i="6"/>
  <c r="AE34" i="6"/>
  <c r="AS8" i="7"/>
  <c r="BT8" i="7"/>
  <c r="AU35" i="6"/>
  <c r="AO33" i="6"/>
  <c r="AJ8" i="7"/>
  <c r="AA33" i="6"/>
  <c r="AY31" i="6"/>
  <c r="AA8" i="7"/>
  <c r="BB8" i="7"/>
  <c r="BT15" i="7"/>
  <c r="AS21" i="7"/>
  <c r="AJ17" i="7"/>
  <c r="BK32" i="7"/>
  <c r="AA16" i="7"/>
  <c r="BT16" i="7"/>
  <c r="BK17" i="7"/>
  <c r="I16" i="7"/>
  <c r="AJ19" i="7"/>
  <c r="BK14" i="7"/>
  <c r="AS17" i="7"/>
  <c r="BT19" i="7"/>
  <c r="AA20" i="7"/>
  <c r="BB22" i="7"/>
  <c r="BB30" i="7"/>
  <c r="I34" i="7"/>
  <c r="Z65" i="15"/>
  <c r="AF65" i="15"/>
  <c r="Z64" i="15"/>
  <c r="AF64" i="15"/>
  <c r="AD38" i="15"/>
  <c r="E82" i="15" s="1"/>
  <c r="Z45" i="15"/>
  <c r="AF45" i="15"/>
  <c r="AE59" i="15"/>
  <c r="AD59" i="15"/>
  <c r="AF59" i="15"/>
  <c r="AA59" i="15"/>
  <c r="AB38" i="15"/>
  <c r="C82" i="15" s="1"/>
  <c r="AC15" i="15"/>
  <c r="AB15" i="15"/>
  <c r="J13" i="10"/>
  <c r="J14" i="10"/>
  <c r="J15" i="10"/>
  <c r="J12" i="10"/>
  <c r="AD60" i="15"/>
  <c r="AE60" i="15"/>
  <c r="M8" i="10"/>
  <c r="C80" i="15"/>
  <c r="N8" i="10"/>
  <c r="AF35" i="15"/>
  <c r="AD35" i="15"/>
  <c r="S36" i="15"/>
  <c r="AB36" i="15" s="1"/>
  <c r="AB35" i="15"/>
  <c r="AA35" i="15"/>
  <c r="AE4" i="16" a="1"/>
  <c r="AE4" i="16" s="1"/>
  <c r="AF4" i="16" a="1"/>
  <c r="AF4" i="16" s="1"/>
  <c r="AD4" i="16" a="1"/>
  <c r="AD4" i="16" s="1"/>
  <c r="Z10" i="15"/>
  <c r="G81" i="15"/>
  <c r="D82" i="15"/>
  <c r="AD5" i="16" a="1"/>
  <c r="AD5" i="16" s="1"/>
  <c r="AF5" i="16" a="1"/>
  <c r="AF5" i="16" s="1"/>
  <c r="AE5" i="16" a="1"/>
  <c r="AE5" i="16" s="1"/>
  <c r="AJ34" i="8"/>
  <c r="AF6" i="15"/>
  <c r="H82" i="15" s="1"/>
  <c r="Z6" i="15"/>
  <c r="AF32" i="15"/>
  <c r="F81" i="15" s="1"/>
  <c r="AB32" i="15"/>
  <c r="Z42" i="15"/>
  <c r="AF42" i="15"/>
  <c r="AF55" i="15"/>
  <c r="Z55" i="15"/>
  <c r="AF3" i="16" a="1"/>
  <c r="AF3" i="16" s="1"/>
  <c r="Z41" i="15"/>
  <c r="AF41" i="15"/>
  <c r="AF60" i="15"/>
  <c r="N6" i="10"/>
  <c r="M6" i="10"/>
  <c r="E79" i="15"/>
  <c r="AA45" i="15"/>
  <c r="AD3" i="16" a="1"/>
  <c r="AD3" i="16" s="1"/>
  <c r="AE10" i="15"/>
  <c r="AE3" i="16" a="1"/>
  <c r="AE3" i="16" s="1"/>
  <c r="Z51" i="15"/>
  <c r="BE4" i="5" l="1" a="1"/>
  <c r="BE4" i="5" s="1"/>
  <c r="BD4" i="5" a="1"/>
  <c r="BD4" i="5" s="1"/>
  <c r="BE3" i="5" a="1"/>
  <c r="BE3" i="5" s="1"/>
  <c r="BD3" i="5" a="1"/>
  <c r="BD3" i="5" s="1"/>
  <c r="BC4" i="5" a="1"/>
  <c r="BC4" i="5" s="1"/>
  <c r="AD91" i="1"/>
  <c r="AD69" i="1"/>
  <c r="AC69" i="1"/>
  <c r="BC3" i="5" a="1"/>
  <c r="BC3" i="5" s="1"/>
  <c r="BC5" i="5" a="1"/>
  <c r="BC5" i="5" s="1"/>
  <c r="B17" i="9"/>
  <c r="C17" i="9"/>
  <c r="AE91" i="1"/>
  <c r="AC91" i="1"/>
  <c r="AB91" i="1"/>
  <c r="AH91" i="1"/>
  <c r="AG69" i="1"/>
  <c r="AI91" i="1"/>
  <c r="AH69" i="1"/>
  <c r="AF69" i="1"/>
  <c r="AA100" i="1"/>
  <c r="AE69" i="1"/>
  <c r="AG91" i="1"/>
  <c r="AA99" i="1"/>
  <c r="AC99" i="1"/>
  <c r="T100" i="1"/>
  <c r="K12" i="6"/>
  <c r="B82" i="15"/>
  <c r="K11" i="6"/>
  <c r="G12" i="6"/>
  <c r="G74" i="15"/>
  <c r="R29" i="7"/>
  <c r="AU11" i="6"/>
  <c r="R14" i="7"/>
  <c r="A30" i="9"/>
  <c r="J30" i="9" s="1"/>
  <c r="G11" i="6"/>
  <c r="AY11" i="6"/>
  <c r="D81" i="15"/>
  <c r="A29" i="9"/>
  <c r="AA12" i="6"/>
  <c r="D78" i="15"/>
  <c r="Q34" i="6"/>
  <c r="AY10" i="6"/>
  <c r="C74" i="15"/>
  <c r="AE10" i="6"/>
  <c r="AE12" i="6"/>
  <c r="U8" i="6"/>
  <c r="AA10" i="6"/>
  <c r="AA36" i="15"/>
  <c r="C75" i="15" s="1"/>
  <c r="U20" i="6"/>
  <c r="Q35" i="6"/>
  <c r="Q10" i="6"/>
  <c r="L12" i="16" a="1"/>
  <c r="L12" i="16" s="1"/>
  <c r="BK11" i="7"/>
  <c r="N27" i="7"/>
  <c r="U6" i="6"/>
  <c r="I11" i="7"/>
  <c r="AS10" i="7"/>
  <c r="C77" i="15"/>
  <c r="BT12" i="7"/>
  <c r="A31" i="9"/>
  <c r="J31" i="9" s="1"/>
  <c r="L31" i="16" a="1"/>
  <c r="L31" i="16" s="1"/>
  <c r="O27" i="6"/>
  <c r="G77" i="15"/>
  <c r="N8" i="16" a="1"/>
  <c r="N8" i="16" s="1"/>
  <c r="N31" i="16" a="1"/>
  <c r="N31" i="16" s="1"/>
  <c r="F77" i="15"/>
  <c r="F78" i="15"/>
  <c r="U34" i="6"/>
  <c r="O26" i="6"/>
  <c r="BT10" i="7"/>
  <c r="P5" i="16" a="1"/>
  <c r="P5" i="16" s="1"/>
  <c r="AK12" i="6"/>
  <c r="G78" i="15"/>
  <c r="L38" i="16" a="1"/>
  <c r="L38" i="16" s="1"/>
  <c r="B79" i="15"/>
  <c r="L32" i="16" a="1"/>
  <c r="L32" i="16" s="1"/>
  <c r="Q11" i="6"/>
  <c r="BE7" i="5" a="1"/>
  <c r="BE7" i="5" s="1"/>
  <c r="O25" i="6"/>
  <c r="N39" i="16" a="1"/>
  <c r="N39" i="16" s="1"/>
  <c r="N26" i="7"/>
  <c r="D17" i="9"/>
  <c r="BT11" i="8"/>
  <c r="AK10" i="6"/>
  <c r="R21" i="7"/>
  <c r="R17" i="7"/>
  <c r="N25" i="7"/>
  <c r="Q12" i="6"/>
  <c r="AJ10" i="7"/>
  <c r="O24" i="6"/>
  <c r="AO24" i="8"/>
  <c r="B80" i="15"/>
  <c r="U29" i="6"/>
  <c r="A74" i="9"/>
  <c r="J74" i="9" s="1"/>
  <c r="Q17" i="6"/>
  <c r="U33" i="6"/>
  <c r="R16" i="7"/>
  <c r="BB11" i="7"/>
  <c r="L24" i="16" a="1"/>
  <c r="L24" i="16" s="1"/>
  <c r="B75" i="15"/>
  <c r="R34" i="8"/>
  <c r="H77" i="15"/>
  <c r="P29" i="16" a="1"/>
  <c r="P29" i="16" s="1"/>
  <c r="R19" i="7"/>
  <c r="R19" i="8"/>
  <c r="A39" i="9"/>
  <c r="J39" i="9" s="1"/>
  <c r="H74" i="15"/>
  <c r="D79" i="15"/>
  <c r="BK10" i="7"/>
  <c r="AA11" i="8"/>
  <c r="Q22" i="6"/>
  <c r="Q31" i="6"/>
  <c r="R30" i="7"/>
  <c r="R22" i="7"/>
  <c r="N10" i="16" a="1"/>
  <c r="N10" i="16" s="1"/>
  <c r="Q16" i="6"/>
  <c r="B78" i="15"/>
  <c r="AO25" i="8"/>
  <c r="A104" i="9"/>
  <c r="J104" i="9" s="1"/>
  <c r="P39" i="16" a="1"/>
  <c r="P39" i="16" s="1"/>
  <c r="D75" i="15"/>
  <c r="BT12" i="8"/>
  <c r="N14" i="16" a="1"/>
  <c r="N14" i="16" s="1"/>
  <c r="N35" i="16" a="1"/>
  <c r="N35" i="16" s="1"/>
  <c r="BB10" i="7"/>
  <c r="AJ11" i="7"/>
  <c r="BK10" i="8"/>
  <c r="AO12" i="6"/>
  <c r="AA10" i="7"/>
  <c r="Q7" i="6"/>
  <c r="U19" i="6"/>
  <c r="Q15" i="6"/>
  <c r="R15" i="8"/>
  <c r="L7" i="16" a="1"/>
  <c r="L7" i="16" s="1"/>
  <c r="N7" i="16" a="1"/>
  <c r="N7" i="16" s="1"/>
  <c r="P26" i="16" a="1"/>
  <c r="P26" i="16" s="1"/>
  <c r="P23" i="16" a="1"/>
  <c r="P23" i="16" s="1"/>
  <c r="Q6" i="6"/>
  <c r="Q20" i="6"/>
  <c r="R6" i="7"/>
  <c r="BC7" i="5" a="1"/>
  <c r="BC7" i="5" s="1"/>
  <c r="AQ5" i="3" a="1"/>
  <c r="AQ5" i="3" s="1"/>
  <c r="B77" i="15"/>
  <c r="D77" i="15"/>
  <c r="H78" i="15"/>
  <c r="A43" i="9"/>
  <c r="J43" i="9" s="1"/>
  <c r="E80" i="15"/>
  <c r="E74" i="15"/>
  <c r="BB11" i="8"/>
  <c r="R10" i="7"/>
  <c r="BP27" i="8"/>
  <c r="BG27" i="8"/>
  <c r="AX27" i="8"/>
  <c r="AF27" i="8"/>
  <c r="E27" i="8"/>
  <c r="BP26" i="8"/>
  <c r="BG26" i="8"/>
  <c r="AX26" i="8"/>
  <c r="AF26" i="8"/>
  <c r="E26" i="8"/>
  <c r="BP25" i="8"/>
  <c r="BG25" i="8"/>
  <c r="AX25" i="8"/>
  <c r="AF25" i="8"/>
  <c r="E25" i="8"/>
  <c r="BP24" i="8"/>
  <c r="BG24" i="8"/>
  <c r="AX24" i="8"/>
  <c r="AF24" i="8"/>
  <c r="E24" i="8"/>
  <c r="BA27" i="8" a="1"/>
  <c r="BA27" i="8" s="1"/>
  <c r="AW61" i="8" s="1"/>
  <c r="AH27" i="8" a="1"/>
  <c r="AH27" i="8" s="1"/>
  <c r="O27" i="8" a="1"/>
  <c r="O27" i="8" s="1"/>
  <c r="BO26" i="8" a="1"/>
  <c r="BO26" i="8" s="1"/>
  <c r="AV26" i="8" a="1"/>
  <c r="AV26" i="8" s="1"/>
  <c r="AV60" i="8" s="1"/>
  <c r="Q26" i="8" a="1"/>
  <c r="Q26" i="8" s="1"/>
  <c r="M60" i="8" s="1"/>
  <c r="BR25" i="8" a="1"/>
  <c r="BR25" i="8" s="1"/>
  <c r="AY25" i="8" a="1"/>
  <c r="AY25" i="8" s="1"/>
  <c r="AE25" i="8" a="1"/>
  <c r="AE25" i="8" s="1"/>
  <c r="L25" i="8" a="1"/>
  <c r="L25" i="8" s="1"/>
  <c r="L59" i="8" s="1"/>
  <c r="BA24" i="8" a="1"/>
  <c r="BA24" i="8" s="1"/>
  <c r="AW58" i="8" s="1"/>
  <c r="AH24" i="8" a="1"/>
  <c r="AH24" i="8" s="1"/>
  <c r="O24" i="8" a="1"/>
  <c r="O24" i="8" s="1"/>
  <c r="BJ27" i="8" a="1"/>
  <c r="BJ27" i="8" s="1"/>
  <c r="BF61" i="8" s="1"/>
  <c r="AQ27" i="8" a="1"/>
  <c r="AQ27" i="8" s="1"/>
  <c r="X27" i="8" a="1"/>
  <c r="X27" i="8" s="1"/>
  <c r="D27" i="8" a="1"/>
  <c r="D27" i="8" s="1"/>
  <c r="BE26" i="8" a="1"/>
  <c r="BE26" i="8" s="1"/>
  <c r="BE60" i="8" s="1"/>
  <c r="Z26" i="8" a="1"/>
  <c r="Z26" i="8" s="1"/>
  <c r="V60" i="8" s="1"/>
  <c r="G26" i="8" a="1"/>
  <c r="G26" i="8" s="1"/>
  <c r="BH25" i="8" a="1"/>
  <c r="BH25" i="8" s="1"/>
  <c r="AN25" i="8" a="1"/>
  <c r="AN25" i="8" s="1"/>
  <c r="U25" i="8" a="1"/>
  <c r="U25" i="8" s="1"/>
  <c r="U59" i="8" s="1"/>
  <c r="BJ24" i="8" a="1"/>
  <c r="BJ24" i="8" s="1"/>
  <c r="BF58" i="8" s="1"/>
  <c r="AQ24" i="8" a="1"/>
  <c r="AQ24" i="8" s="1"/>
  <c r="X24" i="8" a="1"/>
  <c r="X24" i="8" s="1"/>
  <c r="D24" i="8" a="1"/>
  <c r="D24" i="8" s="1"/>
  <c r="BQ27" i="8" a="1"/>
  <c r="BQ27" i="8" s="1"/>
  <c r="AG27" i="8" a="1"/>
  <c r="AG27" i="8" s="1"/>
  <c r="BR26" i="8" a="1"/>
  <c r="BR26" i="8" s="1"/>
  <c r="AH26" i="8" a="1"/>
  <c r="AH26" i="8" s="1"/>
  <c r="L26" i="8" a="1"/>
  <c r="L26" i="8" s="1"/>
  <c r="L60" i="8" s="1"/>
  <c r="BS25" i="8" a="1"/>
  <c r="BS25" i="8" s="1"/>
  <c r="BO59" i="8" s="1"/>
  <c r="AV25" i="8" a="1"/>
  <c r="AV25" i="8" s="1"/>
  <c r="AV59" i="8" s="1"/>
  <c r="AI25" i="8" a="1"/>
  <c r="AI25" i="8" s="1"/>
  <c r="AE59" i="8" s="1"/>
  <c r="M25" i="8" a="1"/>
  <c r="M25" i="8" s="1"/>
  <c r="BS24" i="8" a="1"/>
  <c r="BS24" i="8" s="1"/>
  <c r="BO58" i="8" s="1"/>
  <c r="AW24" i="8" a="1"/>
  <c r="AW24" i="8" s="1"/>
  <c r="M24" i="8" a="1"/>
  <c r="M24" i="8" s="1"/>
  <c r="BE27" i="8" a="1"/>
  <c r="BE27" i="8" s="1"/>
  <c r="BE61" i="8" s="1"/>
  <c r="AR27" i="8" a="1"/>
  <c r="AR27" i="8" s="1"/>
  <c r="AN61" i="8" s="1"/>
  <c r="U27" i="8" a="1"/>
  <c r="U27" i="8" s="1"/>
  <c r="U61" i="8" s="1"/>
  <c r="H27" i="8" a="1"/>
  <c r="H27" i="8" s="1"/>
  <c r="D61" i="8" s="1"/>
  <c r="BF26" i="8" a="1"/>
  <c r="BF26" i="8" s="1"/>
  <c r="AR26" i="8" a="1"/>
  <c r="AR26" i="8" s="1"/>
  <c r="AN60" i="8" s="1"/>
  <c r="V26" i="8" a="1"/>
  <c r="V26" i="8" s="1"/>
  <c r="BF25" i="8" a="1"/>
  <c r="BF25" i="8" s="1"/>
  <c r="X25" i="8" a="1"/>
  <c r="X25" i="8" s="1"/>
  <c r="BH24" i="8" a="1"/>
  <c r="BH24" i="8" s="1"/>
  <c r="Y24" i="8" a="1"/>
  <c r="Y24" i="8" s="1"/>
  <c r="BO27" i="8" a="1"/>
  <c r="BO27" i="8" s="1"/>
  <c r="AE27" i="8" a="1"/>
  <c r="AE27" i="8" s="1"/>
  <c r="BQ26" i="8" a="1"/>
  <c r="BQ26" i="8" s="1"/>
  <c r="AG26" i="8" a="1"/>
  <c r="AG26" i="8" s="1"/>
  <c r="BQ25" i="8" a="1"/>
  <c r="BQ25" i="8" s="1"/>
  <c r="AH25" i="8" a="1"/>
  <c r="AH25" i="8" s="1"/>
  <c r="BR24" i="8" a="1"/>
  <c r="BR24" i="8" s="1"/>
  <c r="AV24" i="8" a="1"/>
  <c r="AV24" i="8" s="1"/>
  <c r="AV58" i="8" s="1"/>
  <c r="AI24" i="8" a="1"/>
  <c r="AI24" i="8" s="1"/>
  <c r="AE58" i="8" s="1"/>
  <c r="L24" i="8" a="1"/>
  <c r="L24" i="8" s="1"/>
  <c r="L58" i="8" s="1"/>
  <c r="AP27" i="8" a="1"/>
  <c r="AP27" i="8" s="1"/>
  <c r="G27" i="8" a="1"/>
  <c r="G27" i="8" s="1"/>
  <c r="AQ26" i="8" a="1"/>
  <c r="AQ26" i="8" s="1"/>
  <c r="U26" i="8" a="1"/>
  <c r="U26" i="8" s="1"/>
  <c r="U60" i="8" s="1"/>
  <c r="H26" i="8" a="1"/>
  <c r="H26" i="8" s="1"/>
  <c r="D60" i="8" s="1"/>
  <c r="BE25" i="8" a="1"/>
  <c r="BE25" i="8" s="1"/>
  <c r="BE59" i="8" s="1"/>
  <c r="AR25" i="8" a="1"/>
  <c r="AR25" i="8" s="1"/>
  <c r="AN59" i="8" s="1"/>
  <c r="V25" i="8" a="1"/>
  <c r="V25" i="8" s="1"/>
  <c r="H25" i="8" a="1"/>
  <c r="H25" i="8" s="1"/>
  <c r="D59" i="8" s="1"/>
  <c r="BF24" i="8" a="1"/>
  <c r="BF24" i="8" s="1"/>
  <c r="V24" i="8" a="1"/>
  <c r="V24" i="8" s="1"/>
  <c r="BH27" i="8" a="1"/>
  <c r="BH27" i="8" s="1"/>
  <c r="Y27" i="8" a="1"/>
  <c r="Y27" i="8" s="1"/>
  <c r="BI26" i="8" a="1"/>
  <c r="BI26" i="8" s="1"/>
  <c r="AM26" i="8" a="1"/>
  <c r="AM26" i="8" s="1"/>
  <c r="AM60" i="8" s="1"/>
  <c r="Y26" i="8" a="1"/>
  <c r="Y26" i="8" s="1"/>
  <c r="C26" i="8" a="1"/>
  <c r="C26" i="8" s="1"/>
  <c r="C60" i="8" s="1"/>
  <c r="BJ25" i="8" a="1"/>
  <c r="BJ25" i="8" s="1"/>
  <c r="BF59" i="8" s="1"/>
  <c r="AM25" i="8" a="1"/>
  <c r="AM25" i="8" s="1"/>
  <c r="AM59" i="8" s="1"/>
  <c r="Z25" i="8" a="1"/>
  <c r="Z25" i="8" s="1"/>
  <c r="V59" i="8" s="1"/>
  <c r="D25" i="8" a="1"/>
  <c r="D25" i="8" s="1"/>
  <c r="AN24" i="8" a="1"/>
  <c r="AN24" i="8" s="1"/>
  <c r="F24" i="8" a="1"/>
  <c r="F24" i="8" s="1"/>
  <c r="BR27" i="8" a="1"/>
  <c r="BR27" i="8" s="1"/>
  <c r="AV27" i="8" a="1"/>
  <c r="AV27" i="8" s="1"/>
  <c r="AV61" i="8" s="1"/>
  <c r="AI27" i="8" a="1"/>
  <c r="AI27" i="8" s="1"/>
  <c r="AE61" i="8" s="1"/>
  <c r="L27" i="8" a="1"/>
  <c r="L27" i="8" s="1"/>
  <c r="L61" i="8" s="1"/>
  <c r="BS26" i="8" a="1"/>
  <c r="BS26" i="8" s="1"/>
  <c r="BO60" i="8" s="1"/>
  <c r="AW26" i="8" a="1"/>
  <c r="AW26" i="8" s="1"/>
  <c r="AI26" i="8" a="1"/>
  <c r="AI26" i="8" s="1"/>
  <c r="AE60" i="8" s="1"/>
  <c r="M26" i="8" a="1"/>
  <c r="M26" i="8" s="1"/>
  <c r="AW25" i="8" a="1"/>
  <c r="AW25" i="8" s="1"/>
  <c r="O25" i="8" a="1"/>
  <c r="O25" i="8" s="1"/>
  <c r="AY24" i="8" a="1"/>
  <c r="AY24" i="8" s="1"/>
  <c r="P24" i="8" a="1"/>
  <c r="P24" i="8" s="1"/>
  <c r="BF27" i="8" a="1"/>
  <c r="BF27" i="8" s="1"/>
  <c r="BH26" i="8" a="1"/>
  <c r="BH26" i="8" s="1"/>
  <c r="BI25" i="8" a="1"/>
  <c r="BI25" i="8" s="1"/>
  <c r="BI24" i="8" a="1"/>
  <c r="BI24" i="8" s="1"/>
  <c r="AM24" i="8" a="1"/>
  <c r="AM24" i="8" s="1"/>
  <c r="AM58" i="8" s="1"/>
  <c r="AZ27" i="8" a="1"/>
  <c r="AZ27" i="8" s="1"/>
  <c r="AD27" i="8" a="1"/>
  <c r="AD27" i="8" s="1"/>
  <c r="AD61" i="8" s="1"/>
  <c r="BA26" i="8" a="1"/>
  <c r="BA26" i="8" s="1"/>
  <c r="AW60" i="8" s="1"/>
  <c r="AE26" i="8" a="1"/>
  <c r="AE26" i="8" s="1"/>
  <c r="AG25" i="8" a="1"/>
  <c r="AG25" i="8" s="1"/>
  <c r="AG24" i="8" a="1"/>
  <c r="AG24" i="8" s="1"/>
  <c r="F27" i="8" a="1"/>
  <c r="F27" i="8" s="1"/>
  <c r="F26" i="8" a="1"/>
  <c r="F26" i="8" s="1"/>
  <c r="G25" i="8" a="1"/>
  <c r="G25" i="8" s="1"/>
  <c r="BE24" i="8" a="1"/>
  <c r="BE24" i="8" s="1"/>
  <c r="BE58" i="8" s="1"/>
  <c r="H24" i="8" a="1"/>
  <c r="H24" i="8" s="1"/>
  <c r="D58" i="8" s="1"/>
  <c r="AY27" i="8" a="1"/>
  <c r="AY27" i="8" s="1"/>
  <c r="AZ26" i="8" a="1"/>
  <c r="AZ26" i="8" s="1"/>
  <c r="AD26" i="8" a="1"/>
  <c r="AD26" i="8" s="1"/>
  <c r="AD60" i="8" s="1"/>
  <c r="BA25" i="8" a="1"/>
  <c r="BA25" i="8" s="1"/>
  <c r="AW59" i="8" s="1"/>
  <c r="AD25" i="8" a="1"/>
  <c r="AD25" i="8" s="1"/>
  <c r="AD59" i="8" s="1"/>
  <c r="AE24" i="8" a="1"/>
  <c r="AE24" i="8" s="1"/>
  <c r="Z27" i="8" a="1"/>
  <c r="Z27" i="8" s="1"/>
  <c r="V61" i="8" s="1"/>
  <c r="C27" i="8" a="1"/>
  <c r="C27" i="8" s="1"/>
  <c r="C61" i="8" s="1"/>
  <c r="D26" i="8" a="1"/>
  <c r="D26" i="8" s="1"/>
  <c r="F25" i="8" a="1"/>
  <c r="F25" i="8" s="1"/>
  <c r="G24" i="8" a="1"/>
  <c r="G24" i="8" s="1"/>
  <c r="BS27" i="8" a="1"/>
  <c r="BS27" i="8" s="1"/>
  <c r="BO61" i="8" s="1"/>
  <c r="AW27" i="8" a="1"/>
  <c r="AW27" i="8" s="1"/>
  <c r="AY26" i="8" a="1"/>
  <c r="AY26" i="8" s="1"/>
  <c r="AZ25" i="8" a="1"/>
  <c r="AZ25" i="8" s="1"/>
  <c r="AZ24" i="8" a="1"/>
  <c r="AZ24" i="8" s="1"/>
  <c r="AD24" i="8" a="1"/>
  <c r="AD24" i="8" s="1"/>
  <c r="AD58" i="8" s="1"/>
  <c r="P27" i="8" a="1"/>
  <c r="P27" i="8" s="1"/>
  <c r="P26" i="8" a="1"/>
  <c r="P26" i="8" s="1"/>
  <c r="BN25" i="8" a="1"/>
  <c r="BN25" i="8" s="1"/>
  <c r="BN59" i="8" s="1"/>
  <c r="Q25" i="8" a="1"/>
  <c r="Q25" i="8" s="1"/>
  <c r="M59" i="8" s="1"/>
  <c r="BO24" i="8" a="1"/>
  <c r="BO24" i="8" s="1"/>
  <c r="O26" i="8" a="1"/>
  <c r="O26" i="8" s="1"/>
  <c r="AP24" i="8" a="1"/>
  <c r="AP24" i="8" s="1"/>
  <c r="BJ26" i="8" a="1"/>
  <c r="BJ26" i="8" s="1"/>
  <c r="BF60" i="8" s="1"/>
  <c r="AN27" i="8" a="1"/>
  <c r="AN27" i="8" s="1"/>
  <c r="BO25" i="8" a="1"/>
  <c r="BO25" i="8" s="1"/>
  <c r="Z24" i="8" a="1"/>
  <c r="Z24" i="8" s="1"/>
  <c r="V58" i="8" s="1"/>
  <c r="AM27" i="8" a="1"/>
  <c r="AM27" i="8" s="1"/>
  <c r="AM61" i="8" s="1"/>
  <c r="P25" i="8" a="1"/>
  <c r="P25" i="8" s="1"/>
  <c r="C25" i="8" a="1"/>
  <c r="C25" i="8" s="1"/>
  <c r="C59" i="8" s="1"/>
  <c r="U24" i="8" a="1"/>
  <c r="U24" i="8" s="1"/>
  <c r="U58" i="8" s="1"/>
  <c r="Q27" i="8" a="1"/>
  <c r="Q27" i="8" s="1"/>
  <c r="M61" i="8" s="1"/>
  <c r="AN26" i="8" a="1"/>
  <c r="AN26" i="8" s="1"/>
  <c r="Q24" i="8" a="1"/>
  <c r="Q24" i="8" s="1"/>
  <c r="M58" i="8" s="1"/>
  <c r="M27" i="8" a="1"/>
  <c r="M27" i="8" s="1"/>
  <c r="AP25" i="8" a="1"/>
  <c r="AP25" i="8" s="1"/>
  <c r="X26" i="8" a="1"/>
  <c r="X26" i="8" s="1"/>
  <c r="AR24" i="8" a="1"/>
  <c r="AR24" i="8" s="1"/>
  <c r="AN58" i="8" s="1"/>
  <c r="BN27" i="8" a="1"/>
  <c r="BN27" i="8" s="1"/>
  <c r="BN61" i="8" s="1"/>
  <c r="C24" i="8" a="1"/>
  <c r="C24" i="8" s="1"/>
  <c r="C58" i="8" s="1"/>
  <c r="BR27" i="7" a="1"/>
  <c r="BR27" i="7" s="1"/>
  <c r="AY27" i="7" a="1"/>
  <c r="AY27" i="7" s="1"/>
  <c r="AF27" i="7"/>
  <c r="V27" i="7" a="1"/>
  <c r="V27" i="7" s="1"/>
  <c r="C27" i="7" a="1"/>
  <c r="C27" i="7" s="1"/>
  <c r="C61" i="7" s="1"/>
  <c r="AR26" i="7" a="1"/>
  <c r="AR26" i="7" s="1"/>
  <c r="AN60" i="7" s="1"/>
  <c r="AH26" i="7" a="1"/>
  <c r="AH26" i="7" s="1"/>
  <c r="O26" i="7" a="1"/>
  <c r="O26" i="7" s="1"/>
  <c r="BP25" i="7"/>
  <c r="BF25" i="7" a="1"/>
  <c r="BF25" i="7" s="1"/>
  <c r="AM25" i="7" a="1"/>
  <c r="AM25" i="7" s="1"/>
  <c r="AM59" i="7" s="1"/>
  <c r="H25" i="7" a="1"/>
  <c r="H25" i="7" s="1"/>
  <c r="D59" i="7" s="1"/>
  <c r="BR24" i="7" a="1"/>
  <c r="BR24" i="7" s="1"/>
  <c r="AY24" i="7" a="1"/>
  <c r="AY24" i="7" s="1"/>
  <c r="AF24" i="7"/>
  <c r="V24" i="7" a="1"/>
  <c r="V24" i="7" s="1"/>
  <c r="C24" i="7" a="1"/>
  <c r="C24" i="7" s="1"/>
  <c r="C58" i="7" s="1"/>
  <c r="BI27" i="8" a="1"/>
  <c r="BI27" i="8" s="1"/>
  <c r="BN26" i="8" a="1"/>
  <c r="BN26" i="8" s="1"/>
  <c r="BN60" i="8" s="1"/>
  <c r="BS27" i="7" a="1"/>
  <c r="BS27" i="7" s="1"/>
  <c r="BO61" i="7" s="1"/>
  <c r="BH27" i="7" a="1"/>
  <c r="BH27" i="7" s="1"/>
  <c r="AX27" i="7"/>
  <c r="Q27" i="7" a="1"/>
  <c r="Q27" i="7" s="1"/>
  <c r="M61" i="7" s="1"/>
  <c r="BF26" i="7" a="1"/>
  <c r="BF26" i="7" s="1"/>
  <c r="AV26" i="7" a="1"/>
  <c r="AV26" i="7" s="1"/>
  <c r="AV60" i="7" s="1"/>
  <c r="Y26" i="7" a="1"/>
  <c r="Y26" i="7" s="1"/>
  <c r="D26" i="7" a="1"/>
  <c r="D26" i="7" s="1"/>
  <c r="BN25" i="7" a="1"/>
  <c r="BN25" i="7" s="1"/>
  <c r="BN59" i="7" s="1"/>
  <c r="AQ25" i="7" a="1"/>
  <c r="AQ25" i="7" s="1"/>
  <c r="AG25" i="7" a="1"/>
  <c r="AG25" i="7" s="1"/>
  <c r="BJ24" i="7" a="1"/>
  <c r="BJ24" i="7" s="1"/>
  <c r="BF58" i="7" s="1"/>
  <c r="AQ25" i="8" a="1"/>
  <c r="AQ25" i="8" s="1"/>
  <c r="AW27" i="7" a="1"/>
  <c r="AW27" i="7" s="1"/>
  <c r="AM27" i="7" a="1"/>
  <c r="AM27" i="7" s="1"/>
  <c r="AM61" i="7" s="1"/>
  <c r="P27" i="7" a="1"/>
  <c r="P27" i="7" s="1"/>
  <c r="F27" i="7" a="1"/>
  <c r="F27" i="7" s="1"/>
  <c r="BP26" i="7"/>
  <c r="AI26" i="7" a="1"/>
  <c r="AI26" i="7" s="1"/>
  <c r="AE60" i="7" s="1"/>
  <c r="X26" i="7" a="1"/>
  <c r="X26" i="7" s="1"/>
  <c r="BA25" i="7" a="1"/>
  <c r="BA25" i="7" s="1"/>
  <c r="AW59" i="7" s="1"/>
  <c r="V25" i="7" a="1"/>
  <c r="V25" i="7" s="1"/>
  <c r="L25" i="7" a="1"/>
  <c r="L25" i="7" s="1"/>
  <c r="L59" i="7" s="1"/>
  <c r="BI24" i="7" a="1"/>
  <c r="BI24" i="7" s="1"/>
  <c r="AN24" i="7" a="1"/>
  <c r="AN24" i="7" s="1"/>
  <c r="AD24" i="7" a="1"/>
  <c r="AD24" i="7" s="1"/>
  <c r="AD58" i="7" s="1"/>
  <c r="G24" i="7" a="1"/>
  <c r="G24" i="7" s="1"/>
  <c r="Y25" i="8" a="1"/>
  <c r="Y25" i="8" s="1"/>
  <c r="BQ27" i="7" a="1"/>
  <c r="BQ27" i="7" s="1"/>
  <c r="BG27" i="7"/>
  <c r="Z27" i="7" a="1"/>
  <c r="Z27" i="7" s="1"/>
  <c r="V61" i="7" s="1"/>
  <c r="BO26" i="7" a="1"/>
  <c r="BO26" i="7" s="1"/>
  <c r="BE26" i="7" a="1"/>
  <c r="BE26" i="7" s="1"/>
  <c r="BE60" i="7" s="1"/>
  <c r="M26" i="7" a="1"/>
  <c r="M26" i="7" s="1"/>
  <c r="C26" i="7" a="1"/>
  <c r="C26" i="7" s="1"/>
  <c r="C60" i="7" s="1"/>
  <c r="AZ25" i="7" a="1"/>
  <c r="AZ25" i="7" s="1"/>
  <c r="AP25" i="7" a="1"/>
  <c r="AP25" i="7" s="1"/>
  <c r="AF25" i="7"/>
  <c r="BS24" i="7" a="1"/>
  <c r="BS24" i="7" s="1"/>
  <c r="BO58" i="7" s="1"/>
  <c r="BH24" i="7" a="1"/>
  <c r="BH24" i="7" s="1"/>
  <c r="AX24" i="7"/>
  <c r="Q24" i="7" a="1"/>
  <c r="Q24" i="7" s="1"/>
  <c r="M58" i="7" s="1"/>
  <c r="BQ24" i="8" a="1"/>
  <c r="BQ24" i="8" s="1"/>
  <c r="BF27" i="7" a="1"/>
  <c r="BF27" i="7" s="1"/>
  <c r="AV27" i="7" a="1"/>
  <c r="AV27" i="7" s="1"/>
  <c r="AV61" i="7" s="1"/>
  <c r="Y27" i="7" a="1"/>
  <c r="Y27" i="7" s="1"/>
  <c r="O27" i="7" a="1"/>
  <c r="O27" i="7" s="1"/>
  <c r="E27" i="7"/>
  <c r="AQ26" i="7" a="1"/>
  <c r="AQ26" i="7" s="1"/>
  <c r="AG26" i="7" a="1"/>
  <c r="AG26" i="7" s="1"/>
  <c r="BJ25" i="7" a="1"/>
  <c r="BJ25" i="7" s="1"/>
  <c r="BF59" i="7" s="1"/>
  <c r="AE25" i="7" a="1"/>
  <c r="AE25" i="7" s="1"/>
  <c r="U25" i="7" a="1"/>
  <c r="U25" i="7" s="1"/>
  <c r="U59" i="7" s="1"/>
  <c r="AW24" i="7" a="1"/>
  <c r="AW24" i="7" s="1"/>
  <c r="AM24" i="7" a="1"/>
  <c r="AM24" i="7" s="1"/>
  <c r="AM58" i="7" s="1"/>
  <c r="P24" i="7" a="1"/>
  <c r="P24" i="7" s="1"/>
  <c r="F24" i="7" a="1"/>
  <c r="F24" i="7" s="1"/>
  <c r="BN24" i="8" a="1"/>
  <c r="BN24" i="8" s="1"/>
  <c r="BN58" i="8" s="1"/>
  <c r="BP27" i="7"/>
  <c r="AI27" i="7" a="1"/>
  <c r="AI27" i="7" s="1"/>
  <c r="AE61" i="7" s="1"/>
  <c r="D27" i="7" a="1"/>
  <c r="D27" i="7" s="1"/>
  <c r="BN26" i="7" a="1"/>
  <c r="BN26" i="7" s="1"/>
  <c r="BN60" i="7" s="1"/>
  <c r="BA26" i="7" a="1"/>
  <c r="BA26" i="7" s="1"/>
  <c r="AW60" i="7" s="1"/>
  <c r="V26" i="7" a="1"/>
  <c r="V26" i="7" s="1"/>
  <c r="L26" i="7" a="1"/>
  <c r="L26" i="7" s="1"/>
  <c r="L60" i="7" s="1"/>
  <c r="BI25" i="7" a="1"/>
  <c r="BI25" i="7" s="1"/>
  <c r="AY25" i="7" a="1"/>
  <c r="AY25" i="7" s="1"/>
  <c r="G25" i="7" a="1"/>
  <c r="G25" i="7" s="1"/>
  <c r="BQ24" i="7" a="1"/>
  <c r="BQ24" i="7" s="1"/>
  <c r="BG24" i="7"/>
  <c r="Z24" i="7" a="1"/>
  <c r="Z24" i="7" s="1"/>
  <c r="V58" i="7" s="1"/>
  <c r="BN27" i="7" a="1"/>
  <c r="BN27" i="7" s="1"/>
  <c r="BN61" i="7" s="1"/>
  <c r="AQ27" i="7" a="1"/>
  <c r="AQ27" i="7" s="1"/>
  <c r="AG27" i="7" a="1"/>
  <c r="AG27" i="7" s="1"/>
  <c r="L27" i="7" a="1"/>
  <c r="L27" i="7" s="1"/>
  <c r="L61" i="7" s="1"/>
  <c r="BI26" i="7" a="1"/>
  <c r="BI26" i="7" s="1"/>
  <c r="AY26" i="7" a="1"/>
  <c r="AY26" i="7" s="1"/>
  <c r="H26" i="7" a="1"/>
  <c r="H26" i="7" s="1"/>
  <c r="D60" i="7" s="1"/>
  <c r="AW25" i="7" a="1"/>
  <c r="AW25" i="7" s="1"/>
  <c r="Z25" i="7" a="1"/>
  <c r="Z25" i="7" s="1"/>
  <c r="V59" i="7" s="1"/>
  <c r="BO24" i="7" a="1"/>
  <c r="BO24" i="7" s="1"/>
  <c r="BE24" i="7" a="1"/>
  <c r="BE24" i="7" s="1"/>
  <c r="BE58" i="7" s="1"/>
  <c r="AH24" i="7" a="1"/>
  <c r="AH24" i="7" s="1"/>
  <c r="X24" i="7" a="1"/>
  <c r="X24" i="7" s="1"/>
  <c r="AZ27" i="7" a="1"/>
  <c r="AZ27" i="7" s="1"/>
  <c r="AP27" i="7" a="1"/>
  <c r="AP27" i="7" s="1"/>
  <c r="AE27" i="7" a="1"/>
  <c r="AE27" i="7" s="1"/>
  <c r="U27" i="7" a="1"/>
  <c r="U27" i="7" s="1"/>
  <c r="U61" i="7" s="1"/>
  <c r="BR26" i="7" a="1"/>
  <c r="BR26" i="7" s="1"/>
  <c r="BH26" i="7" a="1"/>
  <c r="BH26" i="7" s="1"/>
  <c r="AX26" i="7"/>
  <c r="Q26" i="7" a="1"/>
  <c r="Q26" i="7" s="1"/>
  <c r="M60" i="7" s="1"/>
  <c r="AI25" i="7" a="1"/>
  <c r="AI25" i="7" s="1"/>
  <c r="AE59" i="7" s="1"/>
  <c r="D25" i="7" a="1"/>
  <c r="D25" i="7" s="1"/>
  <c r="BN24" i="7" a="1"/>
  <c r="BN24" i="7" s="1"/>
  <c r="BN58" i="7" s="1"/>
  <c r="AQ24" i="7" a="1"/>
  <c r="AQ24" i="7" s="1"/>
  <c r="AG24" i="7" a="1"/>
  <c r="AG24" i="7" s="1"/>
  <c r="L24" i="7" a="1"/>
  <c r="L24" i="7" s="1"/>
  <c r="L58" i="7" s="1"/>
  <c r="BJ27" i="7" a="1"/>
  <c r="BJ27" i="7" s="1"/>
  <c r="BF61" i="7" s="1"/>
  <c r="H27" i="7" a="1"/>
  <c r="H27" i="7" s="1"/>
  <c r="D61" i="7" s="1"/>
  <c r="AW26" i="7" a="1"/>
  <c r="AW26" i="7" s="1"/>
  <c r="AM26" i="7" a="1"/>
  <c r="AM26" i="7" s="1"/>
  <c r="AM60" i="7" s="1"/>
  <c r="P26" i="7" a="1"/>
  <c r="P26" i="7" s="1"/>
  <c r="F26" i="7" a="1"/>
  <c r="F26" i="7" s="1"/>
  <c r="BO25" i="7" a="1"/>
  <c r="BO25" i="7" s="1"/>
  <c r="BE25" i="7" a="1"/>
  <c r="BE25" i="7" s="1"/>
  <c r="BE59" i="7" s="1"/>
  <c r="AH25" i="7" a="1"/>
  <c r="AH25" i="7" s="1"/>
  <c r="X25" i="7" a="1"/>
  <c r="X25" i="7" s="1"/>
  <c r="BA24" i="7" a="1"/>
  <c r="BA24" i="7" s="1"/>
  <c r="AW58" i="7" s="1"/>
  <c r="AP26" i="8" a="1"/>
  <c r="AP26" i="8" s="1"/>
  <c r="BI27" i="7" a="1"/>
  <c r="BI27" i="7" s="1"/>
  <c r="AN27" i="7" a="1"/>
  <c r="AN27" i="7" s="1"/>
  <c r="AD27" i="7" a="1"/>
  <c r="AD27" i="7" s="1"/>
  <c r="AD61" i="7" s="1"/>
  <c r="G27" i="7" a="1"/>
  <c r="G27" i="7" s="1"/>
  <c r="BQ26" i="7" a="1"/>
  <c r="BQ26" i="7" s="1"/>
  <c r="BG26" i="7"/>
  <c r="Z26" i="7" a="1"/>
  <c r="Z26" i="7" s="1"/>
  <c r="V60" i="7" s="1"/>
  <c r="E26" i="7"/>
  <c r="AR25" i="7" a="1"/>
  <c r="AR25" i="7" s="1"/>
  <c r="AN59" i="7" s="1"/>
  <c r="M25" i="7" a="1"/>
  <c r="M25" i="7" s="1"/>
  <c r="C25" i="7" a="1"/>
  <c r="C25" i="7" s="1"/>
  <c r="C59" i="7" s="1"/>
  <c r="AZ24" i="7" a="1"/>
  <c r="AZ24" i="7" s="1"/>
  <c r="AP24" i="7" a="1"/>
  <c r="AP24" i="7" s="1"/>
  <c r="AE24" i="7" a="1"/>
  <c r="AE24" i="7" s="1"/>
  <c r="U24" i="7" a="1"/>
  <c r="U24" i="7" s="1"/>
  <c r="U58" i="7" s="1"/>
  <c r="BE27" i="7" a="1"/>
  <c r="BE27" i="7" s="1"/>
  <c r="BE61" i="7" s="1"/>
  <c r="AP26" i="7" a="1"/>
  <c r="AP26" i="7" s="1"/>
  <c r="BS25" i="7" a="1"/>
  <c r="BS25" i="7" s="1"/>
  <c r="BO59" i="7" s="1"/>
  <c r="AD25" i="7" a="1"/>
  <c r="AD25" i="7" s="1"/>
  <c r="AD59" i="7" s="1"/>
  <c r="BF24" i="7" a="1"/>
  <c r="BF24" i="7" s="1"/>
  <c r="Y24" i="7" a="1"/>
  <c r="Y24" i="7" s="1"/>
  <c r="M27" i="7" a="1"/>
  <c r="M27" i="7" s="1"/>
  <c r="BR25" i="7" a="1"/>
  <c r="BR25" i="7" s="1"/>
  <c r="BA27" i="7" a="1"/>
  <c r="BA27" i="7" s="1"/>
  <c r="AW61" i="7" s="1"/>
  <c r="AN26" i="7" a="1"/>
  <c r="AN26" i="7" s="1"/>
  <c r="BQ25" i="7" a="1"/>
  <c r="BQ25" i="7" s="1"/>
  <c r="Y25" i="7" a="1"/>
  <c r="Y25" i="7" s="1"/>
  <c r="AF26" i="7"/>
  <c r="Q25" i="7" a="1"/>
  <c r="Q25" i="7" s="1"/>
  <c r="M59" i="7" s="1"/>
  <c r="AR27" i="7" a="1"/>
  <c r="AR27" i="7" s="1"/>
  <c r="AN61" i="7" s="1"/>
  <c r="AE26" i="7" a="1"/>
  <c r="AE26" i="7" s="1"/>
  <c r="BH25" i="7" a="1"/>
  <c r="BH25" i="7" s="1"/>
  <c r="P25" i="7" a="1"/>
  <c r="P25" i="7" s="1"/>
  <c r="AV24" i="7" a="1"/>
  <c r="AV24" i="7" s="1"/>
  <c r="AV58" i="7" s="1"/>
  <c r="O24" i="7" a="1"/>
  <c r="O24" i="7" s="1"/>
  <c r="BS26" i="7" a="1"/>
  <c r="BS26" i="7" s="1"/>
  <c r="BO60" i="7" s="1"/>
  <c r="AD26" i="7" a="1"/>
  <c r="AD26" i="7" s="1"/>
  <c r="AD60" i="7" s="1"/>
  <c r="BG25" i="7"/>
  <c r="O25" i="7" a="1"/>
  <c r="O25" i="7" s="1"/>
  <c r="V27" i="8" a="1"/>
  <c r="V27" i="8" s="1"/>
  <c r="AH27" i="7" a="1"/>
  <c r="AH27" i="7" s="1"/>
  <c r="AR24" i="7" a="1"/>
  <c r="AR24" i="7" s="1"/>
  <c r="AN58" i="7" s="1"/>
  <c r="M24" i="7" a="1"/>
  <c r="M24" i="7" s="1"/>
  <c r="AV25" i="7" a="1"/>
  <c r="AV25" i="7" s="1"/>
  <c r="AV59" i="7" s="1"/>
  <c r="E25" i="7"/>
  <c r="E24" i="7"/>
  <c r="BO27" i="7" a="1"/>
  <c r="BO27" i="7" s="1"/>
  <c r="X27" i="7" a="1"/>
  <c r="X27" i="7" s="1"/>
  <c r="AZ26" i="7" a="1"/>
  <c r="AZ26" i="7" s="1"/>
  <c r="AN25" i="7" a="1"/>
  <c r="AN25" i="7" s="1"/>
  <c r="AI24" i="7" a="1"/>
  <c r="AI24" i="7" s="1"/>
  <c r="AE58" i="7" s="1"/>
  <c r="D24" i="7" a="1"/>
  <c r="D24" i="7" s="1"/>
  <c r="BP24" i="7"/>
  <c r="G26" i="7" a="1"/>
  <c r="G26" i="7" s="1"/>
  <c r="AC27" i="6" a="1"/>
  <c r="AC27" i="6" s="1"/>
  <c r="AM26" i="6" a="1"/>
  <c r="AM26" i="6" s="1"/>
  <c r="AW25" i="6" a="1"/>
  <c r="AW25" i="6" s="1"/>
  <c r="I25" i="6" a="1"/>
  <c r="I25" i="6" s="1"/>
  <c r="S24" i="6" a="1"/>
  <c r="S24" i="6" s="1"/>
  <c r="T27" i="6" a="1"/>
  <c r="T27" i="6" s="1"/>
  <c r="G62" i="6" s="1"/>
  <c r="M27" i="6" a="1"/>
  <c r="M27" i="6" s="1"/>
  <c r="F62" i="6" s="1"/>
  <c r="E27" i="6"/>
  <c r="AD26" i="6" a="1"/>
  <c r="AD26" i="6" s="1"/>
  <c r="J61" i="6" s="1"/>
  <c r="W26" i="6" a="1"/>
  <c r="W26" i="6" s="1"/>
  <c r="I61" i="6" s="1"/>
  <c r="AN25" i="6" a="1"/>
  <c r="AN25" i="6" s="1"/>
  <c r="N60" i="6" s="1"/>
  <c r="AG25" i="6" a="1"/>
  <c r="AG25" i="6" s="1"/>
  <c r="M60" i="6" s="1"/>
  <c r="AX24" i="6" a="1"/>
  <c r="AX24" i="6" s="1"/>
  <c r="Q59" i="6" s="1"/>
  <c r="AQ24" i="6" a="1"/>
  <c r="AQ24" i="6" s="1"/>
  <c r="P59" i="6" s="1"/>
  <c r="AI24" i="6"/>
  <c r="J24" i="6" a="1"/>
  <c r="J24" i="6" s="1"/>
  <c r="D59" i="6" s="1"/>
  <c r="C24" i="6" a="1"/>
  <c r="C24" i="6" s="1"/>
  <c r="C59" i="6" s="1"/>
  <c r="S27" i="6" a="1"/>
  <c r="S27" i="6" s="1"/>
  <c r="AC26" i="6" a="1"/>
  <c r="AC26" i="6" s="1"/>
  <c r="AM25" i="6" a="1"/>
  <c r="AM25" i="6" s="1"/>
  <c r="AW24" i="6" a="1"/>
  <c r="AW24" i="6" s="1"/>
  <c r="I24" i="6" a="1"/>
  <c r="I24" i="6" s="1"/>
  <c r="AX27" i="6" a="1"/>
  <c r="AX27" i="6" s="1"/>
  <c r="Q62" i="6" s="1"/>
  <c r="AQ27" i="6" a="1"/>
  <c r="AQ27" i="6" s="1"/>
  <c r="P62" i="6" s="1"/>
  <c r="AI27" i="6"/>
  <c r="J27" i="6" a="1"/>
  <c r="J27" i="6" s="1"/>
  <c r="D62" i="6" s="1"/>
  <c r="C27" i="6" a="1"/>
  <c r="C27" i="6" s="1"/>
  <c r="C62" i="6" s="1"/>
  <c r="T26" i="6" a="1"/>
  <c r="T26" i="6" s="1"/>
  <c r="G61" i="6" s="1"/>
  <c r="M26" i="6" a="1"/>
  <c r="M26" i="6" s="1"/>
  <c r="F61" i="6" s="1"/>
  <c r="E26" i="6"/>
  <c r="AD25" i="6" a="1"/>
  <c r="AD25" i="6" s="1"/>
  <c r="J60" i="6" s="1"/>
  <c r="W25" i="6" a="1"/>
  <c r="W25" i="6" s="1"/>
  <c r="I60" i="6" s="1"/>
  <c r="AN24" i="6" a="1"/>
  <c r="AN24" i="6" s="1"/>
  <c r="N59" i="6" s="1"/>
  <c r="AG24" i="6" a="1"/>
  <c r="AG24" i="6" s="1"/>
  <c r="M59" i="6" s="1"/>
  <c r="BJ26" i="7" a="1"/>
  <c r="BJ26" i="7" s="1"/>
  <c r="BF60" i="7" s="1"/>
  <c r="AH27" i="6" a="1"/>
  <c r="AH27" i="6" s="1"/>
  <c r="Z27" i="6" a="1"/>
  <c r="Z27" i="6" s="1"/>
  <c r="R27" i="6" a="1"/>
  <c r="R27" i="6" s="1"/>
  <c r="AR26" i="6" a="1"/>
  <c r="AR26" i="6" s="1"/>
  <c r="AJ26" i="6" a="1"/>
  <c r="AJ26" i="6" s="1"/>
  <c r="AB26" i="6" a="1"/>
  <c r="AB26" i="6" s="1"/>
  <c r="D26" i="6" a="1"/>
  <c r="D26" i="6" s="1"/>
  <c r="AT25" i="6" a="1"/>
  <c r="AT25" i="6" s="1"/>
  <c r="AL25" i="6" a="1"/>
  <c r="AL25" i="6" s="1"/>
  <c r="N25" i="6" a="1"/>
  <c r="N25" i="6" s="1"/>
  <c r="F25" i="6" a="1"/>
  <c r="F25" i="6" s="1"/>
  <c r="AV24" i="6" a="1"/>
  <c r="AV24" i="6" s="1"/>
  <c r="X24" i="6" a="1"/>
  <c r="X24" i="6" s="1"/>
  <c r="P24" i="6" a="1"/>
  <c r="P24" i="6" s="1"/>
  <c r="H24" i="6" a="1"/>
  <c r="H24" i="6" s="1"/>
  <c r="U26" i="7" a="1"/>
  <c r="U26" i="7" s="1"/>
  <c r="U60" i="7" s="1"/>
  <c r="AX25" i="7"/>
  <c r="AN27" i="6" a="1"/>
  <c r="AN27" i="6" s="1"/>
  <c r="N62" i="6" s="1"/>
  <c r="AG27" i="6" a="1"/>
  <c r="AG27" i="6" s="1"/>
  <c r="M62" i="6" s="1"/>
  <c r="AX26" i="6" a="1"/>
  <c r="AX26" i="6" s="1"/>
  <c r="Q61" i="6" s="1"/>
  <c r="AQ26" i="6" a="1"/>
  <c r="AQ26" i="6" s="1"/>
  <c r="P61" i="6" s="1"/>
  <c r="AI26" i="6"/>
  <c r="J26" i="6" a="1"/>
  <c r="J26" i="6" s="1"/>
  <c r="D61" i="6" s="1"/>
  <c r="C26" i="6" a="1"/>
  <c r="C26" i="6" s="1"/>
  <c r="C61" i="6" s="1"/>
  <c r="T25" i="6" a="1"/>
  <c r="T25" i="6" s="1"/>
  <c r="G60" i="6" s="1"/>
  <c r="M25" i="6" a="1"/>
  <c r="M25" i="6" s="1"/>
  <c r="F60" i="6" s="1"/>
  <c r="E25" i="6"/>
  <c r="AD24" i="6" a="1"/>
  <c r="AD24" i="6" s="1"/>
  <c r="J59" i="6" s="1"/>
  <c r="W24" i="6" a="1"/>
  <c r="W24" i="6" s="1"/>
  <c r="I59" i="6" s="1"/>
  <c r="AM27" i="6" a="1"/>
  <c r="AM27" i="6" s="1"/>
  <c r="AW26" i="6" a="1"/>
  <c r="AW26" i="6" s="1"/>
  <c r="I26" i="6" a="1"/>
  <c r="I26" i="6" s="1"/>
  <c r="S25" i="6" a="1"/>
  <c r="S25" i="6" s="1"/>
  <c r="AC24" i="6" a="1"/>
  <c r="AC24" i="6" s="1"/>
  <c r="H24" i="7" a="1"/>
  <c r="H24" i="7" s="1"/>
  <c r="D58" i="7" s="1"/>
  <c r="AT27" i="6" a="1"/>
  <c r="AT27" i="6" s="1"/>
  <c r="AL27" i="6" a="1"/>
  <c r="AL27" i="6" s="1"/>
  <c r="N27" i="6" a="1"/>
  <c r="N27" i="6" s="1"/>
  <c r="F27" i="6" a="1"/>
  <c r="F27" i="6" s="1"/>
  <c r="AV26" i="6" a="1"/>
  <c r="AV26" i="6" s="1"/>
  <c r="X26" i="6" a="1"/>
  <c r="X26" i="6" s="1"/>
  <c r="P26" i="6" a="1"/>
  <c r="P26" i="6" s="1"/>
  <c r="H26" i="6" a="1"/>
  <c r="H26" i="6" s="1"/>
  <c r="AH25" i="6" a="1"/>
  <c r="AH25" i="6" s="1"/>
  <c r="Z25" i="6" a="1"/>
  <c r="Z25" i="6" s="1"/>
  <c r="R25" i="6" a="1"/>
  <c r="R25" i="6" s="1"/>
  <c r="AR24" i="6" a="1"/>
  <c r="AR24" i="6" s="1"/>
  <c r="AJ24" i="6" a="1"/>
  <c r="AJ24" i="6" s="1"/>
  <c r="AB24" i="6" a="1"/>
  <c r="AB24" i="6" s="1"/>
  <c r="D24" i="6" a="1"/>
  <c r="D24" i="6" s="1"/>
  <c r="AW27" i="6" a="1"/>
  <c r="AW27" i="6" s="1"/>
  <c r="AC25" i="6" a="1"/>
  <c r="AC25" i="6" s="1"/>
  <c r="AV27" i="6" a="1"/>
  <c r="AV27" i="6" s="1"/>
  <c r="X27" i="6" a="1"/>
  <c r="X27" i="6" s="1"/>
  <c r="Z26" i="6" a="1"/>
  <c r="Z26" i="6" s="1"/>
  <c r="AB25" i="6" a="1"/>
  <c r="AB25" i="6" s="1"/>
  <c r="D25" i="6" a="1"/>
  <c r="D25" i="6" s="1"/>
  <c r="F24" i="6" a="1"/>
  <c r="F24" i="6" s="1"/>
  <c r="F25" i="7" a="1"/>
  <c r="F25" i="7" s="1"/>
  <c r="W27" i="6" a="1"/>
  <c r="W27" i="6" s="1"/>
  <c r="I62" i="6" s="1"/>
  <c r="AX25" i="6" a="1"/>
  <c r="AX25" i="6" s="1"/>
  <c r="Q60" i="6" s="1"/>
  <c r="C25" i="6" a="1"/>
  <c r="C25" i="6" s="1"/>
  <c r="C60" i="6" s="1"/>
  <c r="E24" i="6"/>
  <c r="AR27" i="6" a="1"/>
  <c r="AR27" i="6" s="1"/>
  <c r="AT26" i="6" a="1"/>
  <c r="AT26" i="6" s="1"/>
  <c r="AV25" i="6" a="1"/>
  <c r="AV25" i="6" s="1"/>
  <c r="X25" i="6" a="1"/>
  <c r="X25" i="6" s="1"/>
  <c r="Z24" i="6" a="1"/>
  <c r="Z24" i="6" s="1"/>
  <c r="S26" i="6" a="1"/>
  <c r="S26" i="6" s="1"/>
  <c r="P27" i="6" a="1"/>
  <c r="P27" i="6" s="1"/>
  <c r="R26" i="6" a="1"/>
  <c r="R26" i="6" s="1"/>
  <c r="AR25" i="6" a="1"/>
  <c r="AR25" i="6" s="1"/>
  <c r="AT24" i="6" a="1"/>
  <c r="AT24" i="6" s="1"/>
  <c r="AN26" i="6" a="1"/>
  <c r="AN26" i="6" s="1"/>
  <c r="N61" i="6" s="1"/>
  <c r="AQ25" i="6" a="1"/>
  <c r="AQ25" i="6" s="1"/>
  <c r="P60" i="6" s="1"/>
  <c r="T24" i="6" a="1"/>
  <c r="T24" i="6" s="1"/>
  <c r="G59" i="6" s="1"/>
  <c r="I27" i="6" a="1"/>
  <c r="I27" i="6" s="1"/>
  <c r="AM24" i="6" a="1"/>
  <c r="AM24" i="6" s="1"/>
  <c r="H27" i="6" a="1"/>
  <c r="H27" i="6" s="1"/>
  <c r="AH26" i="6" a="1"/>
  <c r="AH26" i="6" s="1"/>
  <c r="AJ25" i="6" a="1"/>
  <c r="AJ25" i="6" s="1"/>
  <c r="AL24" i="6" a="1"/>
  <c r="AL24" i="6" s="1"/>
  <c r="N24" i="6" a="1"/>
  <c r="N24" i="6" s="1"/>
  <c r="AD27" i="6" a="1"/>
  <c r="AD27" i="6" s="1"/>
  <c r="J62" i="6" s="1"/>
  <c r="AG26" i="6" a="1"/>
  <c r="AG26" i="6" s="1"/>
  <c r="M61" i="6" s="1"/>
  <c r="AI25" i="6"/>
  <c r="J25" i="6" a="1"/>
  <c r="J25" i="6" s="1"/>
  <c r="D60" i="6" s="1"/>
  <c r="M24" i="6" a="1"/>
  <c r="M24" i="6" s="1"/>
  <c r="F59" i="6" s="1"/>
  <c r="AB27" i="6" a="1"/>
  <c r="AB27" i="6" s="1"/>
  <c r="D27" i="6" a="1"/>
  <c r="D27" i="6" s="1"/>
  <c r="F26" i="6" a="1"/>
  <c r="F26" i="6" s="1"/>
  <c r="H25" i="6" a="1"/>
  <c r="H25" i="6" s="1"/>
  <c r="AH24" i="6" a="1"/>
  <c r="AH24" i="6" s="1"/>
  <c r="N26" i="6" a="1"/>
  <c r="N26" i="6" s="1"/>
  <c r="P25" i="6" a="1"/>
  <c r="P25" i="6" s="1"/>
  <c r="R24" i="6" a="1"/>
  <c r="R24" i="6" s="1"/>
  <c r="AJ27" i="6" a="1"/>
  <c r="AJ27" i="6" s="1"/>
  <c r="AL26" i="6" a="1"/>
  <c r="AL26" i="6" s="1"/>
  <c r="A46" i="9"/>
  <c r="J46" i="9" s="1"/>
  <c r="A37" i="9"/>
  <c r="J37" i="9" s="1"/>
  <c r="AO6" i="3" a="1"/>
  <c r="AO6" i="3" s="1"/>
  <c r="A38" i="9"/>
  <c r="J38" i="9" s="1"/>
  <c r="A47" i="9"/>
  <c r="J47" i="9" s="1"/>
  <c r="N32" i="16" a="1"/>
  <c r="N32" i="16" s="1"/>
  <c r="L26" i="16" a="1"/>
  <c r="L26" i="16" s="1"/>
  <c r="L25" i="16" a="1"/>
  <c r="L25" i="16" s="1"/>
  <c r="P35" i="16" a="1"/>
  <c r="P35" i="16" s="1"/>
  <c r="BB12" i="7"/>
  <c r="BK11" i="8"/>
  <c r="AK11" i="6"/>
  <c r="AA12" i="8"/>
  <c r="U15" i="6"/>
  <c r="U30" i="6"/>
  <c r="N24" i="7"/>
  <c r="R4" i="8"/>
  <c r="R20" i="8"/>
  <c r="A67" i="9"/>
  <c r="J67" i="9" s="1"/>
  <c r="CD2" i="9"/>
  <c r="D16" i="9"/>
  <c r="A58" i="9"/>
  <c r="J58" i="9" s="1"/>
  <c r="AO26" i="8"/>
  <c r="A113" i="9"/>
  <c r="J113" i="9" s="1"/>
  <c r="BD7" i="5" a="1"/>
  <c r="BD7" i="5" s="1"/>
  <c r="CE3" i="9"/>
  <c r="A32" i="9"/>
  <c r="J32" i="9" s="1"/>
  <c r="D18" i="9"/>
  <c r="CD4" i="9"/>
  <c r="N6" i="16" a="1"/>
  <c r="N6" i="16" s="1"/>
  <c r="N29" i="16" a="1"/>
  <c r="N29" i="16" s="1"/>
  <c r="N20" i="16" a="1"/>
  <c r="N20" i="16" s="1"/>
  <c r="N12" i="16" a="1"/>
  <c r="N12" i="16" s="1"/>
  <c r="N33" i="16" a="1"/>
  <c r="N33" i="16" s="1"/>
  <c r="N19" i="16" a="1"/>
  <c r="N19" i="16" s="1"/>
  <c r="N16" i="16" a="1"/>
  <c r="N16" i="16" s="1"/>
  <c r="N5" i="16" a="1"/>
  <c r="N5" i="16" s="1"/>
  <c r="N18" i="16" a="1"/>
  <c r="N18" i="16" s="1"/>
  <c r="N37" i="16" a="1"/>
  <c r="N37" i="16" s="1"/>
  <c r="N27" i="16" a="1"/>
  <c r="N27" i="16" s="1"/>
  <c r="N23" i="16" a="1"/>
  <c r="N23" i="16" s="1"/>
  <c r="N28" i="16" a="1"/>
  <c r="N28" i="16" s="1"/>
  <c r="N15" i="16" a="1"/>
  <c r="N15" i="16" s="1"/>
  <c r="N22" i="16" a="1"/>
  <c r="N22" i="16" s="1"/>
  <c r="N38" i="16" a="1"/>
  <c r="N38" i="16" s="1"/>
  <c r="BK12" i="7"/>
  <c r="Q33" i="6"/>
  <c r="R6" i="8"/>
  <c r="R21" i="8"/>
  <c r="U7" i="6"/>
  <c r="AO11" i="6"/>
  <c r="A61" i="9"/>
  <c r="J61" i="9" s="1"/>
  <c r="A112" i="9"/>
  <c r="J112" i="9" s="1"/>
  <c r="A86" i="9"/>
  <c r="J86" i="9" s="1"/>
  <c r="A70" i="9"/>
  <c r="J70" i="9" s="1"/>
  <c r="D20" i="9"/>
  <c r="CD6" i="9"/>
  <c r="AO27" i="8"/>
  <c r="CD5" i="9"/>
  <c r="D19" i="9"/>
  <c r="A93" i="9"/>
  <c r="J93" i="9" s="1"/>
  <c r="D22" i="9"/>
  <c r="CD8" i="9"/>
  <c r="AI69" i="1"/>
  <c r="AA69" i="1"/>
  <c r="P10" i="16" a="1"/>
  <c r="P10" i="16" s="1"/>
  <c r="L20" i="16" a="1"/>
  <c r="L20" i="16" s="1"/>
  <c r="P38" i="16" a="1"/>
  <c r="P38" i="16" s="1"/>
  <c r="P14" i="16" a="1"/>
  <c r="P14" i="16" s="1"/>
  <c r="P8" i="16" a="1"/>
  <c r="P8" i="16" s="1"/>
  <c r="B73" i="15"/>
  <c r="N17" i="16" a="1"/>
  <c r="N17" i="16" s="1"/>
  <c r="AD36" i="15"/>
  <c r="P11" i="16" a="1"/>
  <c r="P11" i="16" s="1"/>
  <c r="I12" i="8"/>
  <c r="AS12" i="7"/>
  <c r="U17" i="6"/>
  <c r="U14" i="6"/>
  <c r="R7" i="8"/>
  <c r="R22" i="8"/>
  <c r="A54" i="9"/>
  <c r="J54" i="9" s="1"/>
  <c r="A105" i="9"/>
  <c r="J105" i="9" s="1"/>
  <c r="A82" i="9"/>
  <c r="J82" i="9" s="1"/>
  <c r="AS24" i="6"/>
  <c r="AO5" i="3" a="1"/>
  <c r="AO5" i="3" s="1"/>
  <c r="A111" i="9"/>
  <c r="J111" i="9" s="1"/>
  <c r="P17" i="16" a="1"/>
  <c r="P17" i="16" s="1"/>
  <c r="L37" i="16" a="1"/>
  <c r="L37" i="16" s="1"/>
  <c r="N3" i="16" a="1"/>
  <c r="N3" i="16" s="1"/>
  <c r="B74" i="15"/>
  <c r="P37" i="16" a="1"/>
  <c r="P37" i="16" s="1"/>
  <c r="N13" i="16" a="1"/>
  <c r="N13" i="16" s="1"/>
  <c r="I12" i="7"/>
  <c r="AJ12" i="8"/>
  <c r="AO10" i="6"/>
  <c r="AS11" i="7"/>
  <c r="U21" i="6"/>
  <c r="R33" i="7"/>
  <c r="R8" i="8"/>
  <c r="N24" i="8"/>
  <c r="AA11" i="6"/>
  <c r="U10" i="6"/>
  <c r="U4" i="6"/>
  <c r="A48" i="9"/>
  <c r="J48" i="9" s="1"/>
  <c r="A103" i="9"/>
  <c r="J103" i="9" s="1"/>
  <c r="A75" i="9"/>
  <c r="J75" i="9" s="1"/>
  <c r="A90" i="9"/>
  <c r="J90" i="9" s="1"/>
  <c r="A101" i="9"/>
  <c r="J101" i="9" s="1"/>
  <c r="A88" i="9"/>
  <c r="J88" i="9" s="1"/>
  <c r="AO24" i="7"/>
  <c r="AP5" i="3" a="1"/>
  <c r="AP5" i="3" s="1"/>
  <c r="A87" i="9"/>
  <c r="J87" i="9" s="1"/>
  <c r="A79" i="9"/>
  <c r="J79" i="9" s="1"/>
  <c r="L8" i="16" a="1"/>
  <c r="L8" i="16" s="1"/>
  <c r="L5" i="16" a="1"/>
  <c r="L5" i="16" s="1"/>
  <c r="L3" i="16" a="1"/>
  <c r="L3" i="16" s="1"/>
  <c r="L33" i="16" a="1"/>
  <c r="L33" i="16" s="1"/>
  <c r="L27" i="16" a="1"/>
  <c r="L27" i="16" s="1"/>
  <c r="L22" i="16" a="1"/>
  <c r="L22" i="16" s="1"/>
  <c r="L28" i="16" a="1"/>
  <c r="L28" i="16" s="1"/>
  <c r="L16" i="16" a="1"/>
  <c r="L16" i="16" s="1"/>
  <c r="L29" i="16" a="1"/>
  <c r="L29" i="16" s="1"/>
  <c r="L21" i="16" a="1"/>
  <c r="L21" i="16" s="1"/>
  <c r="L18" i="16" a="1"/>
  <c r="L18" i="16" s="1"/>
  <c r="L4" i="16" a="1"/>
  <c r="L4" i="16" s="1"/>
  <c r="L39" i="16" a="1"/>
  <c r="L39" i="16" s="1"/>
  <c r="L34" i="16" a="1"/>
  <c r="L34" i="16" s="1"/>
  <c r="L23" i="16" a="1"/>
  <c r="L23" i="16" s="1"/>
  <c r="L6" i="16" a="1"/>
  <c r="L6" i="16" s="1"/>
  <c r="L10" i="16" a="1"/>
  <c r="L10" i="16" s="1"/>
  <c r="L15" i="16" a="1"/>
  <c r="L15" i="16" s="1"/>
  <c r="L17" i="16" a="1"/>
  <c r="L17" i="16" s="1"/>
  <c r="L9" i="16" a="1"/>
  <c r="L9" i="16" s="1"/>
  <c r="L11" i="16" a="1"/>
  <c r="L11" i="16" s="1"/>
  <c r="P13" i="16" a="1"/>
  <c r="P13" i="16" s="1"/>
  <c r="P16" i="16" a="1"/>
  <c r="P16" i="16" s="1"/>
  <c r="L30" i="16" a="1"/>
  <c r="L30" i="16" s="1"/>
  <c r="BT11" i="7"/>
  <c r="I10" i="8"/>
  <c r="BB12" i="8"/>
  <c r="AE11" i="6"/>
  <c r="AS10" i="8"/>
  <c r="R10" i="8"/>
  <c r="N25" i="8"/>
  <c r="Q4" i="6"/>
  <c r="A85" i="9"/>
  <c r="J85" i="9" s="1"/>
  <c r="A41" i="9"/>
  <c r="J41" i="9" s="1"/>
  <c r="A96" i="9"/>
  <c r="J96" i="9" s="1"/>
  <c r="CD7" i="9"/>
  <c r="D21" i="9"/>
  <c r="A94" i="9"/>
  <c r="J94" i="9" s="1"/>
  <c r="A99" i="9"/>
  <c r="J99" i="9" s="1"/>
  <c r="A84" i="9"/>
  <c r="J84" i="9" s="1"/>
  <c r="AS25" i="6"/>
  <c r="A57" i="9"/>
  <c r="J57" i="9" s="1"/>
  <c r="AI99" i="1"/>
  <c r="A73" i="9"/>
  <c r="J73" i="9" s="1"/>
  <c r="E73" i="15"/>
  <c r="N9" i="16" a="1"/>
  <c r="N9" i="16" s="1"/>
  <c r="L14" i="16" a="1"/>
  <c r="L14" i="16" s="1"/>
  <c r="P3" i="16" a="1"/>
  <c r="P3" i="16" s="1"/>
  <c r="P27" i="16" a="1"/>
  <c r="P27" i="16" s="1"/>
  <c r="N34" i="16" a="1"/>
  <c r="N34" i="16" s="1"/>
  <c r="AJ10" i="8"/>
  <c r="BK12" i="8"/>
  <c r="AS11" i="8"/>
  <c r="U12" i="6"/>
  <c r="Q19" i="6"/>
  <c r="R11" i="8"/>
  <c r="N26" i="8"/>
  <c r="A80" i="9"/>
  <c r="J80" i="9" s="1"/>
  <c r="A35" i="9"/>
  <c r="J35" i="9" s="1"/>
  <c r="A89" i="9"/>
  <c r="J89" i="9" s="1"/>
  <c r="A62" i="9"/>
  <c r="J62" i="9" s="1"/>
  <c r="A98" i="9"/>
  <c r="J98" i="9" s="1"/>
  <c r="A92" i="9"/>
  <c r="J92" i="9" s="1"/>
  <c r="A78" i="9"/>
  <c r="J78" i="9" s="1"/>
  <c r="AS26" i="6"/>
  <c r="A51" i="9"/>
  <c r="J51" i="9" s="1"/>
  <c r="A107" i="9"/>
  <c r="J107" i="9" s="1"/>
  <c r="A95" i="9"/>
  <c r="J95" i="9" s="1"/>
  <c r="A64" i="9"/>
  <c r="J64" i="9" s="1"/>
  <c r="N11" i="16" a="1"/>
  <c r="N11" i="16" s="1"/>
  <c r="P30" i="16" a="1"/>
  <c r="P30" i="16" s="1"/>
  <c r="P24" i="16" a="1"/>
  <c r="P24" i="16" s="1"/>
  <c r="P12" i="16" a="1"/>
  <c r="P12" i="16" s="1"/>
  <c r="P6" i="16" a="1"/>
  <c r="P6" i="16" s="1"/>
  <c r="P33" i="16" a="1"/>
  <c r="P33" i="16" s="1"/>
  <c r="P25" i="16" a="1"/>
  <c r="P25" i="16" s="1"/>
  <c r="P21" i="16" a="1"/>
  <c r="P21" i="16" s="1"/>
  <c r="P22" i="16" a="1"/>
  <c r="P22" i="16" s="1"/>
  <c r="P34" i="16" a="1"/>
  <c r="P34" i="16" s="1"/>
  <c r="P32" i="16" a="1"/>
  <c r="P32" i="16" s="1"/>
  <c r="P31" i="16" a="1"/>
  <c r="P31" i="16" s="1"/>
  <c r="P18" i="16" a="1"/>
  <c r="P18" i="16" s="1"/>
  <c r="P7" i="16" a="1"/>
  <c r="P7" i="16" s="1"/>
  <c r="P19" i="16" a="1"/>
  <c r="P19" i="16" s="1"/>
  <c r="P28" i="16" a="1"/>
  <c r="P28" i="16" s="1"/>
  <c r="N30" i="16" a="1"/>
  <c r="N30" i="16" s="1"/>
  <c r="P20" i="16" a="1"/>
  <c r="P20" i="16" s="1"/>
  <c r="N26" i="16" a="1"/>
  <c r="N26" i="16" s="1"/>
  <c r="BB10" i="8"/>
  <c r="AS12" i="8"/>
  <c r="Q14" i="6"/>
  <c r="R11" i="7"/>
  <c r="R12" i="8"/>
  <c r="N27" i="8"/>
  <c r="AU12" i="6"/>
  <c r="W27" i="8"/>
  <c r="W26" i="8"/>
  <c r="W25" i="8"/>
  <c r="W24" i="8"/>
  <c r="W25" i="7"/>
  <c r="W26" i="7"/>
  <c r="W27" i="7"/>
  <c r="W24" i="7"/>
  <c r="Y25" i="6"/>
  <c r="Y24" i="6"/>
  <c r="Y27" i="6"/>
  <c r="Y26" i="6"/>
  <c r="A81" i="9"/>
  <c r="J81" i="9" s="1"/>
  <c r="A55" i="9"/>
  <c r="J55" i="9" s="1"/>
  <c r="A102" i="9"/>
  <c r="J102" i="9" s="1"/>
  <c r="A76" i="9"/>
  <c r="J76" i="9" s="1"/>
  <c r="A72" i="9"/>
  <c r="J72" i="9" s="1"/>
  <c r="AS27" i="6"/>
  <c r="A66" i="9"/>
  <c r="J66" i="9" s="1"/>
  <c r="A91" i="9"/>
  <c r="J91" i="9" s="1"/>
  <c r="U16" i="6"/>
  <c r="R4" i="7"/>
  <c r="R12" i="7"/>
  <c r="R14" i="8"/>
  <c r="R29" i="8"/>
  <c r="Q21" i="6"/>
  <c r="A49" i="9"/>
  <c r="J49" i="9" s="1"/>
  <c r="A106" i="9"/>
  <c r="J106" i="9" s="1"/>
  <c r="A65" i="9"/>
  <c r="J65" i="9" s="1"/>
  <c r="AO27" i="7"/>
  <c r="A40" i="9"/>
  <c r="J40" i="9" s="1"/>
  <c r="AH99" i="1"/>
  <c r="AG99" i="1"/>
  <c r="AF99" i="1"/>
  <c r="AE99" i="1"/>
  <c r="AB99" i="1"/>
  <c r="A60" i="9"/>
  <c r="J60" i="9" s="1"/>
  <c r="A100" i="9"/>
  <c r="J100" i="9" s="1"/>
  <c r="A77" i="9"/>
  <c r="J77" i="9" s="1"/>
  <c r="A109" i="9"/>
  <c r="J109" i="9" s="1"/>
  <c r="L19" i="16" a="1"/>
  <c r="L19" i="16" s="1"/>
  <c r="N25" i="16" a="1"/>
  <c r="N25" i="16" s="1"/>
  <c r="B81" i="15"/>
  <c r="C78" i="15"/>
  <c r="L13" i="16" a="1"/>
  <c r="L13" i="16" s="1"/>
  <c r="AE36" i="15"/>
  <c r="P15" i="16" a="1"/>
  <c r="P15" i="16" s="1"/>
  <c r="I10" i="7"/>
  <c r="BT10" i="8"/>
  <c r="AA12" i="7"/>
  <c r="U11" i="6"/>
  <c r="U31" i="6"/>
  <c r="Q29" i="6"/>
  <c r="R20" i="7"/>
  <c r="R30" i="8"/>
  <c r="A68" i="9"/>
  <c r="J68" i="9" s="1"/>
  <c r="A42" i="9"/>
  <c r="J42" i="9" s="1"/>
  <c r="A69" i="9"/>
  <c r="J69" i="9" s="1"/>
  <c r="A110" i="9"/>
  <c r="J110" i="9" s="1"/>
  <c r="A63" i="9"/>
  <c r="J63" i="9" s="1"/>
  <c r="A59" i="9"/>
  <c r="J59" i="9" s="1"/>
  <c r="AO26" i="7"/>
  <c r="A33" i="9"/>
  <c r="J33" i="9" s="1"/>
  <c r="AP6" i="3" a="1"/>
  <c r="AP6" i="3" s="1"/>
  <c r="A83" i="9"/>
  <c r="J83" i="9" s="1"/>
  <c r="A71" i="9"/>
  <c r="J71" i="9" s="1"/>
  <c r="P9" i="16" a="1"/>
  <c r="P9" i="16" s="1"/>
  <c r="N4" i="16" a="1"/>
  <c r="N4" i="16" s="1"/>
  <c r="N24" i="16" a="1"/>
  <c r="N24" i="16" s="1"/>
  <c r="I11" i="8"/>
  <c r="AA11" i="7"/>
  <c r="AY12" i="6"/>
  <c r="U22" i="6"/>
  <c r="U35" i="6"/>
  <c r="R7" i="7"/>
  <c r="R15" i="7"/>
  <c r="R34" i="7"/>
  <c r="R16" i="8"/>
  <c r="R32" i="8"/>
  <c r="Q8" i="6"/>
  <c r="K10" i="6"/>
  <c r="AA78" i="1"/>
  <c r="AI78" i="1"/>
  <c r="A36" i="9"/>
  <c r="J36" i="9" s="1"/>
  <c r="A56" i="9"/>
  <c r="J56" i="9" s="1"/>
  <c r="A114" i="9"/>
  <c r="J114" i="9" s="1"/>
  <c r="A50" i="9"/>
  <c r="J50" i="9" s="1"/>
  <c r="A52" i="9"/>
  <c r="J52" i="9" s="1"/>
  <c r="AO25" i="7"/>
  <c r="AQ6" i="3" a="1"/>
  <c r="AQ6" i="3" s="1"/>
  <c r="A45" i="9"/>
  <c r="J45" i="9" s="1"/>
  <c r="A97" i="9"/>
  <c r="J97" i="9" s="1"/>
  <c r="A108" i="9"/>
  <c r="J108" i="9" s="1"/>
  <c r="L35" i="16" a="1"/>
  <c r="L35" i="16" s="1"/>
  <c r="D80" i="15"/>
  <c r="D73" i="15"/>
  <c r="D74" i="15"/>
  <c r="AF36" i="15"/>
  <c r="H73" i="15" s="1"/>
  <c r="AU10" i="6"/>
  <c r="AJ12" i="7"/>
  <c r="AJ11" i="8"/>
  <c r="AA10" i="8"/>
  <c r="Q30" i="6"/>
  <c r="R32" i="7"/>
  <c r="R8" i="7"/>
  <c r="R17" i="8"/>
  <c r="R33" i="8"/>
  <c r="A34" i="9"/>
  <c r="J34" i="9" s="1"/>
  <c r="A44" i="9"/>
  <c r="J44" i="9" s="1"/>
  <c r="A53" i="9"/>
  <c r="J53" i="9" s="1"/>
  <c r="AG3" i="5" l="1" a="1"/>
  <c r="AG3" i="5" s="1"/>
  <c r="AD100" i="1"/>
  <c r="AC100" i="1"/>
  <c r="B22" i="9"/>
  <c r="C22" i="9"/>
  <c r="B21" i="9"/>
  <c r="C21" i="9"/>
  <c r="B20" i="9"/>
  <c r="C20" i="9"/>
  <c r="B19" i="9"/>
  <c r="C19" i="9"/>
  <c r="B18" i="9"/>
  <c r="C18" i="9"/>
  <c r="B16" i="9"/>
  <c r="C16" i="9"/>
  <c r="J29" i="9"/>
  <c r="F29" i="9"/>
  <c r="F43" i="9"/>
  <c r="B104" i="9"/>
  <c r="D39" i="9"/>
  <c r="E74" i="9"/>
  <c r="F31" i="9"/>
  <c r="D30" i="9"/>
  <c r="C29" i="9"/>
  <c r="I29" i="9"/>
  <c r="AA25" i="6"/>
  <c r="AB100" i="1"/>
  <c r="AG100" i="1"/>
  <c r="AE100" i="1"/>
  <c r="AH100" i="1"/>
  <c r="AF100" i="1"/>
  <c r="AI100" i="1"/>
  <c r="BB25" i="7"/>
  <c r="Q26" i="6"/>
  <c r="U26" i="6"/>
  <c r="U24" i="6"/>
  <c r="I30" i="9"/>
  <c r="G30" i="9"/>
  <c r="H30" i="9"/>
  <c r="B30" i="9"/>
  <c r="C30" i="9"/>
  <c r="E30" i="9"/>
  <c r="F30" i="9"/>
  <c r="H29" i="9"/>
  <c r="B29" i="9"/>
  <c r="E29" i="9"/>
  <c r="G29" i="9"/>
  <c r="D29" i="9"/>
  <c r="U31" i="16" a="1"/>
  <c r="U31" i="16" s="1"/>
  <c r="G74" i="9"/>
  <c r="F74" i="9"/>
  <c r="I24" i="7"/>
  <c r="D74" i="9"/>
  <c r="B74" i="9"/>
  <c r="R27" i="8"/>
  <c r="C79" i="15"/>
  <c r="C73" i="15"/>
  <c r="AY26" i="6"/>
  <c r="R26" i="7"/>
  <c r="Q31" i="16" a="1"/>
  <c r="Q31" i="16" s="1"/>
  <c r="R25" i="8"/>
  <c r="R26" i="8"/>
  <c r="Q12" i="16" a="1"/>
  <c r="Q12" i="16" s="1"/>
  <c r="Q32" i="16" a="1"/>
  <c r="Q32" i="16" s="1"/>
  <c r="AE26" i="6"/>
  <c r="AS25" i="7"/>
  <c r="R25" i="7"/>
  <c r="U38" i="16" a="1"/>
  <c r="U38" i="16" s="1"/>
  <c r="AA27" i="7"/>
  <c r="U25" i="6"/>
  <c r="R27" i="7"/>
  <c r="AS27" i="8"/>
  <c r="AS26" i="8"/>
  <c r="AS24" i="8"/>
  <c r="U24" i="16" a="1"/>
  <c r="U24" i="16" s="1"/>
  <c r="U27" i="6"/>
  <c r="AS24" i="7"/>
  <c r="AJ26" i="7"/>
  <c r="C74" i="9"/>
  <c r="H74" i="9"/>
  <c r="AA25" i="8"/>
  <c r="I74" i="9"/>
  <c r="AU27" i="6"/>
  <c r="AK25" i="6"/>
  <c r="I25" i="7"/>
  <c r="R24" i="7"/>
  <c r="R24" i="8"/>
  <c r="G31" i="9"/>
  <c r="H31" i="9"/>
  <c r="X77" i="3" a="1"/>
  <c r="X77" i="3" s="1"/>
  <c r="AK27" i="6"/>
  <c r="Z42" i="3" a="1"/>
  <c r="Z42" i="3" s="1"/>
  <c r="AA25" i="7"/>
  <c r="AY24" i="6"/>
  <c r="B31" i="9"/>
  <c r="AA24" i="6"/>
  <c r="I31" i="9"/>
  <c r="AS25" i="8"/>
  <c r="C31" i="9"/>
  <c r="E31" i="9"/>
  <c r="AE24" i="6"/>
  <c r="AG55" i="5" a="1"/>
  <c r="AG55" i="5" s="1"/>
  <c r="D31" i="9"/>
  <c r="I39" i="9"/>
  <c r="AE27" i="6"/>
  <c r="Z71" i="3" a="1"/>
  <c r="Z71" i="3" s="1"/>
  <c r="AA24" i="8"/>
  <c r="X48" i="3" a="1"/>
  <c r="X48" i="3" s="1"/>
  <c r="Z78" i="3" a="1"/>
  <c r="Z78" i="3" s="1"/>
  <c r="C104" i="9"/>
  <c r="CE8" i="9"/>
  <c r="CF8" i="9" s="1"/>
  <c r="D104" i="9"/>
  <c r="E104" i="9"/>
  <c r="AE84" i="5" a="1"/>
  <c r="AE84" i="5" s="1"/>
  <c r="AA27" i="8"/>
  <c r="F104" i="9"/>
  <c r="AY25" i="6"/>
  <c r="G104" i="9"/>
  <c r="H104" i="9"/>
  <c r="X6" i="3" a="1"/>
  <c r="X6" i="3" s="1"/>
  <c r="I104" i="9"/>
  <c r="AE25" i="6"/>
  <c r="X72" i="3" a="1"/>
  <c r="X72" i="3" s="1"/>
  <c r="U32" i="16" a="1"/>
  <c r="U32" i="16" s="1"/>
  <c r="AA24" i="7"/>
  <c r="X53" i="3" a="1"/>
  <c r="X53" i="3" s="1"/>
  <c r="X15" i="3" a="1"/>
  <c r="X15" i="3" s="1"/>
  <c r="AE40" i="5" a="1"/>
  <c r="AE40" i="5" s="1"/>
  <c r="X42" i="3" a="1"/>
  <c r="X42" i="3" s="1"/>
  <c r="Z92" i="3" a="1"/>
  <c r="Z92" i="3" s="1"/>
  <c r="AY27" i="6"/>
  <c r="BT27" i="7"/>
  <c r="U7" i="16" a="1"/>
  <c r="U7" i="16" s="1"/>
  <c r="X82" i="3" a="1"/>
  <c r="X82" i="3" s="1"/>
  <c r="X19" i="3" a="1"/>
  <c r="X19" i="3" s="1"/>
  <c r="AF19" i="3" s="1" a="1"/>
  <c r="AF19" i="3" s="1"/>
  <c r="Z57" i="3" a="1"/>
  <c r="Z57" i="3" s="1"/>
  <c r="CE4" i="9"/>
  <c r="CF4" i="9" s="1"/>
  <c r="I43" i="9"/>
  <c r="X26" i="3" a="1"/>
  <c r="X26" i="3" s="1"/>
  <c r="AU24" i="6"/>
  <c r="X29" i="3" a="1"/>
  <c r="X29" i="3" s="1"/>
  <c r="AK24" i="6"/>
  <c r="BT24" i="7"/>
  <c r="Z86" i="3" a="1"/>
  <c r="Z86" i="3" s="1"/>
  <c r="Z55" i="3" a="1"/>
  <c r="Z55" i="3" s="1"/>
  <c r="AA26" i="8"/>
  <c r="CE5" i="9"/>
  <c r="CG5" i="9" s="1"/>
  <c r="BK25" i="7"/>
  <c r="X58" i="3" a="1"/>
  <c r="X58" i="3" s="1"/>
  <c r="AB58" i="3" s="1" a="1"/>
  <c r="AB58" i="3" s="1"/>
  <c r="X34" i="3" a="1"/>
  <c r="X34" i="3" s="1"/>
  <c r="AU25" i="6"/>
  <c r="AS27" i="7"/>
  <c r="AE41" i="5" a="1"/>
  <c r="AE41" i="5" s="1"/>
  <c r="AS26" i="7"/>
  <c r="AA26" i="6"/>
  <c r="AG7" i="5" a="1"/>
  <c r="AG7" i="5" s="1"/>
  <c r="AA26" i="7"/>
  <c r="AG25" i="5" a="1"/>
  <c r="AG25" i="5" s="1"/>
  <c r="AE15" i="5" a="1"/>
  <c r="AE15" i="5" s="1"/>
  <c r="Z54" i="3" a="1"/>
  <c r="Z54" i="3" s="1"/>
  <c r="E39" i="9"/>
  <c r="X23" i="3" a="1"/>
  <c r="X23" i="3" s="1"/>
  <c r="G43" i="9"/>
  <c r="G39" i="9"/>
  <c r="Q7" i="16" a="1"/>
  <c r="Q7" i="16" s="1"/>
  <c r="Z61" i="3" a="1"/>
  <c r="Z61" i="3" s="1"/>
  <c r="Z66" i="3" a="1"/>
  <c r="Z66" i="3" s="1"/>
  <c r="X46" i="3" a="1"/>
  <c r="X46" i="3" s="1"/>
  <c r="AJ24" i="8"/>
  <c r="H43" i="9"/>
  <c r="H39" i="9"/>
  <c r="AE77" i="5" a="1"/>
  <c r="AE77" i="5" s="1"/>
  <c r="X40" i="3" a="1"/>
  <c r="X40" i="3" s="1"/>
  <c r="AG67" i="5" a="1"/>
  <c r="AG67" i="5" s="1"/>
  <c r="Q25" i="6"/>
  <c r="G25" i="6"/>
  <c r="B43" i="9"/>
  <c r="F39" i="9"/>
  <c r="X60" i="3" a="1"/>
  <c r="X60" i="3" s="1"/>
  <c r="X55" i="3" a="1"/>
  <c r="X55" i="3" s="1"/>
  <c r="X76" i="3" a="1"/>
  <c r="X76" i="3" s="1"/>
  <c r="AE76" i="5" a="1"/>
  <c r="AE76" i="5" s="1"/>
  <c r="X64" i="3" a="1"/>
  <c r="X64" i="3" s="1"/>
  <c r="X67" i="3" a="1"/>
  <c r="X67" i="3" s="1"/>
  <c r="CE7" i="9"/>
  <c r="CF7" i="9" s="1"/>
  <c r="G24" i="6"/>
  <c r="AO26" i="6"/>
  <c r="C43" i="9"/>
  <c r="AE70" i="5" a="1"/>
  <c r="AE70" i="5" s="1"/>
  <c r="AE28" i="5" a="1"/>
  <c r="AE28" i="5" s="1"/>
  <c r="AG5" i="5" a="1"/>
  <c r="AG5" i="5" s="1"/>
  <c r="K27" i="6"/>
  <c r="D43" i="9"/>
  <c r="AG35" i="5" a="1"/>
  <c r="AG35" i="5" s="1"/>
  <c r="BB27" i="7"/>
  <c r="E43" i="9"/>
  <c r="G26" i="6"/>
  <c r="B39" i="9"/>
  <c r="BT25" i="8"/>
  <c r="C39" i="9"/>
  <c r="G44" i="9"/>
  <c r="F44" i="9"/>
  <c r="E44" i="9"/>
  <c r="D44" i="9"/>
  <c r="C44" i="9"/>
  <c r="B44" i="9"/>
  <c r="I44" i="9"/>
  <c r="H44" i="9"/>
  <c r="I108" i="9"/>
  <c r="H108" i="9"/>
  <c r="G108" i="9"/>
  <c r="F108" i="9"/>
  <c r="E108" i="9"/>
  <c r="D108" i="9"/>
  <c r="C108" i="9"/>
  <c r="B108" i="9"/>
  <c r="C36" i="9"/>
  <c r="E36" i="9"/>
  <c r="D36" i="9"/>
  <c r="B36" i="9"/>
  <c r="H36" i="9"/>
  <c r="G36" i="9"/>
  <c r="I36" i="9"/>
  <c r="F36" i="9"/>
  <c r="C68" i="9"/>
  <c r="B68" i="9"/>
  <c r="F68" i="9"/>
  <c r="E68" i="9"/>
  <c r="I68" i="9"/>
  <c r="H68" i="9"/>
  <c r="G68" i="9"/>
  <c r="D68" i="9"/>
  <c r="I100" i="9"/>
  <c r="H100" i="9"/>
  <c r="G100" i="9"/>
  <c r="F100" i="9"/>
  <c r="E100" i="9"/>
  <c r="C100" i="9"/>
  <c r="B100" i="9"/>
  <c r="D100" i="9"/>
  <c r="X70" i="3" a="1"/>
  <c r="X70" i="3" s="1"/>
  <c r="AE71" i="5" a="1"/>
  <c r="AE71" i="5" s="1"/>
  <c r="AE48" i="5" a="1"/>
  <c r="AE48" i="5" s="1"/>
  <c r="C102" i="9"/>
  <c r="B102" i="9"/>
  <c r="I102" i="9"/>
  <c r="H102" i="9"/>
  <c r="G102" i="9"/>
  <c r="F102" i="9"/>
  <c r="E102" i="9"/>
  <c r="D102" i="9"/>
  <c r="Z29" i="3" a="1"/>
  <c r="Z29" i="3" s="1"/>
  <c r="B35" i="9"/>
  <c r="C35" i="9"/>
  <c r="F35" i="9"/>
  <c r="E35" i="9"/>
  <c r="I35" i="9"/>
  <c r="H35" i="9"/>
  <c r="G35" i="9"/>
  <c r="D35" i="9"/>
  <c r="E84" i="9"/>
  <c r="C84" i="9"/>
  <c r="I84" i="9"/>
  <c r="H84" i="9"/>
  <c r="G84" i="9"/>
  <c r="F84" i="9"/>
  <c r="D84" i="9"/>
  <c r="B84" i="9"/>
  <c r="U11" i="16" a="1"/>
  <c r="U11" i="16" s="1"/>
  <c r="Q11" i="16" a="1"/>
  <c r="Q11" i="16" s="1"/>
  <c r="Q29" i="16" a="1"/>
  <c r="Q29" i="16" s="1"/>
  <c r="U29" i="16" a="1"/>
  <c r="U29" i="16" s="1"/>
  <c r="AE18" i="5" a="1"/>
  <c r="AE18" i="5" s="1"/>
  <c r="AG88" i="5" a="1"/>
  <c r="AG88" i="5" s="1"/>
  <c r="U37" i="16" a="1"/>
  <c r="U37" i="16" s="1"/>
  <c r="Q37" i="16" a="1"/>
  <c r="Q37" i="16" s="1"/>
  <c r="C82" i="9"/>
  <c r="F82" i="9"/>
  <c r="E82" i="9"/>
  <c r="D82" i="9"/>
  <c r="B82" i="9"/>
  <c r="I82" i="9"/>
  <c r="H82" i="9"/>
  <c r="G82" i="9"/>
  <c r="Z14" i="3" a="1"/>
  <c r="Z14" i="3" s="1"/>
  <c r="AE6" i="5" a="1"/>
  <c r="AE6" i="5" s="1"/>
  <c r="I32" i="9"/>
  <c r="H32" i="9"/>
  <c r="G32" i="9"/>
  <c r="F32" i="9"/>
  <c r="E32" i="9"/>
  <c r="D32" i="9"/>
  <c r="C32" i="9"/>
  <c r="B32" i="9"/>
  <c r="CE2" i="9"/>
  <c r="D37" i="9"/>
  <c r="G37" i="9"/>
  <c r="F37" i="9"/>
  <c r="E37" i="9"/>
  <c r="C37" i="9"/>
  <c r="B37" i="9"/>
  <c r="I37" i="9"/>
  <c r="H37" i="9"/>
  <c r="AG54" i="5" a="1"/>
  <c r="AG54" i="5" s="1"/>
  <c r="BK25" i="8"/>
  <c r="Z21" i="3" a="1"/>
  <c r="Z21" i="3" s="1"/>
  <c r="AG27" i="5" a="1"/>
  <c r="AG27" i="5" s="1"/>
  <c r="Z13" i="3" a="1"/>
  <c r="Z13" i="3" s="1"/>
  <c r="C60" i="9"/>
  <c r="I60" i="9"/>
  <c r="H60" i="9"/>
  <c r="D60" i="9"/>
  <c r="B60" i="9"/>
  <c r="G60" i="9"/>
  <c r="F60" i="9"/>
  <c r="E60" i="9"/>
  <c r="C106" i="9"/>
  <c r="B106" i="9"/>
  <c r="I106" i="9"/>
  <c r="H106" i="9"/>
  <c r="G106" i="9"/>
  <c r="F106" i="9"/>
  <c r="E106" i="9"/>
  <c r="D106" i="9"/>
  <c r="F91" i="9"/>
  <c r="E91" i="9"/>
  <c r="D91" i="9"/>
  <c r="C91" i="9"/>
  <c r="B91" i="9"/>
  <c r="I91" i="9"/>
  <c r="H91" i="9"/>
  <c r="G91" i="9"/>
  <c r="AE79" i="5" a="1"/>
  <c r="AE79" i="5" s="1"/>
  <c r="Q38" i="16" a="1"/>
  <c r="Q38" i="16" s="1"/>
  <c r="Z22" i="3" a="1"/>
  <c r="Z22" i="3" s="1"/>
  <c r="U14" i="16" a="1"/>
  <c r="U14" i="16" s="1"/>
  <c r="Q14" i="16" a="1"/>
  <c r="Q14" i="16" s="1"/>
  <c r="AG85" i="5" a="1"/>
  <c r="AG85" i="5" s="1"/>
  <c r="AE3" i="5" a="1"/>
  <c r="AE3" i="5" s="1"/>
  <c r="U9" i="16" a="1"/>
  <c r="U9" i="16" s="1"/>
  <c r="Q9" i="16" a="1"/>
  <c r="Q9" i="16" s="1"/>
  <c r="Q16" i="16" a="1"/>
  <c r="Q16" i="16" s="1"/>
  <c r="U16" i="16" a="1"/>
  <c r="U16" i="16" s="1"/>
  <c r="H87" i="9"/>
  <c r="F87" i="9"/>
  <c r="I87" i="9"/>
  <c r="G87" i="9"/>
  <c r="E87" i="9"/>
  <c r="D87" i="9"/>
  <c r="C87" i="9"/>
  <c r="B87" i="9"/>
  <c r="F75" i="9"/>
  <c r="D75" i="9"/>
  <c r="C75" i="9"/>
  <c r="B75" i="9"/>
  <c r="H75" i="9"/>
  <c r="G75" i="9"/>
  <c r="I75" i="9"/>
  <c r="E75" i="9"/>
  <c r="AG38" i="5" a="1"/>
  <c r="AG38" i="5" s="1"/>
  <c r="X85" i="3" a="1"/>
  <c r="X85" i="3" s="1"/>
  <c r="AG61" i="5" a="1"/>
  <c r="AG61" i="5" s="1"/>
  <c r="CG3" i="9"/>
  <c r="CF3" i="9"/>
  <c r="Z27" i="3" a="1"/>
  <c r="Z27" i="3" s="1"/>
  <c r="I46" i="9"/>
  <c r="H46" i="9"/>
  <c r="G46" i="9"/>
  <c r="F46" i="9"/>
  <c r="B46" i="9"/>
  <c r="C46" i="9"/>
  <c r="E46" i="9"/>
  <c r="D46" i="9"/>
  <c r="AE27" i="5" a="1"/>
  <c r="AE27" i="5" s="1"/>
  <c r="AU26" i="6"/>
  <c r="AK26" i="6"/>
  <c r="I27" i="7"/>
  <c r="AG18" i="5" a="1"/>
  <c r="AG18" i="5" s="1"/>
  <c r="AG80" i="5" a="1"/>
  <c r="AG80" i="5" s="1"/>
  <c r="I97" i="9"/>
  <c r="H97" i="9"/>
  <c r="G97" i="9"/>
  <c r="F97" i="9"/>
  <c r="E97" i="9"/>
  <c r="D97" i="9"/>
  <c r="C97" i="9"/>
  <c r="B97" i="9"/>
  <c r="Z77" i="3" a="1"/>
  <c r="Z77" i="3" s="1"/>
  <c r="AE85" i="5" a="1"/>
  <c r="AE85" i="5" s="1"/>
  <c r="I33" i="9"/>
  <c r="H33" i="9"/>
  <c r="G33" i="9"/>
  <c r="F33" i="9"/>
  <c r="B33" i="9"/>
  <c r="E33" i="9"/>
  <c r="D33" i="9"/>
  <c r="C33" i="9"/>
  <c r="X54" i="3" a="1"/>
  <c r="X54" i="3" s="1"/>
  <c r="G79" i="15"/>
  <c r="G73" i="15"/>
  <c r="AE19" i="5" a="1"/>
  <c r="AE19" i="5" s="1"/>
  <c r="AG51" i="5" a="1"/>
  <c r="AG51" i="5" s="1"/>
  <c r="X68" i="3" a="1"/>
  <c r="X68" i="3" s="1"/>
  <c r="I78" i="9"/>
  <c r="H78" i="9"/>
  <c r="G78" i="9"/>
  <c r="F78" i="9"/>
  <c r="E78" i="9"/>
  <c r="D78" i="9"/>
  <c r="C78" i="9"/>
  <c r="B78" i="9"/>
  <c r="I80" i="9"/>
  <c r="H80" i="9"/>
  <c r="D80" i="9"/>
  <c r="C80" i="9"/>
  <c r="G80" i="9"/>
  <c r="F80" i="9"/>
  <c r="E80" i="9"/>
  <c r="B80" i="9"/>
  <c r="Z90" i="3" a="1"/>
  <c r="Z90" i="3" s="1"/>
  <c r="U17" i="16" a="1"/>
  <c r="U17" i="16" s="1"/>
  <c r="Q17" i="16" a="1"/>
  <c r="Q17" i="16" s="1"/>
  <c r="U28" i="16" a="1"/>
  <c r="U28" i="16" s="1"/>
  <c r="Q28" i="16" a="1"/>
  <c r="Q28" i="16" s="1"/>
  <c r="X89" i="3" a="1"/>
  <c r="X89" i="3" s="1"/>
  <c r="AG81" i="5" a="1"/>
  <c r="AG81" i="5" s="1"/>
  <c r="C105" i="9"/>
  <c r="B105" i="9"/>
  <c r="I105" i="9"/>
  <c r="H105" i="9"/>
  <c r="F105" i="9"/>
  <c r="E105" i="9"/>
  <c r="G105" i="9"/>
  <c r="D105" i="9"/>
  <c r="AE36" i="5" a="1"/>
  <c r="AE36" i="5" s="1"/>
  <c r="AE25" i="5" a="1"/>
  <c r="AE25" i="5" s="1"/>
  <c r="Q24" i="16" a="1"/>
  <c r="Q24" i="16" s="1"/>
  <c r="Z91" i="3" a="1"/>
  <c r="Z91" i="3" s="1"/>
  <c r="Z73" i="3" a="1"/>
  <c r="Z73" i="3" s="1"/>
  <c r="Z79" i="3" a="1"/>
  <c r="Z79" i="3" s="1"/>
  <c r="AO24" i="6"/>
  <c r="I26" i="8"/>
  <c r="X39" i="3" a="1"/>
  <c r="X39" i="3" s="1"/>
  <c r="AG79" i="5" a="1"/>
  <c r="AG79" i="5" s="1"/>
  <c r="I45" i="9"/>
  <c r="H45" i="9"/>
  <c r="G45" i="9"/>
  <c r="F45" i="9"/>
  <c r="E45" i="9"/>
  <c r="D45" i="9"/>
  <c r="C45" i="9"/>
  <c r="B45" i="9"/>
  <c r="Z48" i="3" a="1"/>
  <c r="Z48" i="3" s="1"/>
  <c r="B71" i="9"/>
  <c r="I71" i="9"/>
  <c r="H71" i="9"/>
  <c r="G71" i="9"/>
  <c r="F71" i="9"/>
  <c r="E71" i="9"/>
  <c r="D71" i="9"/>
  <c r="C71" i="9"/>
  <c r="Z43" i="3" a="1"/>
  <c r="Z43" i="3" s="1"/>
  <c r="U13" i="16" a="1"/>
  <c r="U13" i="16" s="1"/>
  <c r="Q13" i="16" a="1"/>
  <c r="Q13" i="16" s="1"/>
  <c r="Z18" i="3" a="1"/>
  <c r="Z18" i="3" s="1"/>
  <c r="I66" i="9"/>
  <c r="H66" i="9"/>
  <c r="G66" i="9"/>
  <c r="C66" i="9"/>
  <c r="B66" i="9"/>
  <c r="F66" i="9"/>
  <c r="E66" i="9"/>
  <c r="D66" i="9"/>
  <c r="D55" i="9"/>
  <c r="C55" i="9"/>
  <c r="B55" i="9"/>
  <c r="G55" i="9"/>
  <c r="F55" i="9"/>
  <c r="I55" i="9"/>
  <c r="H55" i="9"/>
  <c r="E55" i="9"/>
  <c r="G64" i="9"/>
  <c r="I64" i="9"/>
  <c r="H64" i="9"/>
  <c r="F64" i="9"/>
  <c r="E64" i="9"/>
  <c r="D64" i="9"/>
  <c r="C64" i="9"/>
  <c r="B64" i="9"/>
  <c r="AG37" i="5" a="1"/>
  <c r="AG37" i="5" s="1"/>
  <c r="AE34" i="5" a="1"/>
  <c r="AE34" i="5" s="1"/>
  <c r="U15" i="16" a="1"/>
  <c r="U15" i="16" s="1"/>
  <c r="Q15" i="16" a="1"/>
  <c r="Q15" i="16" s="1"/>
  <c r="U22" i="16" a="1"/>
  <c r="U22" i="16" s="1"/>
  <c r="Q22" i="16" a="1"/>
  <c r="Q22" i="16" s="1"/>
  <c r="X59" i="3" a="1"/>
  <c r="X59" i="3" s="1"/>
  <c r="F103" i="9"/>
  <c r="E103" i="9"/>
  <c r="D103" i="9"/>
  <c r="C103" i="9"/>
  <c r="B103" i="9"/>
  <c r="I103" i="9"/>
  <c r="H103" i="9"/>
  <c r="G103" i="9"/>
  <c r="X52" i="3" a="1"/>
  <c r="X52" i="3" s="1"/>
  <c r="AE5" i="5" a="1"/>
  <c r="AE5" i="5" s="1"/>
  <c r="Z46" i="3" a="1"/>
  <c r="Z46" i="3" s="1"/>
  <c r="I113" i="9"/>
  <c r="H113" i="9"/>
  <c r="G113" i="9"/>
  <c r="F113" i="9"/>
  <c r="E113" i="9"/>
  <c r="D113" i="9"/>
  <c r="C113" i="9"/>
  <c r="B113" i="9"/>
  <c r="X8" i="3" a="1"/>
  <c r="X8" i="3" s="1"/>
  <c r="B47" i="9"/>
  <c r="I47" i="9"/>
  <c r="H47" i="9"/>
  <c r="D47" i="9"/>
  <c r="C47" i="9"/>
  <c r="G47" i="9"/>
  <c r="F47" i="9"/>
  <c r="E47" i="9"/>
  <c r="X22" i="3" a="1"/>
  <c r="X22" i="3" s="1"/>
  <c r="X92" i="3" a="1"/>
  <c r="X92" i="3" s="1"/>
  <c r="K24" i="6"/>
  <c r="G27" i="6"/>
  <c r="K25" i="6"/>
  <c r="I26" i="7"/>
  <c r="BK24" i="7"/>
  <c r="AJ26" i="8"/>
  <c r="Z69" i="3" a="1"/>
  <c r="Z69" i="3" s="1"/>
  <c r="X33" i="3" a="1"/>
  <c r="X33" i="3" s="1"/>
  <c r="D83" i="9"/>
  <c r="B83" i="9"/>
  <c r="I83" i="9"/>
  <c r="H83" i="9"/>
  <c r="G83" i="9"/>
  <c r="F83" i="9"/>
  <c r="E83" i="9"/>
  <c r="C83" i="9"/>
  <c r="B59" i="9"/>
  <c r="I59" i="9"/>
  <c r="H59" i="9"/>
  <c r="G59" i="9"/>
  <c r="F59" i="9"/>
  <c r="E59" i="9"/>
  <c r="D59" i="9"/>
  <c r="C59" i="9"/>
  <c r="D49" i="9"/>
  <c r="E49" i="9"/>
  <c r="C49" i="9"/>
  <c r="B49" i="9"/>
  <c r="H49" i="9"/>
  <c r="G49" i="9"/>
  <c r="I49" i="9"/>
  <c r="F49" i="9"/>
  <c r="AE74" i="5" a="1"/>
  <c r="AE74" i="5" s="1"/>
  <c r="Z87" i="3" a="1"/>
  <c r="Z87" i="3" s="1"/>
  <c r="AE47" i="5" a="1"/>
  <c r="AE47" i="5" s="1"/>
  <c r="D73" i="9"/>
  <c r="I73" i="9"/>
  <c r="H73" i="9"/>
  <c r="C73" i="9"/>
  <c r="B73" i="9"/>
  <c r="G73" i="9"/>
  <c r="F73" i="9"/>
  <c r="E73" i="9"/>
  <c r="F99" i="9"/>
  <c r="E99" i="9"/>
  <c r="D99" i="9"/>
  <c r="I99" i="9"/>
  <c r="H99" i="9"/>
  <c r="G99" i="9"/>
  <c r="C99" i="9"/>
  <c r="B99" i="9"/>
  <c r="Q10" i="16" a="1"/>
  <c r="Q10" i="16" s="1"/>
  <c r="U10" i="16" a="1"/>
  <c r="U10" i="16" s="1"/>
  <c r="U27" i="16" a="1"/>
  <c r="U27" i="16" s="1"/>
  <c r="Q27" i="16" a="1"/>
  <c r="Q27" i="16" s="1"/>
  <c r="X69" i="3" a="1"/>
  <c r="X69" i="3" s="1"/>
  <c r="X79" i="3" a="1"/>
  <c r="X79" i="3" s="1"/>
  <c r="F111" i="9"/>
  <c r="E111" i="9"/>
  <c r="D111" i="9"/>
  <c r="I111" i="9"/>
  <c r="H111" i="9"/>
  <c r="G111" i="9"/>
  <c r="C111" i="9"/>
  <c r="B111" i="9"/>
  <c r="I54" i="9"/>
  <c r="B54" i="9"/>
  <c r="E54" i="9"/>
  <c r="D54" i="9"/>
  <c r="H54" i="9"/>
  <c r="G54" i="9"/>
  <c r="F54" i="9"/>
  <c r="C54" i="9"/>
  <c r="F73" i="15"/>
  <c r="F75" i="15"/>
  <c r="F79" i="15"/>
  <c r="X20" i="3" a="1"/>
  <c r="X20" i="3" s="1"/>
  <c r="X66" i="3" a="1"/>
  <c r="X66" i="3" s="1"/>
  <c r="X56" i="3" a="1"/>
  <c r="X56" i="3" s="1"/>
  <c r="E38" i="9"/>
  <c r="I38" i="9"/>
  <c r="H38" i="9"/>
  <c r="G38" i="9"/>
  <c r="F38" i="9"/>
  <c r="D38" i="9"/>
  <c r="C38" i="9"/>
  <c r="B38" i="9"/>
  <c r="AO25" i="6"/>
  <c r="Q24" i="6"/>
  <c r="AA27" i="6"/>
  <c r="AO27" i="6"/>
  <c r="I24" i="8"/>
  <c r="BB26" i="8"/>
  <c r="I34" i="9"/>
  <c r="H34" i="9"/>
  <c r="D34" i="9"/>
  <c r="C34" i="9"/>
  <c r="B34" i="9"/>
  <c r="G34" i="9"/>
  <c r="F34" i="9"/>
  <c r="E34" i="9"/>
  <c r="AG47" i="5" a="1"/>
  <c r="AG47" i="5" s="1"/>
  <c r="AG9" i="5" a="1"/>
  <c r="AG9" i="5" s="1"/>
  <c r="AG17" i="5" a="1"/>
  <c r="AG17" i="5" s="1"/>
  <c r="AG42" i="5" a="1"/>
  <c r="AG42" i="5" s="1"/>
  <c r="AG63" i="5" a="1"/>
  <c r="AG63" i="5" s="1"/>
  <c r="AG53" i="5" a="1"/>
  <c r="AG53" i="5" s="1"/>
  <c r="AG45" i="5" a="1"/>
  <c r="AG45" i="5" s="1"/>
  <c r="AG57" i="5" a="1"/>
  <c r="AG57" i="5" s="1"/>
  <c r="AG12" i="5" a="1"/>
  <c r="AG12" i="5" s="1"/>
  <c r="AG78" i="5" a="1"/>
  <c r="AG78" i="5" s="1"/>
  <c r="AG73" i="5" a="1"/>
  <c r="AG73" i="5" s="1"/>
  <c r="AG13" i="5" a="1"/>
  <c r="AG13" i="5" s="1"/>
  <c r="AG87" i="5" a="1"/>
  <c r="AG87" i="5" s="1"/>
  <c r="AG34" i="5" a="1"/>
  <c r="AG34" i="5" s="1"/>
  <c r="AG39" i="5" a="1"/>
  <c r="AG39" i="5" s="1"/>
  <c r="AG52" i="5" a="1"/>
  <c r="AG52" i="5" s="1"/>
  <c r="AG56" i="5" a="1"/>
  <c r="AG56" i="5" s="1"/>
  <c r="AG41" i="5" a="1"/>
  <c r="AG41" i="5" s="1"/>
  <c r="AG24" i="5" a="1"/>
  <c r="AG24" i="5" s="1"/>
  <c r="AG36" i="5" a="1"/>
  <c r="AG36" i="5" s="1"/>
  <c r="AG40" i="5" a="1"/>
  <c r="AG40" i="5" s="1"/>
  <c r="AG8" i="5" a="1"/>
  <c r="AG8" i="5" s="1"/>
  <c r="AG31" i="5" a="1"/>
  <c r="AG31" i="5" s="1"/>
  <c r="AG21" i="5" a="1"/>
  <c r="AG21" i="5" s="1"/>
  <c r="AG33" i="5" a="1"/>
  <c r="AG33" i="5" s="1"/>
  <c r="AG66" i="5" a="1"/>
  <c r="AG66" i="5" s="1"/>
  <c r="AG28" i="5" a="1"/>
  <c r="AG28" i="5" s="1"/>
  <c r="AG15" i="5" a="1"/>
  <c r="AG15" i="5" s="1"/>
  <c r="AG30" i="5" a="1"/>
  <c r="AG30" i="5" s="1"/>
  <c r="AG77" i="5" a="1"/>
  <c r="AG77" i="5" s="1"/>
  <c r="AG11" i="5" a="1"/>
  <c r="AG11" i="5" s="1"/>
  <c r="AG68" i="5" a="1"/>
  <c r="AG68" i="5" s="1"/>
  <c r="AG83" i="5" a="1"/>
  <c r="AG83" i="5" s="1"/>
  <c r="AG20" i="5" a="1"/>
  <c r="AG20" i="5" s="1"/>
  <c r="AG62" i="5" a="1"/>
  <c r="AG62" i="5" s="1"/>
  <c r="AG46" i="5" a="1"/>
  <c r="AG46" i="5" s="1"/>
  <c r="AG4" i="5" a="1"/>
  <c r="AG4" i="5" s="1"/>
  <c r="AG71" i="5" a="1"/>
  <c r="AG71" i="5" s="1"/>
  <c r="AG22" i="5" a="1"/>
  <c r="AG22" i="5" s="1"/>
  <c r="AG43" i="5" a="1"/>
  <c r="AG43" i="5" s="1"/>
  <c r="AG29" i="5" a="1"/>
  <c r="AG29" i="5" s="1"/>
  <c r="AG59" i="5" a="1"/>
  <c r="AG59" i="5" s="1"/>
  <c r="AG74" i="5" a="1"/>
  <c r="AG74" i="5" s="1"/>
  <c r="AG48" i="5" a="1"/>
  <c r="AG48" i="5" s="1"/>
  <c r="AG72" i="5" a="1"/>
  <c r="AG72" i="5" s="1"/>
  <c r="AG84" i="5" a="1"/>
  <c r="AG84" i="5" s="1"/>
  <c r="AG64" i="5" a="1"/>
  <c r="AG64" i="5" s="1"/>
  <c r="AG32" i="5" a="1"/>
  <c r="AG32" i="5" s="1"/>
  <c r="AG75" i="5" a="1"/>
  <c r="AG75" i="5" s="1"/>
  <c r="AG70" i="5" a="1"/>
  <c r="AG70" i="5" s="1"/>
  <c r="AG44" i="5" a="1"/>
  <c r="AG44" i="5" s="1"/>
  <c r="AG23" i="5" a="1"/>
  <c r="AG23" i="5" s="1"/>
  <c r="AG19" i="5" a="1"/>
  <c r="AG19" i="5" s="1"/>
  <c r="AE63" i="5" a="1"/>
  <c r="AE63" i="5" s="1"/>
  <c r="AG16" i="5" a="1"/>
  <c r="AG16" i="5" s="1"/>
  <c r="Z56" i="3" a="1"/>
  <c r="Z56" i="3" s="1"/>
  <c r="C81" i="9"/>
  <c r="B81" i="9"/>
  <c r="F81" i="9"/>
  <c r="E81" i="9"/>
  <c r="G81" i="9"/>
  <c r="D81" i="9"/>
  <c r="I81" i="9"/>
  <c r="H81" i="9"/>
  <c r="F95" i="9"/>
  <c r="E95" i="9"/>
  <c r="D95" i="9"/>
  <c r="I95" i="9"/>
  <c r="H95" i="9"/>
  <c r="G95" i="9"/>
  <c r="C95" i="9"/>
  <c r="B95" i="9"/>
  <c r="I92" i="9"/>
  <c r="H92" i="9"/>
  <c r="G92" i="9"/>
  <c r="F92" i="9"/>
  <c r="E92" i="9"/>
  <c r="D92" i="9"/>
  <c r="C92" i="9"/>
  <c r="B92" i="9"/>
  <c r="AG76" i="5" a="1"/>
  <c r="AG76" i="5" s="1"/>
  <c r="U6" i="16" a="1"/>
  <c r="U6" i="16" s="1"/>
  <c r="Q6" i="16" a="1"/>
  <c r="Q6" i="16" s="1"/>
  <c r="U33" i="16" a="1"/>
  <c r="U33" i="16" s="1"/>
  <c r="Q33" i="16" a="1"/>
  <c r="Q33" i="16" s="1"/>
  <c r="C48" i="9"/>
  <c r="B48" i="9"/>
  <c r="F48" i="9"/>
  <c r="E48" i="9"/>
  <c r="I48" i="9"/>
  <c r="H48" i="9"/>
  <c r="G48" i="9"/>
  <c r="D48" i="9"/>
  <c r="Z40" i="3" a="1"/>
  <c r="Z40" i="3" s="1"/>
  <c r="AE69" i="5" a="1"/>
  <c r="AE69" i="5" s="1"/>
  <c r="G70" i="9"/>
  <c r="F70" i="9"/>
  <c r="E70" i="9"/>
  <c r="D70" i="9"/>
  <c r="C70" i="9"/>
  <c r="B70" i="9"/>
  <c r="I70" i="9"/>
  <c r="H70" i="9"/>
  <c r="AG86" i="5" a="1"/>
  <c r="AG86" i="5" s="1"/>
  <c r="AG14" i="5" a="1"/>
  <c r="AG14" i="5" s="1"/>
  <c r="B67" i="9"/>
  <c r="I67" i="9"/>
  <c r="E67" i="9"/>
  <c r="D67" i="9"/>
  <c r="H67" i="9"/>
  <c r="G67" i="9"/>
  <c r="F67" i="9"/>
  <c r="C67" i="9"/>
  <c r="Z85" i="3" a="1"/>
  <c r="Z85" i="3" s="1"/>
  <c r="BK26" i="7"/>
  <c r="AJ24" i="7"/>
  <c r="AJ27" i="7"/>
  <c r="BK26" i="8"/>
  <c r="U12" i="16" a="1"/>
  <c r="U12" i="16" s="1"/>
  <c r="Z49" i="3" a="1"/>
  <c r="Z49" i="3" s="1"/>
  <c r="F63" i="9"/>
  <c r="G63" i="9"/>
  <c r="E63" i="9"/>
  <c r="D63" i="9"/>
  <c r="C63" i="9"/>
  <c r="B63" i="9"/>
  <c r="I63" i="9"/>
  <c r="H63" i="9"/>
  <c r="AG26" i="5" a="1"/>
  <c r="AG26" i="5" s="1"/>
  <c r="F107" i="9"/>
  <c r="E107" i="9"/>
  <c r="D107" i="9"/>
  <c r="I107" i="9"/>
  <c r="H107" i="9"/>
  <c r="C107" i="9"/>
  <c r="B107" i="9"/>
  <c r="G107" i="9"/>
  <c r="C98" i="9"/>
  <c r="B98" i="9"/>
  <c r="I98" i="9"/>
  <c r="H98" i="9"/>
  <c r="F98" i="9"/>
  <c r="E98" i="9"/>
  <c r="G98" i="9"/>
  <c r="D98" i="9"/>
  <c r="C94" i="9"/>
  <c r="B94" i="9"/>
  <c r="F94" i="9"/>
  <c r="E94" i="9"/>
  <c r="D94" i="9"/>
  <c r="I94" i="9"/>
  <c r="H94" i="9"/>
  <c r="G94" i="9"/>
  <c r="Q23" i="16" a="1"/>
  <c r="Q23" i="16" s="1"/>
  <c r="U23" i="16" a="1"/>
  <c r="U23" i="16" s="1"/>
  <c r="U3" i="16" a="1"/>
  <c r="U3" i="16" s="1"/>
  <c r="Q3" i="16" a="1"/>
  <c r="Q3" i="16" s="1"/>
  <c r="I88" i="9"/>
  <c r="G88" i="9"/>
  <c r="H88" i="9"/>
  <c r="F88" i="9"/>
  <c r="E88" i="9"/>
  <c r="C88" i="9"/>
  <c r="B88" i="9"/>
  <c r="D88" i="9"/>
  <c r="AG6" i="5" a="1"/>
  <c r="AG6" i="5" s="1"/>
  <c r="AG49" i="5" a="1"/>
  <c r="AG49" i="5" s="1"/>
  <c r="Z36" i="3" a="1"/>
  <c r="Z36" i="3" s="1"/>
  <c r="I58" i="9"/>
  <c r="H58" i="9"/>
  <c r="G58" i="9"/>
  <c r="F58" i="9"/>
  <c r="E58" i="9"/>
  <c r="D58" i="9"/>
  <c r="C58" i="9"/>
  <c r="B58" i="9"/>
  <c r="Z60" i="3" a="1"/>
  <c r="Z60" i="3" s="1"/>
  <c r="Z63" i="3" a="1"/>
  <c r="Z63" i="3" s="1"/>
  <c r="Z51" i="3" a="1"/>
  <c r="Z51" i="3" s="1"/>
  <c r="Z64" i="3" a="1"/>
  <c r="Z64" i="3" s="1"/>
  <c r="Z45" i="3" a="1"/>
  <c r="Z45" i="3" s="1"/>
  <c r="Z38" i="3" a="1"/>
  <c r="Z38" i="3" s="1"/>
  <c r="Z65" i="3" a="1"/>
  <c r="Z65" i="3" s="1"/>
  <c r="Z17" i="3" a="1"/>
  <c r="Z17" i="3" s="1"/>
  <c r="Z83" i="3" a="1"/>
  <c r="Z83" i="3" s="1"/>
  <c r="Z59" i="3" a="1"/>
  <c r="Z59" i="3" s="1"/>
  <c r="Z10" i="3" a="1"/>
  <c r="Z10" i="3" s="1"/>
  <c r="Z5" i="3" a="1"/>
  <c r="Z5" i="3" s="1"/>
  <c r="Z50" i="3" a="1"/>
  <c r="Z50" i="3" s="1"/>
  <c r="Z16" i="3" a="1"/>
  <c r="Z16" i="3" s="1"/>
  <c r="Z32" i="3" a="1"/>
  <c r="Z32" i="3" s="1"/>
  <c r="Z72" i="3" a="1"/>
  <c r="Z72" i="3" s="1"/>
  <c r="Z37" i="3" a="1"/>
  <c r="Z37" i="3" s="1"/>
  <c r="Z23" i="3" a="1"/>
  <c r="Z23" i="3" s="1"/>
  <c r="Z84" i="3" a="1"/>
  <c r="Z84" i="3" s="1"/>
  <c r="Z15" i="3" a="1"/>
  <c r="Z15" i="3" s="1"/>
  <c r="Z89" i="3" a="1"/>
  <c r="Z89" i="3" s="1"/>
  <c r="Z24" i="3" a="1"/>
  <c r="Z24" i="3" s="1"/>
  <c r="Z81" i="3" a="1"/>
  <c r="Z81" i="3" s="1"/>
  <c r="Z75" i="3" a="1"/>
  <c r="Z75" i="3" s="1"/>
  <c r="Z12" i="3" a="1"/>
  <c r="Z12" i="3" s="1"/>
  <c r="Z33" i="3" a="1"/>
  <c r="Z33" i="3" s="1"/>
  <c r="Z82" i="3" a="1"/>
  <c r="Z82" i="3" s="1"/>
  <c r="Z25" i="3" a="1"/>
  <c r="Z25" i="3" s="1"/>
  <c r="Z9" i="3" a="1"/>
  <c r="Z9" i="3" s="1"/>
  <c r="Z47" i="3" a="1"/>
  <c r="Z47" i="3" s="1"/>
  <c r="Z52" i="3" a="1"/>
  <c r="Z52" i="3" s="1"/>
  <c r="Z7" i="3" a="1"/>
  <c r="Z7" i="3" s="1"/>
  <c r="Z88" i="3" a="1"/>
  <c r="Z88" i="3" s="1"/>
  <c r="Z35" i="3" a="1"/>
  <c r="Z35" i="3" s="1"/>
  <c r="Z30" i="3" a="1"/>
  <c r="Z30" i="3" s="1"/>
  <c r="Z26" i="3" a="1"/>
  <c r="Z26" i="3" s="1"/>
  <c r="Z62" i="3" a="1"/>
  <c r="Z62" i="3" s="1"/>
  <c r="Z39" i="3" a="1"/>
  <c r="Z39" i="3" s="1"/>
  <c r="Z67" i="3" a="1"/>
  <c r="Z67" i="3" s="1"/>
  <c r="Z76" i="3" a="1"/>
  <c r="Z76" i="3" s="1"/>
  <c r="Z44" i="3" a="1"/>
  <c r="Z44" i="3" s="1"/>
  <c r="Z6" i="3" a="1"/>
  <c r="Z6" i="3" s="1"/>
  <c r="BB26" i="7"/>
  <c r="BB24" i="8"/>
  <c r="BT26" i="8"/>
  <c r="H75" i="15"/>
  <c r="H79" i="15"/>
  <c r="G52" i="9"/>
  <c r="I52" i="9"/>
  <c r="H52" i="9"/>
  <c r="F52" i="9"/>
  <c r="E52" i="9"/>
  <c r="B52" i="9"/>
  <c r="D52" i="9"/>
  <c r="C52" i="9"/>
  <c r="AE58" i="5" a="1"/>
  <c r="AE58" i="5" s="1"/>
  <c r="C110" i="9"/>
  <c r="B110" i="9"/>
  <c r="F110" i="9"/>
  <c r="E110" i="9"/>
  <c r="D110" i="9"/>
  <c r="I110" i="9"/>
  <c r="H110" i="9"/>
  <c r="G110" i="9"/>
  <c r="U19" i="16" a="1"/>
  <c r="U19" i="16" s="1"/>
  <c r="Q19" i="16" a="1"/>
  <c r="Q19" i="16" s="1"/>
  <c r="G40" i="9"/>
  <c r="I40" i="9"/>
  <c r="H40" i="9"/>
  <c r="C40" i="9"/>
  <c r="B40" i="9"/>
  <c r="F40" i="9"/>
  <c r="E40" i="9"/>
  <c r="D40" i="9"/>
  <c r="Z41" i="3" a="1"/>
  <c r="Z41" i="3" s="1"/>
  <c r="Z20" i="3" a="1"/>
  <c r="Z20" i="3" s="1"/>
  <c r="U34" i="16" a="1"/>
  <c r="U34" i="16" s="1"/>
  <c r="Q34" i="16" a="1"/>
  <c r="Q34" i="16" s="1"/>
  <c r="U5" i="16" a="1"/>
  <c r="U5" i="16" s="1"/>
  <c r="Q5" i="16" a="1"/>
  <c r="Q5" i="16" s="1"/>
  <c r="Z34" i="3" a="1"/>
  <c r="Z34" i="3" s="1"/>
  <c r="X24" i="3" a="1"/>
  <c r="X24" i="3" s="1"/>
  <c r="X65" i="3" a="1"/>
  <c r="X65" i="3" s="1"/>
  <c r="X10" i="3" a="1"/>
  <c r="X10" i="3" s="1"/>
  <c r="X7" i="3" a="1"/>
  <c r="X7" i="3" s="1"/>
  <c r="X44" i="3" a="1"/>
  <c r="X44" i="3" s="1"/>
  <c r="X12" i="3" a="1"/>
  <c r="X12" i="3" s="1"/>
  <c r="X51" i="3" a="1"/>
  <c r="X51" i="3" s="1"/>
  <c r="X83" i="3" a="1"/>
  <c r="X83" i="3" s="1"/>
  <c r="X80" i="3" a="1"/>
  <c r="X80" i="3" s="1"/>
  <c r="X27" i="3" a="1"/>
  <c r="X27" i="3" s="1"/>
  <c r="X61" i="3" a="1"/>
  <c r="X61" i="3" s="1"/>
  <c r="X78" i="3" a="1"/>
  <c r="X78" i="3" s="1"/>
  <c r="X45" i="3" a="1"/>
  <c r="X45" i="3" s="1"/>
  <c r="X87" i="3" a="1"/>
  <c r="X87" i="3" s="1"/>
  <c r="X71" i="3" a="1"/>
  <c r="X71" i="3" s="1"/>
  <c r="X25" i="3" a="1"/>
  <c r="X25" i="3" s="1"/>
  <c r="X91" i="3" a="1"/>
  <c r="X91" i="3" s="1"/>
  <c r="X17" i="3" a="1"/>
  <c r="X17" i="3" s="1"/>
  <c r="X30" i="3" a="1"/>
  <c r="X30" i="3" s="1"/>
  <c r="X36" i="3" a="1"/>
  <c r="X36" i="3" s="1"/>
  <c r="X73" i="3" a="1"/>
  <c r="X73" i="3" s="1"/>
  <c r="X38" i="3" a="1"/>
  <c r="X38" i="3" s="1"/>
  <c r="X86" i="3" a="1"/>
  <c r="X86" i="3" s="1"/>
  <c r="X9" i="3" a="1"/>
  <c r="X9" i="3" s="1"/>
  <c r="X13" i="3" a="1"/>
  <c r="X13" i="3" s="1"/>
  <c r="X84" i="3" a="1"/>
  <c r="X84" i="3" s="1"/>
  <c r="X14" i="3" a="1"/>
  <c r="X14" i="3" s="1"/>
  <c r="X63" i="3" a="1"/>
  <c r="X63" i="3" s="1"/>
  <c r="X74" i="3" a="1"/>
  <c r="X74" i="3" s="1"/>
  <c r="X18" i="3" a="1"/>
  <c r="X18" i="3" s="1"/>
  <c r="X5" i="3" a="1"/>
  <c r="X5" i="3" s="1"/>
  <c r="X62" i="3" a="1"/>
  <c r="X62" i="3" s="1"/>
  <c r="X28" i="3" a="1"/>
  <c r="X28" i="3" s="1"/>
  <c r="X32" i="3" a="1"/>
  <c r="X32" i="3" s="1"/>
  <c r="X81" i="3" a="1"/>
  <c r="X81" i="3" s="1"/>
  <c r="X37" i="3" a="1"/>
  <c r="X37" i="3" s="1"/>
  <c r="G86" i="9"/>
  <c r="E86" i="9"/>
  <c r="D86" i="9"/>
  <c r="C86" i="9"/>
  <c r="B86" i="9"/>
  <c r="I86" i="9"/>
  <c r="H86" i="9"/>
  <c r="F86" i="9"/>
  <c r="X21" i="3" a="1"/>
  <c r="X21" i="3" s="1"/>
  <c r="AG60" i="5" a="1"/>
  <c r="AG60" i="5" s="1"/>
  <c r="Z28" i="3" a="1"/>
  <c r="Z28" i="3" s="1"/>
  <c r="AG10" i="5" a="1"/>
  <c r="AG10" i="5" s="1"/>
  <c r="BK27" i="7"/>
  <c r="BT26" i="7"/>
  <c r="BK24" i="8"/>
  <c r="I27" i="8"/>
  <c r="X90" i="3" a="1"/>
  <c r="X90" i="3" s="1"/>
  <c r="X49" i="3" a="1"/>
  <c r="X49" i="3" s="1"/>
  <c r="X57" i="3" a="1"/>
  <c r="X57" i="3" s="1"/>
  <c r="E69" i="9"/>
  <c r="D69" i="9"/>
  <c r="C69" i="9"/>
  <c r="B69" i="9"/>
  <c r="H69" i="9"/>
  <c r="G69" i="9"/>
  <c r="I69" i="9"/>
  <c r="F69" i="9"/>
  <c r="Z53" i="3" a="1"/>
  <c r="Z53" i="3" s="1"/>
  <c r="AG69" i="5" a="1"/>
  <c r="AG69" i="5" s="1"/>
  <c r="Z70" i="3" a="1"/>
  <c r="Z70" i="3" s="1"/>
  <c r="C72" i="9"/>
  <c r="I72" i="9"/>
  <c r="H72" i="9"/>
  <c r="G72" i="9"/>
  <c r="F72" i="9"/>
  <c r="E72" i="9"/>
  <c r="D72" i="9"/>
  <c r="B72" i="9"/>
  <c r="X43" i="3" a="1"/>
  <c r="X43" i="3" s="1"/>
  <c r="Z8" i="3" a="1"/>
  <c r="Z8" i="3" s="1"/>
  <c r="E62" i="9"/>
  <c r="D62" i="9"/>
  <c r="C62" i="9"/>
  <c r="B62" i="9"/>
  <c r="H62" i="9"/>
  <c r="G62" i="9"/>
  <c r="I62" i="9"/>
  <c r="F62" i="9"/>
  <c r="G57" i="9"/>
  <c r="F57" i="9"/>
  <c r="E57" i="9"/>
  <c r="D57" i="9"/>
  <c r="C57" i="9"/>
  <c r="B57" i="9"/>
  <c r="I57" i="9"/>
  <c r="H57" i="9"/>
  <c r="X75" i="3" a="1"/>
  <c r="X75" i="3" s="1"/>
  <c r="I96" i="9"/>
  <c r="H96" i="9"/>
  <c r="G96" i="9"/>
  <c r="C96" i="9"/>
  <c r="B96" i="9"/>
  <c r="F96" i="9"/>
  <c r="E96" i="9"/>
  <c r="D96" i="9"/>
  <c r="U39" i="16" a="1"/>
  <c r="U39" i="16" s="1"/>
  <c r="Q39" i="16" a="1"/>
  <c r="Q39" i="16" s="1"/>
  <c r="U8" i="16" a="1"/>
  <c r="U8" i="16" s="1"/>
  <c r="Q8" i="16" a="1"/>
  <c r="Q8" i="16" s="1"/>
  <c r="X35" i="3" a="1"/>
  <c r="X35" i="3" s="1"/>
  <c r="CE6" i="9"/>
  <c r="Z74" i="3" a="1"/>
  <c r="Z74" i="3" s="1"/>
  <c r="X47" i="3" a="1"/>
  <c r="X47" i="3" s="1"/>
  <c r="X88" i="3" a="1"/>
  <c r="X88" i="3" s="1"/>
  <c r="X41" i="3" a="1"/>
  <c r="X41" i="3" s="1"/>
  <c r="Z80" i="3" a="1"/>
  <c r="Z80" i="3" s="1"/>
  <c r="Q27" i="6"/>
  <c r="BB24" i="7"/>
  <c r="BT24" i="8"/>
  <c r="AJ27" i="8"/>
  <c r="E50" i="9"/>
  <c r="G50" i="9"/>
  <c r="F50" i="9"/>
  <c r="D50" i="9"/>
  <c r="C50" i="9"/>
  <c r="B50" i="9"/>
  <c r="I50" i="9"/>
  <c r="H50" i="9"/>
  <c r="U30" i="16" a="1"/>
  <c r="U30" i="16" s="1"/>
  <c r="Q30" i="16" a="1"/>
  <c r="Q30" i="16" s="1"/>
  <c r="Q4" i="16" a="1"/>
  <c r="Q4" i="16" s="1"/>
  <c r="U4" i="16" a="1"/>
  <c r="U4" i="16" s="1"/>
  <c r="I79" i="9"/>
  <c r="H79" i="9"/>
  <c r="G79" i="9"/>
  <c r="C79" i="9"/>
  <c r="B79" i="9"/>
  <c r="F79" i="9"/>
  <c r="E79" i="9"/>
  <c r="D79" i="9"/>
  <c r="F101" i="9"/>
  <c r="E101" i="9"/>
  <c r="D101" i="9"/>
  <c r="C101" i="9"/>
  <c r="B101" i="9"/>
  <c r="I101" i="9"/>
  <c r="H101" i="9"/>
  <c r="G101" i="9"/>
  <c r="I112" i="9"/>
  <c r="H112" i="9"/>
  <c r="G112" i="9"/>
  <c r="C112" i="9"/>
  <c r="B112" i="9"/>
  <c r="F112" i="9"/>
  <c r="E112" i="9"/>
  <c r="D112" i="9"/>
  <c r="Q25" i="16" a="1"/>
  <c r="Q25" i="16" s="1"/>
  <c r="U25" i="16" a="1"/>
  <c r="U25" i="16" s="1"/>
  <c r="I25" i="8"/>
  <c r="BB27" i="8"/>
  <c r="C114" i="9"/>
  <c r="B114" i="9"/>
  <c r="I114" i="9"/>
  <c r="H114" i="9"/>
  <c r="F114" i="9"/>
  <c r="E114" i="9"/>
  <c r="G114" i="9"/>
  <c r="D114" i="9"/>
  <c r="I42" i="9"/>
  <c r="D42" i="9"/>
  <c r="C42" i="9"/>
  <c r="B42" i="9"/>
  <c r="G42" i="9"/>
  <c r="F42" i="9"/>
  <c r="H42" i="9"/>
  <c r="E42" i="9"/>
  <c r="I109" i="9"/>
  <c r="H109" i="9"/>
  <c r="G109" i="9"/>
  <c r="F109" i="9"/>
  <c r="E109" i="9"/>
  <c r="C109" i="9"/>
  <c r="B109" i="9"/>
  <c r="D109" i="9"/>
  <c r="F51" i="9"/>
  <c r="I51" i="9"/>
  <c r="H51" i="9"/>
  <c r="G51" i="9"/>
  <c r="E51" i="9"/>
  <c r="D51" i="9"/>
  <c r="C51" i="9"/>
  <c r="B51" i="9"/>
  <c r="C89" i="9"/>
  <c r="B89" i="9"/>
  <c r="F89" i="9"/>
  <c r="E89" i="9"/>
  <c r="I89" i="9"/>
  <c r="H89" i="9"/>
  <c r="G89" i="9"/>
  <c r="D89" i="9"/>
  <c r="H41" i="9"/>
  <c r="B41" i="9"/>
  <c r="E41" i="9"/>
  <c r="D41" i="9"/>
  <c r="I41" i="9"/>
  <c r="G41" i="9"/>
  <c r="F41" i="9"/>
  <c r="C41" i="9"/>
  <c r="Q18" i="16" a="1"/>
  <c r="Q18" i="16" s="1"/>
  <c r="U18" i="16" a="1"/>
  <c r="U18" i="16" s="1"/>
  <c r="U20" i="16" a="1"/>
  <c r="U20" i="16" s="1"/>
  <c r="Q20" i="16" a="1"/>
  <c r="Q20" i="16" s="1"/>
  <c r="I93" i="9"/>
  <c r="H93" i="9"/>
  <c r="G93" i="9"/>
  <c r="E93" i="9"/>
  <c r="C93" i="9"/>
  <c r="B93" i="9"/>
  <c r="F93" i="9"/>
  <c r="D93" i="9"/>
  <c r="AJ25" i="8"/>
  <c r="BK27" i="8"/>
  <c r="G75" i="15"/>
  <c r="H53" i="9"/>
  <c r="I53" i="9"/>
  <c r="G53" i="9"/>
  <c r="C53" i="9"/>
  <c r="B53" i="9"/>
  <c r="F53" i="9"/>
  <c r="E53" i="9"/>
  <c r="D53" i="9"/>
  <c r="Q35" i="16" a="1"/>
  <c r="Q35" i="16" s="1"/>
  <c r="U35" i="16" a="1"/>
  <c r="U35" i="16" s="1"/>
  <c r="E56" i="9"/>
  <c r="D56" i="9"/>
  <c r="C56" i="9"/>
  <c r="B56" i="9"/>
  <c r="H56" i="9"/>
  <c r="G56" i="9"/>
  <c r="I56" i="9"/>
  <c r="F56" i="9"/>
  <c r="X50" i="3" a="1"/>
  <c r="X50" i="3" s="1"/>
  <c r="H77" i="9"/>
  <c r="I77" i="9"/>
  <c r="G77" i="9"/>
  <c r="F77" i="9"/>
  <c r="E77" i="9"/>
  <c r="D77" i="9"/>
  <c r="C77" i="9"/>
  <c r="B77" i="9"/>
  <c r="H65" i="9"/>
  <c r="I65" i="9"/>
  <c r="G65" i="9"/>
  <c r="F65" i="9"/>
  <c r="E65" i="9"/>
  <c r="D65" i="9"/>
  <c r="C65" i="9"/>
  <c r="B65" i="9"/>
  <c r="AG58" i="5" a="1"/>
  <c r="AG58" i="5" s="1"/>
  <c r="G76" i="9"/>
  <c r="F76" i="9"/>
  <c r="E76" i="9"/>
  <c r="D76" i="9"/>
  <c r="C76" i="9"/>
  <c r="B76" i="9"/>
  <c r="I76" i="9"/>
  <c r="H76" i="9"/>
  <c r="X16" i="3" a="1"/>
  <c r="X16" i="3" s="1"/>
  <c r="AG82" i="5" a="1"/>
  <c r="AG82" i="5" s="1"/>
  <c r="AE62" i="5" a="1"/>
  <c r="AE62" i="5" s="1"/>
  <c r="AE80" i="5" a="1"/>
  <c r="AE80" i="5" s="1"/>
  <c r="AE67" i="5" a="1"/>
  <c r="AE67" i="5" s="1"/>
  <c r="AE38" i="5" a="1"/>
  <c r="AE38" i="5" s="1"/>
  <c r="AE4" i="5" a="1"/>
  <c r="AE4" i="5" s="1"/>
  <c r="AE66" i="5" a="1"/>
  <c r="AE66" i="5" s="1"/>
  <c r="AE56" i="5" a="1"/>
  <c r="AE56" i="5" s="1"/>
  <c r="AE20" i="5" a="1"/>
  <c r="AE20" i="5" s="1"/>
  <c r="AE42" i="5" a="1"/>
  <c r="AE42" i="5" s="1"/>
  <c r="AE75" i="5" a="1"/>
  <c r="AE75" i="5" s="1"/>
  <c r="AE31" i="5" a="1"/>
  <c r="AE31" i="5" s="1"/>
  <c r="AE61" i="5" a="1"/>
  <c r="AE61" i="5" s="1"/>
  <c r="AE55" i="5" a="1"/>
  <c r="AE55" i="5" s="1"/>
  <c r="AE82" i="5" a="1"/>
  <c r="AE82" i="5" s="1"/>
  <c r="AE17" i="5" a="1"/>
  <c r="AE17" i="5" s="1"/>
  <c r="AE68" i="5" a="1"/>
  <c r="AE68" i="5" s="1"/>
  <c r="AE43" i="5" a="1"/>
  <c r="AE43" i="5" s="1"/>
  <c r="AE60" i="5" a="1"/>
  <c r="AE60" i="5" s="1"/>
  <c r="AE32" i="5" a="1"/>
  <c r="AE32" i="5" s="1"/>
  <c r="AE87" i="5" a="1"/>
  <c r="AE87" i="5" s="1"/>
  <c r="AE72" i="5" a="1"/>
  <c r="AE72" i="5" s="1"/>
  <c r="AE23" i="5" a="1"/>
  <c r="AE23" i="5" s="1"/>
  <c r="AE53" i="5" a="1"/>
  <c r="AE53" i="5" s="1"/>
  <c r="AE54" i="5" a="1"/>
  <c r="AE54" i="5" s="1"/>
  <c r="AE9" i="5" a="1"/>
  <c r="AE9" i="5" s="1"/>
  <c r="AE12" i="5" a="1"/>
  <c r="AE12" i="5" s="1"/>
  <c r="AE52" i="5" a="1"/>
  <c r="AE52" i="5" s="1"/>
  <c r="AE50" i="5" a="1"/>
  <c r="AE50" i="5" s="1"/>
  <c r="AE11" i="5" a="1"/>
  <c r="AE11" i="5" s="1"/>
  <c r="AE49" i="5" a="1"/>
  <c r="AE49" i="5" s="1"/>
  <c r="AE22" i="5" a="1"/>
  <c r="AE22" i="5" s="1"/>
  <c r="AE64" i="5" a="1"/>
  <c r="AE64" i="5" s="1"/>
  <c r="AE8" i="5" a="1"/>
  <c r="AE8" i="5" s="1"/>
  <c r="AE45" i="5" a="1"/>
  <c r="AE45" i="5" s="1"/>
  <c r="AE51" i="5" a="1"/>
  <c r="AE51" i="5" s="1"/>
  <c r="AE59" i="5" a="1"/>
  <c r="AE59" i="5" s="1"/>
  <c r="AE46" i="5" a="1"/>
  <c r="AE46" i="5" s="1"/>
  <c r="AE35" i="5" a="1"/>
  <c r="AE35" i="5" s="1"/>
  <c r="AE13" i="5" a="1"/>
  <c r="AE13" i="5" s="1"/>
  <c r="AE16" i="5" a="1"/>
  <c r="AE16" i="5" s="1"/>
  <c r="AE30" i="5" a="1"/>
  <c r="AE30" i="5" s="1"/>
  <c r="AE81" i="5" a="1"/>
  <c r="AE81" i="5" s="1"/>
  <c r="AE83" i="5" a="1"/>
  <c r="AE83" i="5" s="1"/>
  <c r="AE73" i="5" a="1"/>
  <c r="AE73" i="5" s="1"/>
  <c r="AE29" i="5" a="1"/>
  <c r="AE29" i="5" s="1"/>
  <c r="AE33" i="5" a="1"/>
  <c r="AE33" i="5" s="1"/>
  <c r="AE57" i="5" a="1"/>
  <c r="AE57" i="5" s="1"/>
  <c r="AE39" i="5" a="1"/>
  <c r="AE39" i="5" s="1"/>
  <c r="AE44" i="5" a="1"/>
  <c r="AE44" i="5" s="1"/>
  <c r="AE26" i="5" a="1"/>
  <c r="AE26" i="5" s="1"/>
  <c r="AE14" i="5" a="1"/>
  <c r="AE14" i="5" s="1"/>
  <c r="AE37" i="5" a="1"/>
  <c r="AE37" i="5" s="1"/>
  <c r="AE86" i="5" a="1"/>
  <c r="AE86" i="5" s="1"/>
  <c r="AE21" i="5" a="1"/>
  <c r="AE21" i="5" s="1"/>
  <c r="AE24" i="5" a="1"/>
  <c r="AE24" i="5" s="1"/>
  <c r="AE7" i="5" a="1"/>
  <c r="AE7" i="5" s="1"/>
  <c r="AE10" i="5" a="1"/>
  <c r="AE10" i="5" s="1"/>
  <c r="F85" i="9"/>
  <c r="D85" i="9"/>
  <c r="E85" i="9"/>
  <c r="C85" i="9"/>
  <c r="I85" i="9"/>
  <c r="H85" i="9"/>
  <c r="G85" i="9"/>
  <c r="B85" i="9"/>
  <c r="U21" i="16" a="1"/>
  <c r="U21" i="16" s="1"/>
  <c r="Q21" i="16" a="1"/>
  <c r="Q21" i="16" s="1"/>
  <c r="AE78" i="5" a="1"/>
  <c r="AE78" i="5" s="1"/>
  <c r="C90" i="9"/>
  <c r="B90" i="9"/>
  <c r="I90" i="9"/>
  <c r="H90" i="9"/>
  <c r="G90" i="9"/>
  <c r="F90" i="9"/>
  <c r="E90" i="9"/>
  <c r="D90" i="9"/>
  <c r="AE88" i="5" a="1"/>
  <c r="AE88" i="5" s="1"/>
  <c r="D61" i="9"/>
  <c r="B61" i="9"/>
  <c r="F61" i="9"/>
  <c r="E61" i="9"/>
  <c r="I61" i="9"/>
  <c r="H61" i="9"/>
  <c r="G61" i="9"/>
  <c r="C61" i="9"/>
  <c r="Q26" i="16" a="1"/>
  <c r="Q26" i="16" s="1"/>
  <c r="U26" i="16" a="1"/>
  <c r="U26" i="16" s="1"/>
  <c r="Z68" i="3" a="1"/>
  <c r="Z68" i="3" s="1"/>
  <c r="K26" i="6"/>
  <c r="AJ25" i="7"/>
  <c r="BT25" i="7"/>
  <c r="BB25" i="8"/>
  <c r="BT27" i="8"/>
  <c r="AI65" i="5" l="1" a="1"/>
  <c r="AI65" i="5" s="1"/>
  <c r="AN65" i="5" a="1"/>
  <c r="AN65" i="5" s="1"/>
  <c r="AB77" i="3" a="1"/>
  <c r="AB77" i="3" s="1"/>
  <c r="AB19" i="3" a="1"/>
  <c r="AB19" i="3" s="1"/>
  <c r="CF5" i="9"/>
  <c r="CH5" i="9" s="1"/>
  <c r="AN84" i="5" a="1"/>
  <c r="AN84" i="5" s="1"/>
  <c r="AF34" i="3" a="1"/>
  <c r="AF34" i="3" s="1"/>
  <c r="AI77" i="5" a="1"/>
  <c r="AI77" i="5" s="1"/>
  <c r="AF53" i="3" a="1"/>
  <c r="AF53" i="3" s="1"/>
  <c r="AF58" i="3" a="1"/>
  <c r="AF58" i="3" s="1"/>
  <c r="AF26" i="3" a="1"/>
  <c r="AF26" i="3" s="1"/>
  <c r="AN29" i="5" a="1"/>
  <c r="AN29" i="5" s="1"/>
  <c r="AB15" i="3" a="1"/>
  <c r="AB15" i="3" s="1"/>
  <c r="AB82" i="3" a="1"/>
  <c r="AB82" i="3" s="1"/>
  <c r="AN77" i="5" a="1"/>
  <c r="AN77" i="5" s="1"/>
  <c r="AB76" i="3" a="1"/>
  <c r="AB76" i="3" s="1"/>
  <c r="AF72" i="3" a="1"/>
  <c r="AF72" i="3" s="1"/>
  <c r="AF64" i="3" a="1"/>
  <c r="AF64" i="3" s="1"/>
  <c r="CG8" i="9"/>
  <c r="CH8" i="9" s="1"/>
  <c r="AF40" i="3" a="1"/>
  <c r="AF40" i="3" s="1"/>
  <c r="AF77" i="3" a="1"/>
  <c r="AF77" i="3" s="1"/>
  <c r="AB55" i="3" a="1"/>
  <c r="AB55" i="3" s="1"/>
  <c r="AN28" i="5" a="1"/>
  <c r="AN28" i="5" s="1"/>
  <c r="AF67" i="3" a="1"/>
  <c r="AF67" i="3" s="1"/>
  <c r="AB42" i="3" a="1"/>
  <c r="AB42" i="3" s="1"/>
  <c r="AN15" i="5" a="1"/>
  <c r="AN15" i="5" s="1"/>
  <c r="AI28" i="5" a="1"/>
  <c r="AI28" i="5" s="1"/>
  <c r="AB48" i="3" a="1"/>
  <c r="AB48" i="3" s="1"/>
  <c r="CG4" i="9"/>
  <c r="CH4" i="9" s="1"/>
  <c r="AF46" i="3" a="1"/>
  <c r="AF46" i="3" s="1"/>
  <c r="AB6" i="3" a="1"/>
  <c r="AB6" i="3" s="1"/>
  <c r="AF48" i="3" a="1"/>
  <c r="AF48" i="3" s="1"/>
  <c r="AF55" i="3" a="1"/>
  <c r="AF55" i="3" s="1"/>
  <c r="AF60" i="3" a="1"/>
  <c r="AF60" i="3" s="1"/>
  <c r="AB67" i="3" a="1"/>
  <c r="AB67" i="3" s="1"/>
  <c r="AB72" i="3" a="1"/>
  <c r="AB72" i="3" s="1"/>
  <c r="AB64" i="3" a="1"/>
  <c r="AB64" i="3" s="1"/>
  <c r="AI70" i="5" a="1"/>
  <c r="AI70" i="5" s="1"/>
  <c r="AN41" i="5" a="1"/>
  <c r="AN41" i="5" s="1"/>
  <c r="AF29" i="3" a="1"/>
  <c r="AF29" i="3" s="1"/>
  <c r="AF42" i="3" a="1"/>
  <c r="AF42" i="3" s="1"/>
  <c r="AB29" i="3" a="1"/>
  <c r="AB29" i="3" s="1"/>
  <c r="AB34" i="3" a="1"/>
  <c r="AB34" i="3" s="1"/>
  <c r="AB46" i="3" a="1"/>
  <c r="AB46" i="3" s="1"/>
  <c r="AF76" i="3" a="1"/>
  <c r="AF76" i="3" s="1"/>
  <c r="AI40" i="5" a="1"/>
  <c r="AI40" i="5" s="1"/>
  <c r="AI41" i="5" a="1"/>
  <c r="AI41" i="5" s="1"/>
  <c r="AN70" i="5" a="1"/>
  <c r="AN70" i="5" s="1"/>
  <c r="AI76" i="5" a="1"/>
  <c r="AI76" i="5" s="1"/>
  <c r="CH3" i="9"/>
  <c r="AB23" i="3" a="1"/>
  <c r="AB23" i="3" s="1"/>
  <c r="AF15" i="3" a="1"/>
  <c r="AF15" i="3" s="1"/>
  <c r="AF23" i="3" a="1"/>
  <c r="AF23" i="3" s="1"/>
  <c r="AB53" i="3" a="1"/>
  <c r="AB53" i="3" s="1"/>
  <c r="AB60" i="3" a="1"/>
  <c r="AB60" i="3" s="1"/>
  <c r="AI84" i="5" a="1"/>
  <c r="AI84" i="5" s="1"/>
  <c r="AN76" i="5" a="1"/>
  <c r="AN76" i="5" s="1"/>
  <c r="CG7" i="9"/>
  <c r="CH7" i="9" s="1"/>
  <c r="AF6" i="3" a="1"/>
  <c r="AF6" i="3" s="1"/>
  <c r="AN14" i="5" a="1"/>
  <c r="AN14" i="5" s="1"/>
  <c r="AI14" i="5" a="1"/>
  <c r="AI14" i="5" s="1"/>
  <c r="AN13" i="5" a="1"/>
  <c r="AN13" i="5" s="1"/>
  <c r="AI13" i="5" a="1"/>
  <c r="AI13" i="5" s="1"/>
  <c r="AN52" i="5" a="1"/>
  <c r="AN52" i="5" s="1"/>
  <c r="AI52" i="5" a="1"/>
  <c r="AI52" i="5" s="1"/>
  <c r="AN17" i="5" a="1"/>
  <c r="AN17" i="5" s="1"/>
  <c r="AI17" i="5" a="1"/>
  <c r="AI17" i="5" s="1"/>
  <c r="AN67" i="5" a="1"/>
  <c r="AN67" i="5" s="1"/>
  <c r="AI67" i="5" a="1"/>
  <c r="AI67" i="5" s="1"/>
  <c r="AF13" i="3" a="1"/>
  <c r="AF13" i="3" s="1"/>
  <c r="AB13" i="3" a="1"/>
  <c r="AB13" i="3" s="1"/>
  <c r="AF45" i="3" a="1"/>
  <c r="AF45" i="3" s="1"/>
  <c r="AB45" i="3" a="1"/>
  <c r="AB45" i="3" s="1"/>
  <c r="AB24" i="3" a="1"/>
  <c r="AB24" i="3" s="1"/>
  <c r="AF24" i="3" a="1"/>
  <c r="AF24" i="3" s="1"/>
  <c r="AF82" i="3" a="1"/>
  <c r="AF82" i="3" s="1"/>
  <c r="AF56" i="3" a="1"/>
  <c r="AF56" i="3" s="1"/>
  <c r="AB56" i="3" a="1"/>
  <c r="AB56" i="3" s="1"/>
  <c r="AB69" i="3" a="1"/>
  <c r="AB69" i="3" s="1"/>
  <c r="AF69" i="3" a="1"/>
  <c r="AF69" i="3" s="1"/>
  <c r="AF33" i="3" a="1"/>
  <c r="AF33" i="3" s="1"/>
  <c r="AB33" i="3" a="1"/>
  <c r="AB33" i="3" s="1"/>
  <c r="AI26" i="5" a="1"/>
  <c r="AI26" i="5" s="1"/>
  <c r="AN26" i="5" a="1"/>
  <c r="AN26" i="5" s="1"/>
  <c r="AI35" i="5" a="1"/>
  <c r="AI35" i="5" s="1"/>
  <c r="AN35" i="5" a="1"/>
  <c r="AN35" i="5" s="1"/>
  <c r="AN12" i="5" a="1"/>
  <c r="AN12" i="5" s="1"/>
  <c r="AI12" i="5" a="1"/>
  <c r="AI12" i="5" s="1"/>
  <c r="AN82" i="5" a="1"/>
  <c r="AN82" i="5" s="1"/>
  <c r="AI82" i="5" a="1"/>
  <c r="AI82" i="5" s="1"/>
  <c r="AI80" i="5" a="1"/>
  <c r="AI80" i="5" s="1"/>
  <c r="AN80" i="5" a="1"/>
  <c r="AN80" i="5" s="1"/>
  <c r="CG6" i="9"/>
  <c r="CF6" i="9"/>
  <c r="AB37" i="3" a="1"/>
  <c r="AB37" i="3" s="1"/>
  <c r="AF37" i="3" a="1"/>
  <c r="AF37" i="3" s="1"/>
  <c r="AB9" i="3" a="1"/>
  <c r="AB9" i="3" s="1"/>
  <c r="AF9" i="3" a="1"/>
  <c r="AF9" i="3" s="1"/>
  <c r="AF78" i="3" a="1"/>
  <c r="AF78" i="3" s="1"/>
  <c r="AB78" i="3" a="1"/>
  <c r="AB78" i="3" s="1"/>
  <c r="AB26" i="3" a="1"/>
  <c r="AB26" i="3" s="1"/>
  <c r="AF66" i="3" a="1"/>
  <c r="AF66" i="3" s="1"/>
  <c r="AB66" i="3" a="1"/>
  <c r="AB66" i="3" s="1"/>
  <c r="AI79" i="5" a="1"/>
  <c r="AI79" i="5" s="1"/>
  <c r="AN79" i="5" a="1"/>
  <c r="AN79" i="5" s="1"/>
  <c r="AN44" i="5" a="1"/>
  <c r="AN44" i="5" s="1"/>
  <c r="AI44" i="5" a="1"/>
  <c r="AI44" i="5" s="1"/>
  <c r="AI46" i="5" a="1"/>
  <c r="AI46" i="5" s="1"/>
  <c r="AN46" i="5" a="1"/>
  <c r="AN46" i="5" s="1"/>
  <c r="AN55" i="5" a="1"/>
  <c r="AN55" i="5" s="1"/>
  <c r="AI55" i="5" a="1"/>
  <c r="AI55" i="5" s="1"/>
  <c r="AI62" i="5" a="1"/>
  <c r="AI62" i="5" s="1"/>
  <c r="AN62" i="5" a="1"/>
  <c r="AN62" i="5" s="1"/>
  <c r="AF35" i="3" a="1"/>
  <c r="AF35" i="3" s="1"/>
  <c r="AB35" i="3" a="1"/>
  <c r="AB35" i="3" s="1"/>
  <c r="AF81" i="3" a="1"/>
  <c r="AF81" i="3" s="1"/>
  <c r="AB81" i="3" a="1"/>
  <c r="AB81" i="3" s="1"/>
  <c r="AF86" i="3" a="1"/>
  <c r="AF86" i="3" s="1"/>
  <c r="AB86" i="3" a="1"/>
  <c r="AB86" i="3" s="1"/>
  <c r="AF61" i="3" a="1"/>
  <c r="AF61" i="3" s="1"/>
  <c r="AB61" i="3" a="1"/>
  <c r="AB61" i="3" s="1"/>
  <c r="AB20" i="3" a="1"/>
  <c r="AB20" i="3" s="1"/>
  <c r="AF20" i="3" a="1"/>
  <c r="AF20" i="3" s="1"/>
  <c r="AI6" i="5" a="1"/>
  <c r="AI6" i="5" s="1"/>
  <c r="AN6" i="5" a="1"/>
  <c r="AN6" i="5" s="1"/>
  <c r="AN39" i="5" a="1"/>
  <c r="AN39" i="5" s="1"/>
  <c r="AI39" i="5" a="1"/>
  <c r="AI39" i="5" s="1"/>
  <c r="AI59" i="5" a="1"/>
  <c r="AI59" i="5" s="1"/>
  <c r="AN59" i="5" a="1"/>
  <c r="AN59" i="5" s="1"/>
  <c r="AN54" i="5" a="1"/>
  <c r="AN54" i="5" s="1"/>
  <c r="AI54" i="5" a="1"/>
  <c r="AI54" i="5" s="1"/>
  <c r="AN61" i="5" a="1"/>
  <c r="AN61" i="5" s="1"/>
  <c r="AI61" i="5" a="1"/>
  <c r="AI61" i="5" s="1"/>
  <c r="AF75" i="3" a="1"/>
  <c r="AF75" i="3" s="1"/>
  <c r="AB75" i="3" a="1"/>
  <c r="AB75" i="3" s="1"/>
  <c r="AB21" i="3" a="1"/>
  <c r="AB21" i="3" s="1"/>
  <c r="AF21" i="3" a="1"/>
  <c r="AF21" i="3" s="1"/>
  <c r="AF32" i="3" a="1"/>
  <c r="AF32" i="3" s="1"/>
  <c r="AB32" i="3" a="1"/>
  <c r="AB32" i="3" s="1"/>
  <c r="AB38" i="3" a="1"/>
  <c r="AB38" i="3" s="1"/>
  <c r="AF38" i="3" a="1"/>
  <c r="AF38" i="3" s="1"/>
  <c r="AF27" i="3" a="1"/>
  <c r="AF27" i="3" s="1"/>
  <c r="AB27" i="3" a="1"/>
  <c r="AB27" i="3" s="1"/>
  <c r="AB59" i="3" a="1"/>
  <c r="AB59" i="3" s="1"/>
  <c r="AF59" i="3" a="1"/>
  <c r="AF59" i="3" s="1"/>
  <c r="AF68" i="3" a="1"/>
  <c r="AF68" i="3" s="1"/>
  <c r="AB68" i="3" a="1"/>
  <c r="AB68" i="3" s="1"/>
  <c r="AN18" i="5" a="1"/>
  <c r="AN18" i="5" s="1"/>
  <c r="AI18" i="5" a="1"/>
  <c r="AI18" i="5" s="1"/>
  <c r="AN57" i="5" a="1"/>
  <c r="AN57" i="5" s="1"/>
  <c r="AI57" i="5" a="1"/>
  <c r="AI57" i="5" s="1"/>
  <c r="AN51" i="5" a="1"/>
  <c r="AN51" i="5" s="1"/>
  <c r="AI51" i="5" a="1"/>
  <c r="AI51" i="5" s="1"/>
  <c r="AI53" i="5" a="1"/>
  <c r="AI53" i="5" s="1"/>
  <c r="AN53" i="5" a="1"/>
  <c r="AN53" i="5" s="1"/>
  <c r="AI31" i="5" a="1"/>
  <c r="AI31" i="5" s="1"/>
  <c r="AN31" i="5" a="1"/>
  <c r="AN31" i="5" s="1"/>
  <c r="AF16" i="3" a="1"/>
  <c r="AF16" i="3" s="1"/>
  <c r="AB16" i="3" a="1"/>
  <c r="AB16" i="3" s="1"/>
  <c r="AB28" i="3" a="1"/>
  <c r="AB28" i="3" s="1"/>
  <c r="AF28" i="3" a="1"/>
  <c r="AF28" i="3" s="1"/>
  <c r="AF73" i="3" a="1"/>
  <c r="AF73" i="3" s="1"/>
  <c r="AB73" i="3" a="1"/>
  <c r="AB73" i="3" s="1"/>
  <c r="AB80" i="3" a="1"/>
  <c r="AB80" i="3" s="1"/>
  <c r="AF80" i="3" a="1"/>
  <c r="AF80" i="3" s="1"/>
  <c r="R3" i="16" a="1"/>
  <c r="T3" i="16" a="1"/>
  <c r="S3" i="16" a="1"/>
  <c r="AB89" i="3" a="1"/>
  <c r="AB89" i="3" s="1"/>
  <c r="AF89" i="3" a="1"/>
  <c r="AF89" i="3" s="1"/>
  <c r="AN40" i="5" a="1"/>
  <c r="AN40" i="5" s="1"/>
  <c r="AN33" i="5" a="1"/>
  <c r="AN33" i="5" s="1"/>
  <c r="AI33" i="5" a="1"/>
  <c r="AI33" i="5" s="1"/>
  <c r="AN45" i="5" a="1"/>
  <c r="AN45" i="5" s="1"/>
  <c r="AI45" i="5" a="1"/>
  <c r="AI45" i="5" s="1"/>
  <c r="AN23" i="5" a="1"/>
  <c r="AN23" i="5" s="1"/>
  <c r="AI23" i="5" a="1"/>
  <c r="AI23" i="5" s="1"/>
  <c r="AN75" i="5" a="1"/>
  <c r="AN75" i="5" s="1"/>
  <c r="AI75" i="5" a="1"/>
  <c r="AI75" i="5" s="1"/>
  <c r="AB57" i="3" a="1"/>
  <c r="AB57" i="3" s="1"/>
  <c r="AF57" i="3" a="1"/>
  <c r="AF57" i="3" s="1"/>
  <c r="AB62" i="3" a="1"/>
  <c r="AB62" i="3" s="1"/>
  <c r="AF62" i="3" a="1"/>
  <c r="AF62" i="3" s="1"/>
  <c r="AF36" i="3" a="1"/>
  <c r="AF36" i="3" s="1"/>
  <c r="AB36" i="3" a="1"/>
  <c r="AB36" i="3" s="1"/>
  <c r="AB83" i="3" a="1"/>
  <c r="AB83" i="3" s="1"/>
  <c r="AF83" i="3" a="1"/>
  <c r="AF83" i="3" s="1"/>
  <c r="X3" i="16" a="1"/>
  <c r="Z3" i="16" a="1"/>
  <c r="W3" i="16" a="1"/>
  <c r="V3" i="16" a="1"/>
  <c r="Y3" i="16" a="1"/>
  <c r="AA3" i="16" a="1"/>
  <c r="AN5" i="5" a="1"/>
  <c r="AN5" i="5" s="1"/>
  <c r="AI5" i="5" a="1"/>
  <c r="AI5" i="5" s="1"/>
  <c r="AI25" i="5" a="1"/>
  <c r="AI25" i="5" s="1"/>
  <c r="AN25" i="5" a="1"/>
  <c r="AN25" i="5" s="1"/>
  <c r="AI19" i="5" a="1"/>
  <c r="AI19" i="5" s="1"/>
  <c r="AN19" i="5" a="1"/>
  <c r="AN19" i="5" s="1"/>
  <c r="AN85" i="5" a="1"/>
  <c r="AN85" i="5" s="1"/>
  <c r="AI85" i="5" a="1"/>
  <c r="AI85" i="5" s="1"/>
  <c r="CG2" i="9"/>
  <c r="CF2" i="9"/>
  <c r="AI10" i="5" a="1"/>
  <c r="AI10" i="5" s="1"/>
  <c r="AN10" i="5" a="1"/>
  <c r="AN10" i="5" s="1"/>
  <c r="AN8" i="5" a="1"/>
  <c r="AN8" i="5" s="1"/>
  <c r="AI8" i="5" a="1"/>
  <c r="AI8" i="5" s="1"/>
  <c r="AI72" i="5" a="1"/>
  <c r="AI72" i="5" s="1"/>
  <c r="AN72" i="5" a="1"/>
  <c r="AN72" i="5" s="1"/>
  <c r="AI42" i="5" a="1"/>
  <c r="AI42" i="5" s="1"/>
  <c r="AN42" i="5" a="1"/>
  <c r="AN42" i="5" s="1"/>
  <c r="AB50" i="3" a="1"/>
  <c r="AB50" i="3" s="1"/>
  <c r="AF50" i="3" a="1"/>
  <c r="AF50" i="3" s="1"/>
  <c r="AF49" i="3" a="1"/>
  <c r="AF49" i="3" s="1"/>
  <c r="AB49" i="3" a="1"/>
  <c r="AB49" i="3" s="1"/>
  <c r="AF5" i="3" a="1"/>
  <c r="AF5" i="3" s="1"/>
  <c r="AB5" i="3" a="1"/>
  <c r="AB5" i="3" s="1"/>
  <c r="AB30" i="3" a="1"/>
  <c r="AB30" i="3" s="1"/>
  <c r="AF30" i="3" a="1"/>
  <c r="AF30" i="3" s="1"/>
  <c r="AF51" i="3" a="1"/>
  <c r="AF51" i="3" s="1"/>
  <c r="AB51" i="3" a="1"/>
  <c r="AB51" i="3" s="1"/>
  <c r="AF52" i="3" a="1"/>
  <c r="AF52" i="3" s="1"/>
  <c r="AB52" i="3" a="1"/>
  <c r="AB52" i="3" s="1"/>
  <c r="AI15" i="5" a="1"/>
  <c r="AI15" i="5" s="1"/>
  <c r="AN78" i="5" a="1"/>
  <c r="AN78" i="5" s="1"/>
  <c r="AI78" i="5" a="1"/>
  <c r="AI78" i="5" s="1"/>
  <c r="AN7" i="5" a="1"/>
  <c r="AN7" i="5" s="1"/>
  <c r="AI7" i="5" a="1"/>
  <c r="AI7" i="5" s="1"/>
  <c r="AI73" i="5" a="1"/>
  <c r="AI73" i="5" s="1"/>
  <c r="AN73" i="5" a="1"/>
  <c r="AN73" i="5" s="1"/>
  <c r="AN64" i="5" a="1"/>
  <c r="AN64" i="5" s="1"/>
  <c r="AI64" i="5" a="1"/>
  <c r="AI64" i="5" s="1"/>
  <c r="AN87" i="5" a="1"/>
  <c r="AN87" i="5" s="1"/>
  <c r="AI87" i="5" a="1"/>
  <c r="AI87" i="5" s="1"/>
  <c r="AN20" i="5" a="1"/>
  <c r="AN20" i="5" s="1"/>
  <c r="AI20" i="5" a="1"/>
  <c r="AI20" i="5" s="1"/>
  <c r="AF90" i="3" a="1"/>
  <c r="AF90" i="3" s="1"/>
  <c r="AB90" i="3" a="1"/>
  <c r="AB90" i="3" s="1"/>
  <c r="AB18" i="3" a="1"/>
  <c r="AB18" i="3" s="1"/>
  <c r="AF18" i="3" a="1"/>
  <c r="AF18" i="3" s="1"/>
  <c r="AB17" i="3" a="1"/>
  <c r="AB17" i="3" s="1"/>
  <c r="AF17" i="3" a="1"/>
  <c r="AF17" i="3" s="1"/>
  <c r="AF12" i="3" a="1"/>
  <c r="AF12" i="3" s="1"/>
  <c r="AB12" i="3" a="1"/>
  <c r="AB12" i="3" s="1"/>
  <c r="AN63" i="5" a="1"/>
  <c r="AN63" i="5" s="1"/>
  <c r="AI63" i="5" a="1"/>
  <c r="AI63" i="5" s="1"/>
  <c r="AB8" i="3" a="1"/>
  <c r="AB8" i="3" s="1"/>
  <c r="AF8" i="3" a="1"/>
  <c r="AF8" i="3" s="1"/>
  <c r="AI3" i="5" a="1"/>
  <c r="AI3" i="5" s="1"/>
  <c r="AN3" i="5" a="1"/>
  <c r="AN3" i="5" s="1"/>
  <c r="AN24" i="5" a="1"/>
  <c r="AN24" i="5" s="1"/>
  <c r="AI24" i="5" a="1"/>
  <c r="AI24" i="5" s="1"/>
  <c r="AN83" i="5" a="1"/>
  <c r="AN83" i="5" s="1"/>
  <c r="AI83" i="5" a="1"/>
  <c r="AI83" i="5" s="1"/>
  <c r="AI22" i="5" a="1"/>
  <c r="AI22" i="5" s="1"/>
  <c r="AN22" i="5" a="1"/>
  <c r="AN22" i="5" s="1"/>
  <c r="AI32" i="5" a="1"/>
  <c r="AI32" i="5" s="1"/>
  <c r="AN32" i="5" a="1"/>
  <c r="AN32" i="5" s="1"/>
  <c r="AI56" i="5" a="1"/>
  <c r="AI56" i="5" s="1"/>
  <c r="AN56" i="5" a="1"/>
  <c r="AN56" i="5" s="1"/>
  <c r="AF74" i="3" a="1"/>
  <c r="AF74" i="3" s="1"/>
  <c r="AB74" i="3" a="1"/>
  <c r="AB74" i="3" s="1"/>
  <c r="AF91" i="3" a="1"/>
  <c r="AF91" i="3" s="1"/>
  <c r="AB91" i="3" a="1"/>
  <c r="AB91" i="3" s="1"/>
  <c r="AB44" i="3" a="1"/>
  <c r="AB44" i="3" s="1"/>
  <c r="AF44" i="3" a="1"/>
  <c r="AF44" i="3" s="1"/>
  <c r="AF54" i="3" a="1"/>
  <c r="AF54" i="3" s="1"/>
  <c r="AB54" i="3" a="1"/>
  <c r="AB54" i="3" s="1"/>
  <c r="AN27" i="5" a="1"/>
  <c r="AN27" i="5" s="1"/>
  <c r="AI27" i="5" a="1"/>
  <c r="AI27" i="5" s="1"/>
  <c r="AN21" i="5" a="1"/>
  <c r="AN21" i="5" s="1"/>
  <c r="AI21" i="5" a="1"/>
  <c r="AI21" i="5" s="1"/>
  <c r="AN81" i="5" a="1"/>
  <c r="AN81" i="5" s="1"/>
  <c r="AI81" i="5" a="1"/>
  <c r="AI81" i="5" s="1"/>
  <c r="AI49" i="5" a="1"/>
  <c r="AI49" i="5" s="1"/>
  <c r="AN49" i="5" a="1"/>
  <c r="AN49" i="5" s="1"/>
  <c r="AN60" i="5" a="1"/>
  <c r="AN60" i="5" s="1"/>
  <c r="AI60" i="5" a="1"/>
  <c r="AI60" i="5" s="1"/>
  <c r="AN66" i="5" a="1"/>
  <c r="AN66" i="5" s="1"/>
  <c r="AI66" i="5" a="1"/>
  <c r="AI66" i="5" s="1"/>
  <c r="AF41" i="3" a="1"/>
  <c r="AF41" i="3" s="1"/>
  <c r="AB41" i="3" a="1"/>
  <c r="AB41" i="3" s="1"/>
  <c r="AB43" i="3" a="1"/>
  <c r="AB43" i="3" s="1"/>
  <c r="AF43" i="3" a="1"/>
  <c r="AF43" i="3" s="1"/>
  <c r="AB63" i="3" a="1"/>
  <c r="AB63" i="3" s="1"/>
  <c r="AF63" i="3" a="1"/>
  <c r="AF63" i="3" s="1"/>
  <c r="AB25" i="3" a="1"/>
  <c r="AB25" i="3" s="1"/>
  <c r="AF25" i="3" a="1"/>
  <c r="AF25" i="3" s="1"/>
  <c r="AF7" i="3" a="1"/>
  <c r="AF7" i="3" s="1"/>
  <c r="AB7" i="3" a="1"/>
  <c r="AB7" i="3" s="1"/>
  <c r="AN47" i="5" a="1"/>
  <c r="AN47" i="5" s="1"/>
  <c r="AI47" i="5" a="1"/>
  <c r="AI47" i="5" s="1"/>
  <c r="AB92" i="3" a="1"/>
  <c r="AB92" i="3" s="1"/>
  <c r="AF92" i="3" a="1"/>
  <c r="AF92" i="3" s="1"/>
  <c r="AI34" i="5" a="1"/>
  <c r="AI34" i="5" s="1"/>
  <c r="AN34" i="5" a="1"/>
  <c r="AN34" i="5" s="1"/>
  <c r="AF39" i="3" a="1"/>
  <c r="AF39" i="3" s="1"/>
  <c r="AB39" i="3" a="1"/>
  <c r="AB39" i="3" s="1"/>
  <c r="AF85" i="3" a="1"/>
  <c r="AF85" i="3" s="1"/>
  <c r="AB85" i="3" a="1"/>
  <c r="AB85" i="3" s="1"/>
  <c r="AI48" i="5" a="1"/>
  <c r="AI48" i="5" s="1"/>
  <c r="AN48" i="5" a="1"/>
  <c r="AN48" i="5" s="1"/>
  <c r="AB40" i="3" a="1"/>
  <c r="AB40" i="3" s="1"/>
  <c r="AN88" i="5" a="1"/>
  <c r="AN88" i="5" s="1"/>
  <c r="AI88" i="5" a="1"/>
  <c r="AI88" i="5" s="1"/>
  <c r="AI86" i="5" a="1"/>
  <c r="AI86" i="5" s="1"/>
  <c r="AN86" i="5" a="1"/>
  <c r="AN86" i="5" s="1"/>
  <c r="AN30" i="5" a="1"/>
  <c r="AN30" i="5" s="1"/>
  <c r="AI30" i="5" a="1"/>
  <c r="AI30" i="5" s="1"/>
  <c r="AN11" i="5" a="1"/>
  <c r="AN11" i="5" s="1"/>
  <c r="AI11" i="5" a="1"/>
  <c r="AI11" i="5" s="1"/>
  <c r="AI43" i="5" a="1"/>
  <c r="AI43" i="5" s="1"/>
  <c r="AN43" i="5" a="1"/>
  <c r="AN43" i="5" s="1"/>
  <c r="AN4" i="5" a="1"/>
  <c r="AN4" i="5" s="1"/>
  <c r="AI4" i="5" a="1"/>
  <c r="AI4" i="5" s="1"/>
  <c r="AF88" i="3" a="1"/>
  <c r="AF88" i="3" s="1"/>
  <c r="AB88" i="3" a="1"/>
  <c r="AB88" i="3" s="1"/>
  <c r="AF14" i="3" a="1"/>
  <c r="AF14" i="3" s="1"/>
  <c r="AB14" i="3" a="1"/>
  <c r="AB14" i="3" s="1"/>
  <c r="AB71" i="3" a="1"/>
  <c r="AB71" i="3" s="1"/>
  <c r="AF71" i="3" a="1"/>
  <c r="AF71" i="3" s="1"/>
  <c r="AF10" i="3" a="1"/>
  <c r="AF10" i="3" s="1"/>
  <c r="AB10" i="3" a="1"/>
  <c r="AB10" i="3" s="1"/>
  <c r="AI58" i="5" a="1"/>
  <c r="AI58" i="5" s="1"/>
  <c r="AN58" i="5" a="1"/>
  <c r="AN58" i="5" s="1"/>
  <c r="AI69" i="5" a="1"/>
  <c r="AI69" i="5" s="1"/>
  <c r="AN69" i="5" a="1"/>
  <c r="AN69" i="5" s="1"/>
  <c r="AF22" i="3" a="1"/>
  <c r="AF22" i="3" s="1"/>
  <c r="AB22" i="3" a="1"/>
  <c r="AB22" i="3" s="1"/>
  <c r="AI71" i="5" a="1"/>
  <c r="AI71" i="5" s="1"/>
  <c r="AN71" i="5" a="1"/>
  <c r="AN71" i="5" s="1"/>
  <c r="AN37" i="5" a="1"/>
  <c r="AN37" i="5" s="1"/>
  <c r="AI37" i="5" a="1"/>
  <c r="AI37" i="5" s="1"/>
  <c r="AI16" i="5" a="1"/>
  <c r="AI16" i="5" s="1"/>
  <c r="AN16" i="5" a="1"/>
  <c r="AN16" i="5" s="1"/>
  <c r="AN50" i="5" a="1"/>
  <c r="AN50" i="5" s="1"/>
  <c r="AI50" i="5" a="1"/>
  <c r="AI50" i="5" s="1"/>
  <c r="AI68" i="5" a="1"/>
  <c r="AI68" i="5" s="1"/>
  <c r="AN68" i="5" a="1"/>
  <c r="AN68" i="5" s="1"/>
  <c r="AN38" i="5" a="1"/>
  <c r="AN38" i="5" s="1"/>
  <c r="AI38" i="5" a="1"/>
  <c r="AI38" i="5" s="1"/>
  <c r="AF47" i="3" a="1"/>
  <c r="AF47" i="3" s="1"/>
  <c r="AB47" i="3" a="1"/>
  <c r="AB47" i="3" s="1"/>
  <c r="AF84" i="3" a="1"/>
  <c r="AF84" i="3" s="1"/>
  <c r="AB84" i="3" a="1"/>
  <c r="AB84" i="3" s="1"/>
  <c r="AB87" i="3" a="1"/>
  <c r="AB87" i="3" s="1"/>
  <c r="AF87" i="3" a="1"/>
  <c r="AF87" i="3" s="1"/>
  <c r="AF65" i="3" a="1"/>
  <c r="AF65" i="3" s="1"/>
  <c r="AB65" i="3" a="1"/>
  <c r="AB65" i="3" s="1"/>
  <c r="AB79" i="3" a="1"/>
  <c r="AB79" i="3" s="1"/>
  <c r="AF79" i="3" a="1"/>
  <c r="AF79" i="3" s="1"/>
  <c r="AN74" i="5" a="1"/>
  <c r="AN74" i="5" s="1"/>
  <c r="AI74" i="5" a="1"/>
  <c r="AI74" i="5" s="1"/>
  <c r="AF70" i="3" a="1"/>
  <c r="AF70" i="3" s="1"/>
  <c r="AB70" i="3" a="1"/>
  <c r="AB70" i="3" s="1"/>
  <c r="CH2" i="9" l="1" a="1"/>
  <c r="CH2" i="9" s="1"/>
  <c r="CH6" i="9"/>
  <c r="T12" i="16"/>
  <c r="T10" i="16"/>
  <c r="T9" i="16"/>
  <c r="T4" i="16"/>
  <c r="T3" i="16"/>
  <c r="T11" i="16"/>
  <c r="T8" i="16"/>
  <c r="T7" i="16"/>
  <c r="T6" i="16"/>
  <c r="T5" i="16"/>
  <c r="AW3" i="5" a="1"/>
  <c r="AQ3" i="5" a="1"/>
  <c r="AU3" i="5" a="1"/>
  <c r="AZ3" i="5" a="1"/>
  <c r="AV3" i="5" a="1"/>
  <c r="AR3" i="5" a="1"/>
  <c r="AP3" i="5" a="1"/>
  <c r="AY3" i="5" a="1"/>
  <c r="AY3" i="5" s="1"/>
  <c r="AS3" i="5" a="1"/>
  <c r="AO3" i="5" a="1"/>
  <c r="AO3" i="5" s="1"/>
  <c r="AX3" i="5" a="1"/>
  <c r="AX3" i="5" s="1"/>
  <c r="AT3" i="5" a="1"/>
  <c r="W4" i="16"/>
  <c r="W3" i="16"/>
  <c r="W6" i="16"/>
  <c r="W5" i="16"/>
  <c r="R17" i="16"/>
  <c r="R5" i="16"/>
  <c r="R15" i="16"/>
  <c r="R14" i="16"/>
  <c r="R3" i="16"/>
  <c r="R11" i="16"/>
  <c r="R10" i="16"/>
  <c r="R16" i="16"/>
  <c r="R6" i="16"/>
  <c r="R4" i="16"/>
  <c r="R9" i="16"/>
  <c r="R8" i="16"/>
  <c r="R13" i="16"/>
  <c r="R18" i="16"/>
  <c r="R12" i="16"/>
  <c r="R7" i="16"/>
  <c r="V11" i="16"/>
  <c r="V9" i="16"/>
  <c r="V8" i="16"/>
  <c r="V3" i="16"/>
  <c r="V5" i="16"/>
  <c r="V6" i="16"/>
  <c r="V4" i="16"/>
  <c r="V12" i="16"/>
  <c r="V10" i="16"/>
  <c r="V14" i="16"/>
  <c r="V13" i="16"/>
  <c r="V7" i="16"/>
  <c r="AJ3" i="5" a="1"/>
  <c r="AK3" i="5" a="1"/>
  <c r="AM3" i="5" a="1"/>
  <c r="AL3" i="5" a="1"/>
  <c r="Z4" i="16"/>
  <c r="Z3" i="16"/>
  <c r="Z7" i="16"/>
  <c r="Z6" i="16"/>
  <c r="Z5" i="16"/>
  <c r="X5" i="16"/>
  <c r="X3" i="16"/>
  <c r="X4" i="16"/>
  <c r="X9" i="16"/>
  <c r="X8" i="16"/>
  <c r="X7" i="16"/>
  <c r="X6" i="16"/>
  <c r="AC5" i="3" a="1"/>
  <c r="AD5" i="3" a="1"/>
  <c r="AE5" i="3" a="1"/>
  <c r="AA7" i="16"/>
  <c r="AA6" i="16"/>
  <c r="AA5" i="16"/>
  <c r="AA4" i="16"/>
  <c r="AA3" i="16"/>
  <c r="AP17" i="3"/>
  <c r="AK5" i="3" a="1"/>
  <c r="AG5" i="3" a="1"/>
  <c r="AP14" i="3"/>
  <c r="AO14" i="3"/>
  <c r="AI5" i="3" a="1"/>
  <c r="AP15" i="3"/>
  <c r="AO15" i="3"/>
  <c r="AP16" i="3"/>
  <c r="AP12" i="3"/>
  <c r="AJ5" i="3" a="1"/>
  <c r="AH5" i="3" a="1"/>
  <c r="AO16" i="3"/>
  <c r="AO12" i="3"/>
  <c r="AO17" i="3"/>
  <c r="AP13" i="3"/>
  <c r="AO13" i="3"/>
  <c r="AL5" i="3" a="1"/>
  <c r="Y6" i="16"/>
  <c r="Y5" i="16"/>
  <c r="Y4" i="16"/>
  <c r="Y3" i="16"/>
  <c r="S12" i="16"/>
  <c r="S10" i="16"/>
  <c r="S9" i="16"/>
  <c r="S11" i="16"/>
  <c r="S8" i="16"/>
  <c r="S7" i="16"/>
  <c r="S6" i="16"/>
  <c r="S5" i="16"/>
  <c r="S4" i="16"/>
  <c r="S13" i="16"/>
  <c r="S3" i="16"/>
  <c r="AD26" i="3" l="1"/>
  <c r="AD14" i="3"/>
  <c r="AD23" i="3"/>
  <c r="AD11" i="3"/>
  <c r="AD34" i="3"/>
  <c r="AD22" i="3"/>
  <c r="AD10" i="3"/>
  <c r="AD33" i="3"/>
  <c r="AD21" i="3"/>
  <c r="AD9" i="3"/>
  <c r="AD28" i="3"/>
  <c r="AD8" i="3"/>
  <c r="AD27" i="3"/>
  <c r="AD7" i="3"/>
  <c r="AD25" i="3"/>
  <c r="AD6" i="3"/>
  <c r="AD24" i="3"/>
  <c r="AD20" i="3"/>
  <c r="AD5" i="3"/>
  <c r="AD19" i="3"/>
  <c r="AD18" i="3"/>
  <c r="AD17" i="3"/>
  <c r="AD31" i="3"/>
  <c r="AD15" i="3"/>
  <c r="AD30" i="3"/>
  <c r="AD13" i="3"/>
  <c r="AD32" i="3"/>
  <c r="AD29" i="3"/>
  <c r="AD16" i="3"/>
  <c r="AD12" i="3"/>
  <c r="AC41" i="3"/>
  <c r="AC29" i="3"/>
  <c r="AC17" i="3"/>
  <c r="AC38" i="3"/>
  <c r="AC26" i="3"/>
  <c r="AC14" i="3"/>
  <c r="AC37" i="3"/>
  <c r="AC25" i="3"/>
  <c r="AC13" i="3"/>
  <c r="AC36" i="3"/>
  <c r="AC24" i="3"/>
  <c r="AC12" i="3"/>
  <c r="AC31" i="3"/>
  <c r="AC11" i="3"/>
  <c r="AC30" i="3"/>
  <c r="AC10" i="3"/>
  <c r="AC28" i="3"/>
  <c r="AC9" i="3"/>
  <c r="AC27" i="3"/>
  <c r="AC8" i="3"/>
  <c r="AC23" i="3"/>
  <c r="AC7" i="3"/>
  <c r="AC42" i="3"/>
  <c r="AC22" i="3"/>
  <c r="AC6" i="3"/>
  <c r="AC40" i="3"/>
  <c r="AC21" i="3"/>
  <c r="AC5" i="3"/>
  <c r="AC39" i="3"/>
  <c r="AC20" i="3"/>
  <c r="AC34" i="3"/>
  <c r="AC18" i="3"/>
  <c r="AC33" i="3"/>
  <c r="AC16" i="3"/>
  <c r="AC15" i="3"/>
  <c r="AC35" i="3"/>
  <c r="AC32" i="3"/>
  <c r="AC19" i="3"/>
  <c r="AW13" i="5"/>
  <c r="AW21" i="5"/>
  <c r="AW9" i="5"/>
  <c r="AW17" i="5"/>
  <c r="AW15" i="5"/>
  <c r="AW14" i="5"/>
  <c r="AW8" i="5"/>
  <c r="AW18" i="5"/>
  <c r="AW6" i="5"/>
  <c r="AW5" i="5"/>
  <c r="AW4" i="5"/>
  <c r="AW3" i="5"/>
  <c r="AW22" i="5"/>
  <c r="AW20" i="5"/>
  <c r="AW11" i="5"/>
  <c r="AW10" i="5"/>
  <c r="AW7" i="5"/>
  <c r="AW19" i="5"/>
  <c r="AW16" i="5"/>
  <c r="AW12" i="5"/>
  <c r="AI6" i="3"/>
  <c r="AI15" i="3"/>
  <c r="AI14" i="3"/>
  <c r="AI13" i="3"/>
  <c r="AI8" i="3"/>
  <c r="AI7" i="3"/>
  <c r="AI5" i="3"/>
  <c r="AI11" i="3"/>
  <c r="AI10" i="3"/>
  <c r="AI12" i="3"/>
  <c r="AI9" i="3"/>
  <c r="AQ7" i="5"/>
  <c r="AQ8" i="5"/>
  <c r="AQ3" i="5"/>
  <c r="AQ5" i="5"/>
  <c r="AQ4" i="5"/>
  <c r="AQ6" i="5"/>
  <c r="AL29" i="5"/>
  <c r="AL17" i="5"/>
  <c r="AL5" i="5"/>
  <c r="AL31" i="5"/>
  <c r="AL18" i="5"/>
  <c r="AL4" i="5"/>
  <c r="AL28" i="5"/>
  <c r="AL15" i="5"/>
  <c r="AL3" i="5"/>
  <c r="AL27" i="5"/>
  <c r="AL14" i="5"/>
  <c r="AL30" i="5"/>
  <c r="AL11" i="5"/>
  <c r="AL33" i="5"/>
  <c r="AL12" i="5"/>
  <c r="AL32" i="5"/>
  <c r="AL10" i="5"/>
  <c r="AL26" i="5"/>
  <c r="AL9" i="5"/>
  <c r="AL25" i="5"/>
  <c r="AL8" i="5"/>
  <c r="AL24" i="5"/>
  <c r="AL7" i="5"/>
  <c r="AL23" i="5"/>
  <c r="AL6" i="5"/>
  <c r="AL36" i="5"/>
  <c r="AL19" i="5"/>
  <c r="AL35" i="5"/>
  <c r="AL16" i="5"/>
  <c r="AL34" i="5"/>
  <c r="AL13" i="5"/>
  <c r="AL37" i="5"/>
  <c r="AL22" i="5"/>
  <c r="AL21" i="5"/>
  <c r="AL20" i="5"/>
  <c r="AT17" i="5"/>
  <c r="AT5" i="5"/>
  <c r="AT13" i="5"/>
  <c r="AT14" i="5"/>
  <c r="AT11" i="5"/>
  <c r="AT24" i="5"/>
  <c r="AT10" i="5"/>
  <c r="AT20" i="5"/>
  <c r="AT6" i="5"/>
  <c r="AT15" i="5"/>
  <c r="AT22" i="5"/>
  <c r="AT21" i="5"/>
  <c r="AT19" i="5"/>
  <c r="AT18" i="5"/>
  <c r="AT16" i="5"/>
  <c r="AT12" i="5"/>
  <c r="AT4" i="5"/>
  <c r="AT23" i="5"/>
  <c r="AT3" i="5"/>
  <c r="AT8" i="5"/>
  <c r="AT7" i="5"/>
  <c r="AT9" i="5"/>
  <c r="AL14" i="3"/>
  <c r="AL11" i="3"/>
  <c r="AL10" i="3"/>
  <c r="AL9" i="3"/>
  <c r="AL5" i="3"/>
  <c r="AL16" i="3"/>
  <c r="AL15" i="3"/>
  <c r="AL13" i="3"/>
  <c r="AL12" i="3"/>
  <c r="AL7" i="3"/>
  <c r="AL6" i="3"/>
  <c r="AL8" i="3"/>
  <c r="AG10" i="3"/>
  <c r="AG19" i="3"/>
  <c r="AG7" i="3"/>
  <c r="AG18" i="3"/>
  <c r="AG6" i="3"/>
  <c r="AG17" i="3"/>
  <c r="AG12" i="3"/>
  <c r="AG11" i="3"/>
  <c r="AG9" i="3"/>
  <c r="AG8" i="3"/>
  <c r="AG5" i="3"/>
  <c r="AG15" i="3"/>
  <c r="AG14" i="3"/>
  <c r="AG16" i="3"/>
  <c r="AG13" i="3"/>
  <c r="AM5" i="5"/>
  <c r="AM8" i="5"/>
  <c r="AM6" i="5"/>
  <c r="AM4" i="5"/>
  <c r="AM7" i="5"/>
  <c r="AM3" i="5"/>
  <c r="AJ13" i="5"/>
  <c r="AJ9" i="5"/>
  <c r="AJ7" i="5"/>
  <c r="AJ6" i="5"/>
  <c r="AJ14" i="5"/>
  <c r="AJ12" i="5"/>
  <c r="AJ11" i="5"/>
  <c r="AJ4" i="5"/>
  <c r="AJ3" i="5"/>
  <c r="AJ10" i="5"/>
  <c r="AJ8" i="5"/>
  <c r="AJ5" i="5"/>
  <c r="AK10" i="3"/>
  <c r="AK7" i="3"/>
  <c r="AK6" i="3"/>
  <c r="AK11" i="3"/>
  <c r="AK9" i="3"/>
  <c r="AK8" i="3"/>
  <c r="AK5" i="3"/>
  <c r="AK24" i="5"/>
  <c r="AK12" i="5"/>
  <c r="AK22" i="5"/>
  <c r="AK9" i="5"/>
  <c r="AK20" i="5"/>
  <c r="AK7" i="5"/>
  <c r="AK32" i="5"/>
  <c r="AK19" i="5"/>
  <c r="AK6" i="5"/>
  <c r="AK26" i="5"/>
  <c r="AK8" i="5"/>
  <c r="AK25" i="5"/>
  <c r="AK4" i="5"/>
  <c r="AK23" i="5"/>
  <c r="AK21" i="5"/>
  <c r="AK3" i="5"/>
  <c r="AK18" i="5"/>
  <c r="AK17" i="5"/>
  <c r="AK16" i="5"/>
  <c r="AK29" i="5"/>
  <c r="AK11" i="5"/>
  <c r="AK28" i="5"/>
  <c r="AK10" i="5"/>
  <c r="AK27" i="5"/>
  <c r="AK5" i="5"/>
  <c r="AK14" i="5"/>
  <c r="AK13" i="5"/>
  <c r="AK31" i="5"/>
  <c r="AK30" i="5"/>
  <c r="AK15" i="5"/>
  <c r="AH18" i="3"/>
  <c r="AH6" i="3"/>
  <c r="AH27" i="3"/>
  <c r="AH15" i="3"/>
  <c r="AH26" i="3"/>
  <c r="AH14" i="3"/>
  <c r="AH25" i="3"/>
  <c r="AH13" i="3"/>
  <c r="AH12" i="3"/>
  <c r="AH11" i="3"/>
  <c r="AH10" i="3"/>
  <c r="AH9" i="3"/>
  <c r="AH24" i="3"/>
  <c r="AH8" i="3"/>
  <c r="AH23" i="3"/>
  <c r="AH7" i="3"/>
  <c r="AH22" i="3"/>
  <c r="AH21" i="3"/>
  <c r="AH5" i="3"/>
  <c r="AH19" i="3"/>
  <c r="AH17" i="3"/>
  <c r="AH16" i="3"/>
  <c r="AH20" i="3"/>
  <c r="AJ18" i="3"/>
  <c r="AJ6" i="3"/>
  <c r="AJ15" i="3"/>
  <c r="AJ14" i="3"/>
  <c r="AJ13" i="3"/>
  <c r="AJ12" i="3"/>
  <c r="AJ11" i="3"/>
  <c r="AJ10" i="3"/>
  <c r="AJ9" i="3"/>
  <c r="AJ8" i="3"/>
  <c r="AJ23" i="3"/>
  <c r="AJ7" i="3"/>
  <c r="AJ22" i="3"/>
  <c r="AJ21" i="3"/>
  <c r="AJ5" i="3"/>
  <c r="AJ19" i="3"/>
  <c r="AJ17" i="3"/>
  <c r="AJ20" i="3"/>
  <c r="AJ16" i="3"/>
  <c r="AP6" i="5"/>
  <c r="AP8" i="5"/>
  <c r="AP7" i="5"/>
  <c r="AP3" i="5"/>
  <c r="AP5" i="5"/>
  <c r="AP4" i="5"/>
  <c r="AR4" i="5"/>
  <c r="AR3" i="5"/>
  <c r="AV9" i="5"/>
  <c r="AV5" i="5"/>
  <c r="AV8" i="5"/>
  <c r="AV7" i="5"/>
  <c r="AV3" i="5"/>
  <c r="AV6" i="5"/>
  <c r="AV4" i="5"/>
  <c r="AS9" i="5"/>
  <c r="AS7" i="5"/>
  <c r="AS5" i="5"/>
  <c r="AS4" i="5"/>
  <c r="AS8" i="5"/>
  <c r="AS6" i="5"/>
  <c r="AS3" i="5"/>
  <c r="AZ6" i="5"/>
  <c r="AZ4" i="5"/>
  <c r="AZ5" i="5"/>
  <c r="AZ3" i="5"/>
  <c r="AZ7" i="5"/>
  <c r="AE19" i="3"/>
  <c r="AE7" i="3"/>
  <c r="AE16" i="3"/>
  <c r="AE5" i="3"/>
  <c r="AE15" i="3"/>
  <c r="AE14" i="3"/>
  <c r="AE13" i="3"/>
  <c r="AE12" i="3"/>
  <c r="AE11" i="3"/>
  <c r="AE10" i="3"/>
  <c r="AE9" i="3"/>
  <c r="AE8" i="3"/>
  <c r="AE6" i="3"/>
  <c r="AE22" i="3"/>
  <c r="AE20" i="3"/>
  <c r="AE18" i="3"/>
  <c r="AE21" i="3"/>
  <c r="AE17" i="3"/>
  <c r="AU6" i="5"/>
  <c r="AU3" i="5"/>
  <c r="AU5" i="5"/>
  <c r="AU7" i="5"/>
  <c r="AU4" i="5"/>
  <c r="AU10" i="5"/>
  <c r="AU9" i="5"/>
  <c r="AU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tc={62FB723E-1209-4513-A5B5-CBF81443D962}</author>
    <author>tc={7132F43F-5925-4D2E-AC7A-8B9C31367B40}</author>
    <author>tc={8DE5E050-A2BC-40C3-A4D6-CC032890D8FD}</author>
    <author>tc={ED0528E3-B559-4A91-A95B-F1AE60E6330F}</author>
  </authors>
  <commentList>
    <comment ref="H57" authorId="0" shapeId="0" xr:uid="{62FB723E-1209-4513-A5B5-CBF81443D962}">
      <text>
        <t>[Threaded comment]
Your version of Excel allows you to read this threaded comment; however, any edits to it will get removed if the file is opened in a newer version of Excel. Learn more: https://go.microsoft.com/fwlink/?linkid=870924
Comment:
    Not in refugee setting</t>
      </text>
    </comment>
    <comment ref="H66" authorId="1" shapeId="0" xr:uid="{7132F43F-5925-4D2E-AC7A-8B9C31367B40}">
      <text>
        <t>[Threaded comment]
Your version of Excel allows you to read this threaded comment; however, any edits to it will get removed if the file is opened in a newer version of Excel. Learn more: https://go.microsoft.com/fwlink/?linkid=870924
Comment:
    Operated in refugee environments</t>
      </text>
    </comment>
    <comment ref="H73" authorId="2" shapeId="0" xr:uid="{8DE5E050-A2BC-40C3-A4D6-CC032890D8FD}">
      <text>
        <t>[Threaded comment]
Your version of Excel allows you to read this threaded comment; however, any edits to it will get removed if the file is opened in a newer version of Excel. Learn more: https://go.microsoft.com/fwlink/?linkid=870924
Comment:
    Not in refugee setting</t>
      </text>
    </comment>
    <comment ref="H83" authorId="3" shapeId="0" xr:uid="{ED0528E3-B559-4A91-A95B-F1AE60E6330F}">
      <text>
        <t>[Threaded comment]
Your version of Excel allows you to read this threaded comment; however, any edits to it will get removed if the file is opened in a newer version of Excel. Learn more: https://go.microsoft.com/fwlink/?linkid=870924
Comment:
    Note: Operated in northeast Nigeria (Borno, Adamawa, Yobe, and Gombe States as well as the expansion states of Benue, Kebbi, Ebonyi, Niger and FCT)where humanitarian crisis still takes place.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tc={AB2B85EC-8A99-404D-AC58-605ED8CE278C}</author>
    <author>tc={D0FA7E5E-2771-461A-919D-0CB4140C4799}</author>
    <author>tc={299C71AF-06F4-42E3-8D4D-28840AFC6A85}</author>
    <author>tc={9F0D19C6-BFAB-41BF-8D0B-8F2DA0807572}</author>
    <author>tc={359CB2CB-DFB9-411D-B3C4-F23EA82BC863}</author>
    <author>tc={8CB3263E-39F6-4C11-947C-34B73512A15F}</author>
  </authors>
  <commentList>
    <comment ref="AH50" authorId="0" shapeId="0" xr:uid="{AB2B85EC-8A99-404D-AC58-605ED8CE278C}">
      <text>
        <t>[Threaded comment]
Your version of Excel allows you to read this threaded comment; however, any edits to it will get removed if the file is opened in a newer version of Excel. Learn more: https://go.microsoft.com/fwlink/?linkid=870924
Comment:
    No available inflation data, but based on the automated grouping logics, it’s classified under Group 2B.</t>
      </text>
    </comment>
    <comment ref="H52" authorId="1" shapeId="0" xr:uid="{D0FA7E5E-2771-461A-919D-0CB4140C4799}">
      <text>
        <t>[Threaded comment]
Your version of Excel allows you to read this threaded comment; however, any edits to it will get removed if the file is opened in a newer version of Excel. Learn more: https://go.microsoft.com/fwlink/?linkid=870924
Comment:
    Not in refugee setting</t>
      </text>
    </comment>
    <comment ref="H61" authorId="2" shapeId="0" xr:uid="{299C71AF-06F4-42E3-8D4D-28840AFC6A85}">
      <text>
        <t>[Threaded comment]
Your version of Excel allows you to read this threaded comment; however, any edits to it will get removed if the file is opened in a newer version of Excel. Learn more: https://go.microsoft.com/fwlink/?linkid=870924
Comment:
    Note: Operated in refugee environments</t>
      </text>
    </comment>
    <comment ref="AH65" authorId="3" shapeId="0" xr:uid="{9F0D19C6-BFAB-41BF-8D0B-8F2DA0807572}">
      <text>
        <t>[Threaded comment]
Your version of Excel allows you to read this threaded comment; however, any edits to it will get removed if the file is opened in a newer version of Excel. Learn more: https://go.microsoft.com/fwlink/?linkid=870924
Comment:
    No available data but based on research, Palestine should be classified as Group 1.</t>
      </text>
    </comment>
    <comment ref="H67" authorId="4" shapeId="0" xr:uid="{359CB2CB-DFB9-411D-B3C4-F23EA82BC863}">
      <text>
        <t>[Threaded comment]
Your version of Excel allows you to read this threaded comment; however, any edits to it will get removed if the file is opened in a newer version of Excel. Learn more: https://go.microsoft.com/fwlink/?linkid=870924
Comment:
    Not in refugee setting</t>
      </text>
    </comment>
    <comment ref="H73" authorId="5" shapeId="0" xr:uid="{8CB3263E-39F6-4C11-947C-34B73512A15F}">
      <text>
        <t>[Threaded comment]
Your version of Excel allows you to read this threaded comment; however, any edits to it will get removed if the file is opened in a newer version of Excel. Learn more: https://go.microsoft.com/fwlink/?linkid=870924
Comment:
    Note: Operated in northeast Nigeria (Borno, Adamawa, Yobe, and Gombe States as well as the expansion states of Benue, Kebbi, Ebonyi, Niger and FCT)where humanitarian crisis still takes place.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tc={156C277D-49BC-4F58-93AB-6006620B1D8C}</author>
  </authors>
  <commentList>
    <comment ref="A8" authorId="0" shapeId="0" xr:uid="{156C277D-49BC-4F58-93AB-6006620B1D8C}">
      <text>
        <t>[Threaded comment]
Your version of Excel allows you to read this threaded comment; however, any edits to it will get removed if the file is opened in a newer version of Excel. Learn more: https://go.microsoft.com/fwlink/?linkid=870924
Comment:
    For ease of interpretation and analysis: 
1. Group 1 = Politically and macroeconomically constrained
2. Group 2A: Politically constrained only
3. Group 2B: Macroeconomically constrained only
4. Group 3: Stable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B5" authorId="0" shapeId="0" xr:uid="{00000000-0006-0000-0900-000001000000}">
      <text>
        <r>
          <rPr>
            <sz val="11"/>
            <color theme="1"/>
            <rFont val="Aptos Narrow"/>
            <family val="2"/>
            <scheme val="minor"/>
          </rPr>
          <t>Enter a whole-number count.</t>
        </r>
      </text>
    </comment>
    <comment ref="J5" authorId="0" shapeId="0" xr:uid="{00000000-0006-0000-0900-000002000000}">
      <text>
        <r>
          <rPr>
            <sz val="11"/>
            <color theme="1"/>
            <rFont val="Aptos Narrow"/>
            <family val="2"/>
            <scheme val="minor"/>
          </rPr>
          <t>Choose the ratio you want to benchmark.</t>
        </r>
      </text>
    </comment>
    <comment ref="B6" authorId="0" shapeId="0" xr:uid="{00000000-0006-0000-0900-000003000000}">
      <text>
        <r>
          <rPr>
            <sz val="11"/>
            <color theme="1"/>
            <rFont val="Aptos Narrow"/>
            <family val="2"/>
            <scheme val="minor"/>
          </rPr>
          <t>Enter the total additional income generated in USD.</t>
        </r>
      </text>
    </comment>
    <comment ref="J6" authorId="0" shapeId="0" xr:uid="{00000000-0006-0000-0900-000004000000}">
      <text>
        <r>
          <rPr>
            <sz val="11"/>
            <color theme="1"/>
            <rFont val="Aptos Narrow"/>
            <family val="2"/>
            <scheme val="minor"/>
          </rPr>
          <t>Choose the benchmark grouping you want to compare against.</t>
        </r>
      </text>
    </comment>
    <comment ref="B7" authorId="0" shapeId="0" xr:uid="{00000000-0006-0000-0900-000005000000}">
      <text>
        <r>
          <rPr>
            <sz val="11"/>
            <color theme="1"/>
            <rFont val="Aptos Narrow"/>
            <family val="2"/>
            <scheme val="minor"/>
          </rPr>
          <t>Enter the total programme cost in USD.</t>
        </r>
      </text>
    </comment>
    <comment ref="J7" authorId="0" shapeId="0" xr:uid="{00000000-0006-0000-0900-000006000000}">
      <text>
        <r>
          <rPr>
            <sz val="11"/>
            <color theme="1"/>
            <rFont val="Aptos Narrow"/>
            <family val="2"/>
            <scheme val="minor"/>
          </rPr>
          <t>Choose the category within the selected group.</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38">
    <bk>
      <extLst>
        <ext uri="{3e2802c4-a4d2-4d8b-9148-e3be6c30e623}">
          <xlrd:rvb i="0"/>
        </ext>
      </extLst>
    </bk>
    <bk>
      <extLst>
        <ext uri="{3e2802c4-a4d2-4d8b-9148-e3be6c30e623}">
          <xlrd:rvb i="47"/>
        </ext>
      </extLst>
    </bk>
    <bk>
      <extLst>
        <ext uri="{3e2802c4-a4d2-4d8b-9148-e3be6c30e623}">
          <xlrd:rvb i="102"/>
        </ext>
      </extLst>
    </bk>
    <bk>
      <extLst>
        <ext uri="{3e2802c4-a4d2-4d8b-9148-e3be6c30e623}">
          <xlrd:rvb i="188"/>
        </ext>
      </extLst>
    </bk>
    <bk>
      <extLst>
        <ext uri="{3e2802c4-a4d2-4d8b-9148-e3be6c30e623}">
          <xlrd:rvb i="243"/>
        </ext>
      </extLst>
    </bk>
    <bk>
      <extLst>
        <ext uri="{3e2802c4-a4d2-4d8b-9148-e3be6c30e623}">
          <xlrd:rvb i="323"/>
        </ext>
      </extLst>
    </bk>
    <bk>
      <extLst>
        <ext uri="{3e2802c4-a4d2-4d8b-9148-e3be6c30e623}">
          <xlrd:rvb i="393"/>
        </ext>
      </extLst>
    </bk>
    <bk>
      <extLst>
        <ext uri="{3e2802c4-a4d2-4d8b-9148-e3be6c30e623}">
          <xlrd:rvb i="444"/>
        </ext>
      </extLst>
    </bk>
    <bk>
      <extLst>
        <ext uri="{3e2802c4-a4d2-4d8b-9148-e3be6c30e623}">
          <xlrd:rvb i="498"/>
        </ext>
      </extLst>
    </bk>
    <bk>
      <extLst>
        <ext uri="{3e2802c4-a4d2-4d8b-9148-e3be6c30e623}">
          <xlrd:rvb i="558"/>
        </ext>
      </extLst>
    </bk>
    <bk>
      <extLst>
        <ext uri="{3e2802c4-a4d2-4d8b-9148-e3be6c30e623}">
          <xlrd:rvb i="616"/>
        </ext>
      </extLst>
    </bk>
    <bk>
      <extLst>
        <ext uri="{3e2802c4-a4d2-4d8b-9148-e3be6c30e623}">
          <xlrd:rvb i="639"/>
        </ext>
      </extLst>
    </bk>
    <bk>
      <extLst>
        <ext uri="{3e2802c4-a4d2-4d8b-9148-e3be6c30e623}">
          <xlrd:rvb i="704"/>
        </ext>
      </extLst>
    </bk>
    <bk>
      <extLst>
        <ext uri="{3e2802c4-a4d2-4d8b-9148-e3be6c30e623}">
          <xlrd:rvb i="795"/>
        </ext>
      </extLst>
    </bk>
    <bk>
      <extLst>
        <ext uri="{3e2802c4-a4d2-4d8b-9148-e3be6c30e623}">
          <xlrd:rvb i="848"/>
        </ext>
      </extLst>
    </bk>
    <bk>
      <extLst>
        <ext uri="{3e2802c4-a4d2-4d8b-9148-e3be6c30e623}">
          <xlrd:rvb i="903"/>
        </ext>
      </extLst>
    </bk>
    <bk>
      <extLst>
        <ext uri="{3e2802c4-a4d2-4d8b-9148-e3be6c30e623}">
          <xlrd:rvb i="1059"/>
        </ext>
      </extLst>
    </bk>
    <bk>
      <extLst>
        <ext uri="{3e2802c4-a4d2-4d8b-9148-e3be6c30e623}">
          <xlrd:rvb i="1104"/>
        </ext>
      </extLst>
    </bk>
    <bk>
      <extLst>
        <ext uri="{3e2802c4-a4d2-4d8b-9148-e3be6c30e623}">
          <xlrd:rvb i="1143"/>
        </ext>
      </extLst>
    </bk>
    <bk>
      <extLst>
        <ext uri="{3e2802c4-a4d2-4d8b-9148-e3be6c30e623}">
          <xlrd:rvb i="1196"/>
        </ext>
      </extLst>
    </bk>
    <bk>
      <extLst>
        <ext uri="{3e2802c4-a4d2-4d8b-9148-e3be6c30e623}">
          <xlrd:rvb i="1250"/>
        </ext>
      </extLst>
    </bk>
    <bk>
      <extLst>
        <ext uri="{3e2802c4-a4d2-4d8b-9148-e3be6c30e623}">
          <xlrd:rvb i="1321"/>
        </ext>
      </extLst>
    </bk>
    <bk>
      <extLst>
        <ext uri="{3e2802c4-a4d2-4d8b-9148-e3be6c30e623}">
          <xlrd:rvb i="1383"/>
        </ext>
      </extLst>
    </bk>
    <bk>
      <extLst>
        <ext uri="{3e2802c4-a4d2-4d8b-9148-e3be6c30e623}">
          <xlrd:rvb i="1464"/>
        </ext>
      </extLst>
    </bk>
    <bk>
      <extLst>
        <ext uri="{3e2802c4-a4d2-4d8b-9148-e3be6c30e623}">
          <xlrd:rvb i="1522"/>
        </ext>
      </extLst>
    </bk>
    <bk>
      <extLst>
        <ext uri="{3e2802c4-a4d2-4d8b-9148-e3be6c30e623}">
          <xlrd:rvb i="1567"/>
        </ext>
      </extLst>
    </bk>
    <bk>
      <extLst>
        <ext uri="{3e2802c4-a4d2-4d8b-9148-e3be6c30e623}">
          <xlrd:rvb i="1612"/>
        </ext>
      </extLst>
    </bk>
    <bk>
      <extLst>
        <ext uri="{3e2802c4-a4d2-4d8b-9148-e3be6c30e623}">
          <xlrd:rvb i="1656"/>
        </ext>
      </extLst>
    </bk>
    <bk>
      <extLst>
        <ext uri="{3e2802c4-a4d2-4d8b-9148-e3be6c30e623}">
          <xlrd:rvb i="1722"/>
        </ext>
      </extLst>
    </bk>
    <bk>
      <extLst>
        <ext uri="{3e2802c4-a4d2-4d8b-9148-e3be6c30e623}">
          <xlrd:rvb i="1766"/>
        </ext>
      </extLst>
    </bk>
    <bk>
      <extLst>
        <ext uri="{3e2802c4-a4d2-4d8b-9148-e3be6c30e623}">
          <xlrd:rvb i="1818"/>
        </ext>
      </extLst>
    </bk>
    <bk>
      <extLst>
        <ext uri="{3e2802c4-a4d2-4d8b-9148-e3be6c30e623}">
          <xlrd:rvb i="1868"/>
        </ext>
      </extLst>
    </bk>
    <bk>
      <extLst>
        <ext uri="{3e2802c4-a4d2-4d8b-9148-e3be6c30e623}">
          <xlrd:rvb i="1914"/>
        </ext>
      </extLst>
    </bk>
    <bk>
      <extLst>
        <ext uri="{3e2802c4-a4d2-4d8b-9148-e3be6c30e623}">
          <xlrd:rvb i="1963"/>
        </ext>
      </extLst>
    </bk>
    <bk>
      <extLst>
        <ext uri="{3e2802c4-a4d2-4d8b-9148-e3be6c30e623}">
          <xlrd:rvb i="2019"/>
        </ext>
      </extLst>
    </bk>
    <bk>
      <extLst>
        <ext uri="{3e2802c4-a4d2-4d8b-9148-e3be6c30e623}">
          <xlrd:rvb i="2076"/>
        </ext>
      </extLst>
    </bk>
    <bk>
      <extLst>
        <ext uri="{3e2802c4-a4d2-4d8b-9148-e3be6c30e623}">
          <xlrd:rvb i="2126"/>
        </ext>
      </extLst>
    </bk>
    <bk>
      <extLst>
        <ext uri="{3e2802c4-a4d2-4d8b-9148-e3be6c30e623}">
          <xlrd:rvb i="2127"/>
        </ext>
      </extLst>
    </bk>
  </futureMetadata>
  <futureMetadata name="XLDAPR" count="1">
    <bk>
      <extLst>
        <ext uri="{bdbb8cdc-fa1e-496e-a857-3c3f30c029c3}">
          <xda:dynamicArrayProperties fDynamic="1" fCollapsed="0"/>
        </ext>
      </extLst>
    </bk>
  </futureMetadata>
  <cellMetadata count="1">
    <bk>
      <rc t="2" v="0"/>
    </bk>
  </cellMetadata>
  <valueMetadata count="3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valueMetadata>
</metadata>
</file>

<file path=xl/sharedStrings.xml><?xml version="1.0" encoding="utf-8"?>
<sst xmlns="http://schemas.openxmlformats.org/spreadsheetml/2006/main" count="12145" uniqueCount="1615">
  <si>
    <t>Programmes</t>
  </si>
  <si>
    <t>Code</t>
  </si>
  <si>
    <t>Donor 1</t>
  </si>
  <si>
    <t>Donor 2</t>
  </si>
  <si>
    <t>Donor 3</t>
  </si>
  <si>
    <t>Donor 4</t>
  </si>
  <si>
    <t>Main Implementer</t>
  </si>
  <si>
    <t>Country</t>
  </si>
  <si>
    <t>Start</t>
  </si>
  <si>
    <t>End</t>
  </si>
  <si>
    <t>Programme Length</t>
  </si>
  <si>
    <t>Sector</t>
  </si>
  <si>
    <t>Primary Objective</t>
  </si>
  <si>
    <t>Link to BEAM Project Page (if applicable)</t>
  </si>
  <si>
    <t>Political Stability (Av. of Prog Period)</t>
  </si>
  <si>
    <t>Inflation (Av. of Prog Period)</t>
  </si>
  <si>
    <t>World Bank:Stable vs. FCAS</t>
  </si>
  <si>
    <t># of Beneficiaries</t>
  </si>
  <si>
    <t>Beneficiary Income Generated (USD)</t>
  </si>
  <si>
    <t>Cost (USD)</t>
  </si>
  <si>
    <t>FTE/Jobs Created</t>
  </si>
  <si>
    <t>Jobs Improved</t>
  </si>
  <si>
    <t>Buinesses Engaged</t>
  </si>
  <si>
    <t>Private Sector Investment (USD)</t>
  </si>
  <si>
    <t>Private Sector Revenues Generated (USD)</t>
  </si>
  <si>
    <t>Export Value Generated (USD)</t>
  </si>
  <si>
    <t>Income per beneficiary (USD)</t>
  </si>
  <si>
    <t xml:space="preserve">Private Sector Investment (USD) / Project cost </t>
  </si>
  <si>
    <t>Private Sector Revenues Generated (USD) / Project cost</t>
  </si>
  <si>
    <t>Export Revenue Generated/Project Cost</t>
  </si>
  <si>
    <t>Cost (USD)/Job created</t>
  </si>
  <si>
    <t>Job created per $Mn</t>
  </si>
  <si>
    <t>Cost (USD)/Job improved</t>
  </si>
  <si>
    <t>Job improved per $Mn</t>
  </si>
  <si>
    <t>Beneficiary Income (USD) / Project Cost</t>
  </si>
  <si>
    <t>Systemic Approach to Refugee and Host Communities Livelihoods in Nepal</t>
  </si>
  <si>
    <t>AIMS</t>
  </si>
  <si>
    <t>UNHCR</t>
  </si>
  <si>
    <t>ILO</t>
  </si>
  <si>
    <t>Agriculture</t>
  </si>
  <si>
    <t>income improvement; resilience</t>
  </si>
  <si>
    <t>N/A - report provided by ILO</t>
  </si>
  <si>
    <t>FCAS</t>
  </si>
  <si>
    <t>Partnerships and Value Expansion for Seed Systems in (Phase 1)</t>
  </si>
  <si>
    <t>PAVE-Pakistan-PH1</t>
  </si>
  <si>
    <t>DFAT</t>
  </si>
  <si>
    <t>MEDA / Engro Foundation</t>
  </si>
  <si>
    <t>food security</t>
  </si>
  <si>
    <t>https://beamexchange.org/implement/programme-index/pave-partnerships-and-value-expansion-for-seed-systems-in-phase-1/</t>
  </si>
  <si>
    <t>Stable</t>
  </si>
  <si>
    <t>Poultry Development for Resettlement</t>
  </si>
  <si>
    <t>PDR</t>
  </si>
  <si>
    <t>Bill &amp; Melinda Gates Foundation</t>
  </si>
  <si>
    <t>Mercy Corps</t>
  </si>
  <si>
    <t>N/A - report provided by Mercy Corps</t>
  </si>
  <si>
    <t>Hilando Culturas (Spinning Cultures)</t>
  </si>
  <si>
    <t>Hilando Culturas</t>
  </si>
  <si>
    <t>EU</t>
  </si>
  <si>
    <t>Practical Action</t>
  </si>
  <si>
    <t>Multiple (Bolivia, Peru)</t>
  </si>
  <si>
    <t>https://beamexchange.org/implement/programme-index/hilando-culturas-spinning-cultures/</t>
  </si>
  <si>
    <t>Promoting  the Advancement of Vulnerable Persons and Enterprises Project</t>
  </si>
  <si>
    <t>PAVE-SriLanka</t>
  </si>
  <si>
    <t>NORAD</t>
  </si>
  <si>
    <t>job creation, income improvement; resilience</t>
  </si>
  <si>
    <t>More Income Generated for Poor Families in Indonesia</t>
  </si>
  <si>
    <t>MORINGA</t>
  </si>
  <si>
    <t>Australian NGO Cooperation Prog. (ANCP)</t>
  </si>
  <si>
    <t>World Vision Australia</t>
  </si>
  <si>
    <t>Wahana Visi Indonesia (supported by World Vision Australia)</t>
  </si>
  <si>
    <t>https://beamexchange.org/implement/programme-index/moringa-more-income-generated-for-poor-families-in-indonesia/</t>
  </si>
  <si>
    <t>Construya Peru: Construcción segura, saludable y sostenible en sectores urbanos vulnerables (Phase 2)</t>
  </si>
  <si>
    <t>Construya Peru-PH 2</t>
  </si>
  <si>
    <t>Hilti Foundation</t>
  </si>
  <si>
    <t>Swisscontact</t>
  </si>
  <si>
    <t>Infrastructure; Construction</t>
  </si>
  <si>
    <t>job improvement</t>
  </si>
  <si>
    <t>https://beamexchange.org/implement/programme-index/construya-peru-construcci%C3%B3n-segura-saludable-y-sostenible-en-sectores-urbanos-vulnerables/</t>
  </si>
  <si>
    <t>Building Inclusive Markets and Decent Work for Syrian Refugees and Lebanese Host Communities</t>
  </si>
  <si>
    <t>BOZOUR</t>
  </si>
  <si>
    <t>Sida</t>
  </si>
  <si>
    <t>SDVC Bangladesh: Strengthening the Dairy Value Chain</t>
  </si>
  <si>
    <t>SDVC</t>
  </si>
  <si>
    <t>CARE</t>
  </si>
  <si>
    <t>income improvement</t>
  </si>
  <si>
    <t>https://beamexchange.org/implement/programme-index/sdvc-bangladesh-strengthening-the-dairy-value-chain/</t>
  </si>
  <si>
    <t xml:space="preserve">Making vegetable markets work for small-holders </t>
  </si>
  <si>
    <t>MVMW</t>
  </si>
  <si>
    <t>LIFT</t>
  </si>
  <si>
    <t>Alliances for Coconut Industry Development for the Caribbean</t>
  </si>
  <si>
    <t>CIDC</t>
  </si>
  <si>
    <t>ITC</t>
  </si>
  <si>
    <t>Multiple (Antigua and Barbuda, Barbados, Belize, Dominica, Dominican Republic, Guyana, Jamaica, Saint Lucia, Saint Vincent and the Grenadines, Suriname, Trinidad and Tobago)</t>
  </si>
  <si>
    <t>job creation; income</t>
  </si>
  <si>
    <t>https://beamexchange.org/implement/programme-index/cidc-alliances-for-coconut-industry-development-for-the-caribbean/</t>
  </si>
  <si>
    <t>Google Youth Employment Opportunity Impact Labs (Jordan and Kenya)</t>
  </si>
  <si>
    <t>Google-Labs</t>
  </si>
  <si>
    <t>Google</t>
  </si>
  <si>
    <t>Multiple (Jordan and Kenya)</t>
  </si>
  <si>
    <t>IT services</t>
  </si>
  <si>
    <t>Promoting Sustainable Partnerships for 
Economic Transformation</t>
  </si>
  <si>
    <t>PROSPECT IV</t>
  </si>
  <si>
    <t>Enhancing Youth Employment (Phase 3)</t>
  </si>
  <si>
    <t>EYE - PH3</t>
  </si>
  <si>
    <t>SDC</t>
  </si>
  <si>
    <t>Helvetas Swiss Intercooperation</t>
  </si>
  <si>
    <t>Education (including skills development and job matching)</t>
  </si>
  <si>
    <t>job creation</t>
  </si>
  <si>
    <t>https://beamexchange.org/implement/programme-index/eye-enhancing-youth-employment-phase-3/</t>
  </si>
  <si>
    <t>Economic Empowerment of Guatemalan Indigenous Youth and Women</t>
  </si>
  <si>
    <t>EMPODDERA</t>
  </si>
  <si>
    <t>N/A - report provided by Sida</t>
  </si>
  <si>
    <t>Increasing Market Employability</t>
  </si>
  <si>
    <t>IME</t>
  </si>
  <si>
    <t>Multiple (Tourism, Agricuture, and Infrastructure)</t>
  </si>
  <si>
    <t>job creation; income improvement; resilience</t>
  </si>
  <si>
    <t>https://beamexchange.org/implement/programme-index/ime-increasing-market-employability/</t>
  </si>
  <si>
    <t>Market Opportunities for Livelihood Improvement (Phase 2)</t>
  </si>
  <si>
    <t>MOLI-PH2</t>
  </si>
  <si>
    <t>HEKS/EPER</t>
  </si>
  <si>
    <t>https://beamexchange.org/implement/programme-index/moli-market-opportunities-for-livelihood-improvement-phase-2/</t>
  </si>
  <si>
    <t>Women in Business</t>
  </si>
  <si>
    <t>WIN</t>
  </si>
  <si>
    <t>TechnoServe</t>
  </si>
  <si>
    <t>Multiple (Financial services)</t>
  </si>
  <si>
    <t>job creation, resilience</t>
  </si>
  <si>
    <t>https://beamexchange.org/implement/programme-index/win-women-in-business/</t>
  </si>
  <si>
    <t>Local Empowerment through Economic Development and Reconciliation Project</t>
  </si>
  <si>
    <t>LEED+</t>
  </si>
  <si>
    <t>Tourism</t>
  </si>
  <si>
    <t>Revitalizing agriculture incomes and new markets</t>
  </si>
  <si>
    <t>RAIN</t>
  </si>
  <si>
    <t>USDA</t>
  </si>
  <si>
    <t>Local Empowerment through Economic Development Project and Local Economic Development through Tourism Project</t>
  </si>
  <si>
    <t>LEED</t>
  </si>
  <si>
    <t>Improving Market Systems for Agriculture in Rwanda</t>
  </si>
  <si>
    <t>IMSAR</t>
  </si>
  <si>
    <t>FCDO</t>
  </si>
  <si>
    <t>Palladium</t>
  </si>
  <si>
    <t>food security; income</t>
  </si>
  <si>
    <t>https://beamexchange.org/implement/programme-index/imsar-improving-market-systems-for-agriculture-in-rwanda/</t>
  </si>
  <si>
    <t>Enhancing Youth Employment (Phase 1)</t>
  </si>
  <si>
    <t>EYE - PH1</t>
  </si>
  <si>
    <t>https://beamexchange.org/implement/programme-index/eye-enhancing-youth-employment-phase-1/</t>
  </si>
  <si>
    <t>Prosperity for the Poor and Disadvantaged (Phase 2)</t>
  </si>
  <si>
    <t>SHOMOSHTI-PH2</t>
  </si>
  <si>
    <t>CARE Bangladesh</t>
  </si>
  <si>
    <t>https://beamexchange.org/implement/programme-index/shomoshti-prosperity-for-the-poor-and-disadvantaged-phase-2/</t>
  </si>
  <si>
    <t>Enhancing Youth Employment (Phase 2)</t>
  </si>
  <si>
    <t>EYE - PH2</t>
  </si>
  <si>
    <t>https://beamexchange.org/implement/programme-index/eye-enhancing-youth-employment-phase-2/</t>
  </si>
  <si>
    <t>Food Security and Resilience in Transitioning Environments</t>
  </si>
  <si>
    <t>FORESITE</t>
  </si>
  <si>
    <t>World Vision Australia (WVA)</t>
  </si>
  <si>
    <t>World Vision South Sudan</t>
  </si>
  <si>
    <t>https://beamexchange.org/implement/programme-index/foresite-food-security-and-resilience-in-transitioning-environments/</t>
  </si>
  <si>
    <t>Sahaj - Nepal Agricultural Market Development Programme (Phase 1)</t>
  </si>
  <si>
    <t>NAMDP-PH1</t>
  </si>
  <si>
    <t>https://beamexchange.org/implement/programme-index/namdp-sahaj-nepal-agricultural-market-development-programme-phase-1/</t>
  </si>
  <si>
    <t>Mercados Rurales</t>
  </si>
  <si>
    <t>Swisscontact and PROFIN</t>
  </si>
  <si>
    <t>https://beamexchange.org/implement/programme-index/mercados-rurales/</t>
  </si>
  <si>
    <t>Youth in Agribusiness</t>
  </si>
  <si>
    <t>Yapasa</t>
  </si>
  <si>
    <t>ILO + FAO</t>
  </si>
  <si>
    <t>https://beamexchange.org/implement/programme-index/yapasa-youth-in-agribusiness/</t>
  </si>
  <si>
    <t>Road to Jobs</t>
  </si>
  <si>
    <t>R2J</t>
  </si>
  <si>
    <t>https://beamexchange.org/implement/programme-index/r2j-road-to-jobs/</t>
  </si>
  <si>
    <t>Agricultural Inputs Activity - Uganda</t>
  </si>
  <si>
    <t>Ag Inputs</t>
  </si>
  <si>
    <t>USAID</t>
  </si>
  <si>
    <t>TetraTech</t>
  </si>
  <si>
    <t>https://beamexchange.org/implement/programme-index/ag-inputs-agricultural-inputs-activity/</t>
  </si>
  <si>
    <t>Resilient Communities Program</t>
  </si>
  <si>
    <t>RCP</t>
  </si>
  <si>
    <t>XacBank</t>
  </si>
  <si>
    <t>Sahaj: Nepal Agricultural Market Development Programme (Phase 2)</t>
  </si>
  <si>
    <t>NAMDP-PH2</t>
  </si>
  <si>
    <t>https://beamexchange.org/implement/programme-index/namdp-sahaj-nepal-agricultural-market-development-programme-phase-2/</t>
  </si>
  <si>
    <t>FTF Bangladesh Livestock Production for Improved Nutrition Activity</t>
  </si>
  <si>
    <t>LPINA</t>
  </si>
  <si>
    <t>ACDI/VOCA</t>
  </si>
  <si>
    <t>N/A - report provided by ACDI/VOCA</t>
  </si>
  <si>
    <t>Increasing the income of horticultural smallholders in Northern Mozambique</t>
  </si>
  <si>
    <t>Horti-Sempre</t>
  </si>
  <si>
    <t>https://beamexchange.org/implement/programme-index/horti-sempre-increasing-the-income-of-horticultural-smallholders-in-northern-mozambique/</t>
  </si>
  <si>
    <t>Livelihood Enhancement through Agricultural Development</t>
  </si>
  <si>
    <t>LEAD</t>
  </si>
  <si>
    <t>BRAC</t>
  </si>
  <si>
    <t>https://beamexchange.org/implement/programme-index/lead-livelihood-enhancement-through-agricultural-development/</t>
  </si>
  <si>
    <t>Cambodia Horticulture Advancing Income and Nutrition</t>
  </si>
  <si>
    <t>CHAIN</t>
  </si>
  <si>
    <t>SNV Netherlands</t>
  </si>
  <si>
    <t>food security; resilience</t>
  </si>
  <si>
    <t>https://beamexchange.org/implement/programme-index/chain-cambodia-horticulture-advancing-income-nutrition/</t>
  </si>
  <si>
    <t>Northern Uganda - Transforming the Economy through Climate Smart Agriculture (Financial Services Component)</t>
  </si>
  <si>
    <t>NU-TEC-FS</t>
  </si>
  <si>
    <t>Sierra Leone Opportunities for Business Action</t>
  </si>
  <si>
    <t>SOBA</t>
  </si>
  <si>
    <t>Adam Smith International</t>
  </si>
  <si>
    <t>Multiple (Agriculture, Energy, ICT)</t>
  </si>
  <si>
    <t>https://beamexchange.org/implement/programme-index/soba-sierra-leone-opportunities-for-business-action/</t>
  </si>
  <si>
    <t>Zambia Green Jobs Programme</t>
  </si>
  <si>
    <t>ZGJP</t>
  </si>
  <si>
    <t>Finland MoFA</t>
  </si>
  <si>
    <t>https://beamexchange.org/implement/programme-index/zgjp-zambia-green-jobs-programme/</t>
  </si>
  <si>
    <t>Promoting Private Sector Employment (Phase 2 &amp; 3)</t>
  </si>
  <si>
    <t>PPSE-PH2&amp;3</t>
  </si>
  <si>
    <t>Multiple (Tourism, Food and Natural Ingredients)</t>
  </si>
  <si>
    <t>https://beamexchange.org/implement/programme-index/ppse-promoting-private-sector-employment/</t>
  </si>
  <si>
    <t>FTF Rwanda Orora Wihaze Activity</t>
  </si>
  <si>
    <t>Orora Wihaze</t>
  </si>
  <si>
    <t>Venture37</t>
  </si>
  <si>
    <t>https://beamexchange.org/implement/programme-index/orora-wihaze/</t>
  </si>
  <si>
    <t>Maendeleo Sawa</t>
  </si>
  <si>
    <t>M-Sawa</t>
  </si>
  <si>
    <t>MEDA (Mennonite Economic Development Associates)</t>
  </si>
  <si>
    <t>https://beamexchange.org/implement/programme-index/m-sawa-maendeleo-sawa/</t>
  </si>
  <si>
    <t>Gender Transformative &amp; Responsible Agribusiness Investment in South East Asia - Phase 2</t>
  </si>
  <si>
    <t>GRAISEA-PH2</t>
  </si>
  <si>
    <t>Oxfam</t>
  </si>
  <si>
    <t>Multiple (Cambodia, Indonesia, Pakistan, Philippines, and Vietnam)</t>
  </si>
  <si>
    <t>MarketMakers (Phase1-3)</t>
  </si>
  <si>
    <t>MarketMakers-PH1-3</t>
  </si>
  <si>
    <t>Helvetas / Kolektiv Ltd</t>
  </si>
  <si>
    <t>Multiple (IT, Tourism, Entrepreneurship)</t>
  </si>
  <si>
    <t>https://beamexchange.org/implement/programme-index/marketmakers/</t>
  </si>
  <si>
    <t>FTF Rwanda Nguriza Nshore</t>
  </si>
  <si>
    <t>Nguriza Nshore</t>
  </si>
  <si>
    <t>DAI</t>
  </si>
  <si>
    <t>N/A - report provided by former USAID</t>
  </si>
  <si>
    <t>Strengthening African Rural Smallholders</t>
  </si>
  <si>
    <t>STARS</t>
  </si>
  <si>
    <t>Mastercard Foundation</t>
  </si>
  <si>
    <t>ICCO Cooperation</t>
  </si>
  <si>
    <t>Multiple (Burkina Faso, Ethiopia, Senegal, Rwanda)</t>
  </si>
  <si>
    <t>Multiple (financial services; agriculture)</t>
  </si>
  <si>
    <t>access to finance and end-markets</t>
  </si>
  <si>
    <t>https://beamexchange.org/implement/programme-index/stars-strengthening-african-rural-smallholders/</t>
  </si>
  <si>
    <t>Both</t>
  </si>
  <si>
    <t>FTF Bangladesh Horticulture, Fruits, and Non-Food Crops Activity</t>
  </si>
  <si>
    <t>HFNFC</t>
  </si>
  <si>
    <t>Chemonics</t>
  </si>
  <si>
    <t>Energy Efficiency in Brick Kilns in Latin America</t>
  </si>
  <si>
    <t>EELA</t>
  </si>
  <si>
    <t>Multiple (Argentina, Bolivia, Brazil, Colombia, Ecuador, Mexico, Peru)</t>
  </si>
  <si>
    <t>Construction</t>
  </si>
  <si>
    <t>energy security</t>
  </si>
  <si>
    <t>https://beamexchange.org/implement/programme-index/eela-energy-efficiency-in-brick-kilns-in-latin-america/</t>
  </si>
  <si>
    <t xml:space="preserve">Serbia Big Small Businesses Project </t>
  </si>
  <si>
    <t>BSB-Serbia</t>
  </si>
  <si>
    <t>Promoting Inclusive Markets in Somalia</t>
  </si>
  <si>
    <t>PIMS</t>
  </si>
  <si>
    <t>DANIDA</t>
  </si>
  <si>
    <t>https://beamexchange.org/implement/programme-index/pims-promoting-inclusive-markets-in-somalia/</t>
  </si>
  <si>
    <t>Livelihood improvement for women and youth</t>
  </si>
  <si>
    <t>LIWAY</t>
  </si>
  <si>
    <t>SNV</t>
  </si>
  <si>
    <t>IT services, training</t>
  </si>
  <si>
    <t>Market Development for Northern Ghana</t>
  </si>
  <si>
    <t>MADE-Ghana</t>
  </si>
  <si>
    <t>https://beamexchange.org/implement/programme-index/made-market-development-for-northern-ghana/</t>
  </si>
  <si>
    <t xml:space="preserve">Tajikistan Market Driven Rural Development Activity </t>
  </si>
  <si>
    <t>MDRD</t>
  </si>
  <si>
    <t>FTF Uganda Commodity Production and Marketing Activity</t>
  </si>
  <si>
    <t>CPM</t>
  </si>
  <si>
    <t>Agricultural Innovations Activity</t>
  </si>
  <si>
    <t>FTF Inova</t>
  </si>
  <si>
    <t>https://beamexchange.org/implement/programme-index/ftf-inova-agricultural-innovations-activity/</t>
  </si>
  <si>
    <t>Making Markets Work for the Jamuna, Padma and Teesta Chars</t>
  </si>
  <si>
    <t>M4C</t>
  </si>
  <si>
    <t>Swisscontact / Rural development academy (RDA)</t>
  </si>
  <si>
    <t>Multiple (Agriculture, Financial Services)</t>
  </si>
  <si>
    <t>https://beamexchange.org/implement/programme-index/m4c-making-markets-work-for-the-jamuna-padma-and-teesta-chars/</t>
  </si>
  <si>
    <t>Private Enterprise Programme Zambia</t>
  </si>
  <si>
    <t>PEPZ</t>
  </si>
  <si>
    <t>Nathan Associates</t>
  </si>
  <si>
    <t>Multiple (mining, tourism, business services, agriculture)</t>
  </si>
  <si>
    <t>https://beamexchange.org/implement/programme-index/pepz-private-enterprise-programme-zambia/</t>
  </si>
  <si>
    <t>Innovation for Agribusiness - Phase 1 - 3</t>
  </si>
  <si>
    <t>InovAgro</t>
  </si>
  <si>
    <t>https://beamexchange.org/implement/programme-index/inovagro-innovation-for-agribusiness/</t>
  </si>
  <si>
    <t>FTF Tanzania NAFAKA</t>
  </si>
  <si>
    <t>NAFAKA</t>
  </si>
  <si>
    <t>GROW Liberia</t>
  </si>
  <si>
    <t>GROW</t>
  </si>
  <si>
    <t>https://beamexchange.org/implement/programme-index/grow-liberia/</t>
  </si>
  <si>
    <t xml:space="preserve">Kyrgyzstan Enterprise Competitiveness Project </t>
  </si>
  <si>
    <t>ECP</t>
  </si>
  <si>
    <t>Multiple (agriculture, food processing, apparel industry, tourism, education, and IT)</t>
  </si>
  <si>
    <t>FTF Senegal Naatal Mbay</t>
  </si>
  <si>
    <t>Naatal Mbay</t>
  </si>
  <si>
    <t>RTI International</t>
  </si>
  <si>
    <t>Northern Uganda - Transforming the Economy through Climate Smart Agriculture (Climate Smart Jobs Initiative)</t>
  </si>
  <si>
    <t>NU-TEC-CSJ</t>
  </si>
  <si>
    <t>https://beamexchange.org/implement/programme-index/nu-tec-northern-uganda-transforming-the-economy-through-climate-smart-agriculture/</t>
  </si>
  <si>
    <t>Rice and Diversified Crops Activity</t>
  </si>
  <si>
    <t>RDC</t>
  </si>
  <si>
    <t>https://beamexchange.org/implement/programme-index/rdc-rice-and-diversified-crops-activity/</t>
  </si>
  <si>
    <t xml:space="preserve">Georgia Economic Security Program </t>
  </si>
  <si>
    <t>ESP</t>
  </si>
  <si>
    <t>Multiple (tourism, creative industries, light manufacturing, solid waste management, and shared intellectual services)</t>
  </si>
  <si>
    <t>Local Empowerment through Economic Development</t>
  </si>
  <si>
    <t>LEED-PH1&amp;2</t>
  </si>
  <si>
    <t>N/A - merged programme</t>
  </si>
  <si>
    <t>Market Development in the Niger Delta - Phases I and II</t>
  </si>
  <si>
    <t>MADE Nigeria-PH1&amp;2</t>
  </si>
  <si>
    <t>https://beamexchange.org/implement/programme-index/made-market-development-in-the-niger-delta-phases-i-and-ii/</t>
  </si>
  <si>
    <t>Palestinian Market Development Programme</t>
  </si>
  <si>
    <t>PMDP</t>
  </si>
  <si>
    <t>Palestine</t>
  </si>
  <si>
    <t>Multiple (agriculture,ICT, tourism, etc)</t>
  </si>
  <si>
    <t>https://beamexchange.org/implement/programme-index/pmdp-palestinian-market-development-programme/</t>
  </si>
  <si>
    <t>N/A</t>
  </si>
  <si>
    <t>Kenya Market Assistance Programme</t>
  </si>
  <si>
    <t>KMAP</t>
  </si>
  <si>
    <t>Gatsby</t>
  </si>
  <si>
    <t>Netherlands Embassy</t>
  </si>
  <si>
    <t>Kenya Markets Trust</t>
  </si>
  <si>
    <t>https://beamexchange.org/implement/programme-index/kmap-kenya-market-assistance-programme/</t>
  </si>
  <si>
    <t>FTF Uganda Inclusive Agricultural Markets Activity (IAM)</t>
  </si>
  <si>
    <t>IAM</t>
  </si>
  <si>
    <t>FTF Ethiopia Alliance to Accelerate Agricultural Growth</t>
  </si>
  <si>
    <t>3AG</t>
  </si>
  <si>
    <t>Alliances Caucasus Programme</t>
  </si>
  <si>
    <t>ACLP</t>
  </si>
  <si>
    <t>ADC</t>
  </si>
  <si>
    <t>Multiple (Armenia, Azerbaijan, Georgia)</t>
  </si>
  <si>
    <t>income improvement; job creation</t>
  </si>
  <si>
    <t>https://beamexchange.org/implement/programme-index/alcp-alliances-caucasus-programme/</t>
  </si>
  <si>
    <t>Katalyst (Phase 1)</t>
  </si>
  <si>
    <t>Katalyst-PH1</t>
  </si>
  <si>
    <t>Multiple (agriculture, tourism, furniture)</t>
  </si>
  <si>
    <t>https://beamexchange.org/implement/programme-index/katalyst-phase-1/</t>
  </si>
  <si>
    <t>Market Development Facility (Phase 2)</t>
  </si>
  <si>
    <t>MDF-PH2</t>
  </si>
  <si>
    <t>Multiple (Fiji, Pakistan, Papua New Guinea, Sri Lanka, Timor-Leste)</t>
  </si>
  <si>
    <t>https://beamexchange.org/implement/programme-index/mdf-market-development-facility-phase-2/</t>
  </si>
  <si>
    <t>Sahaj - Nepal Agricultural Market Development Programme (Phase 1+2)</t>
  </si>
  <si>
    <t>NAMDP-PH1-2</t>
  </si>
  <si>
    <t>Agricultural Value Chains Activity in Bangledesh</t>
  </si>
  <si>
    <t>AVC</t>
  </si>
  <si>
    <t>https://beamexchange.org/implement/programme-index/avc-agricultural-value-chains-activity/</t>
  </si>
  <si>
    <t>FTF Ghana Market Systems and Resilience</t>
  </si>
  <si>
    <t>MSR</t>
  </si>
  <si>
    <t>Market Development Facility (Phase 1)</t>
  </si>
  <si>
    <t>MDF-PH1</t>
  </si>
  <si>
    <t>Cardno Emerging Markets</t>
  </si>
  <si>
    <t>https://beamexchange.org/implement/programme-index/mdf-market-development-facility-phase-1/</t>
  </si>
  <si>
    <t>FTF Resilience in Pastoral Areas Activity</t>
  </si>
  <si>
    <t>RIPA-North</t>
  </si>
  <si>
    <t>FTF Nigeria Rural Resilience Activity</t>
  </si>
  <si>
    <t>RRA</t>
  </si>
  <si>
    <t>Cotton and Textiles Development Programme</t>
  </si>
  <si>
    <t>CTDP</t>
  </si>
  <si>
    <t>Gatsby Africa</t>
  </si>
  <si>
    <t>https://beamexchange.org/implement/programme-index/ctdp-cotton-and-textiles-development-programme/</t>
  </si>
  <si>
    <t>Katalyst (Phase 2)</t>
  </si>
  <si>
    <t>Katalyst-PH2</t>
  </si>
  <si>
    <t>EKN</t>
  </si>
  <si>
    <t>https://beamexchange.org/implement/programme-index/katalyst-phase-2/</t>
  </si>
  <si>
    <t>Transforming Market Systems activity</t>
  </si>
  <si>
    <t>TMS</t>
  </si>
  <si>
    <t>Multiple (tourism, agriculture, financial services)</t>
  </si>
  <si>
    <t>https://beamexchange.org/implement/programme-index/tms-transforming-market-systems-activity/</t>
  </si>
  <si>
    <t>Business Innovation Facility - Phase 2</t>
  </si>
  <si>
    <t>BIF 2</t>
  </si>
  <si>
    <t>PwC</t>
  </si>
  <si>
    <t>Multiple (Bangladesh, Ethiopia, Kenya, Malawi, Myanmar, Nigeria, Pakistan, Rwanda, South Africa, Zambia)</t>
  </si>
  <si>
    <t>https://beamexchange.org/implement/programme-index/bif-2-business-innovation-facility-phase-2/</t>
  </si>
  <si>
    <t>FTF Kenya - Kuza</t>
  </si>
  <si>
    <t>KUZA</t>
  </si>
  <si>
    <t>Growth and Employment in States - wholesale &amp; retail sector</t>
  </si>
  <si>
    <t>GEMS-PH1,3,4</t>
  </si>
  <si>
    <t>Multiple (Agricuture, Waste Management, Mobile Money)</t>
  </si>
  <si>
    <t>https://beamexchange.org/implement/programme-index/gems-4-growth-and-employment-in-states-wholesale-retail-sector/</t>
  </si>
  <si>
    <t>Afghanistan Value Chains - High Value Crops</t>
  </si>
  <si>
    <t>AVC-HVC</t>
  </si>
  <si>
    <t>https://beamexchange.org/implement/programme-index/avc-hvc-afghanistan-value-chains-high-value-crops/</t>
  </si>
  <si>
    <t>Enhancing Youth Employment (Phase 1-3)</t>
  </si>
  <si>
    <t>EYE-PH1-3</t>
  </si>
  <si>
    <t>Australia-Indonesia Partnership for Rural Economic Development</t>
  </si>
  <si>
    <t>AIP-Rural</t>
  </si>
  <si>
    <t>https://beamexchange.org/implement/programme-index/aip-rural-australia-indonesia-partnership-for-rural-economic-development/</t>
  </si>
  <si>
    <t>Private Enterprise Programme Ethiopia</t>
  </si>
  <si>
    <t>PEPE</t>
  </si>
  <si>
    <t>Multiple (apparel, leather, horticulture and finance)</t>
  </si>
  <si>
    <t>https://beamexchange.org/implement/programme-index/enterprise-partners-part-of-private-enterprise-programme-ethiopia-pepe/</t>
  </si>
  <si>
    <t>Making Agricultural Markets Work for Zambia</t>
  </si>
  <si>
    <t>MUSIKA</t>
  </si>
  <si>
    <t>IrishAid</t>
  </si>
  <si>
    <t>Musika Development Initiative Zambia Ltd</t>
  </si>
  <si>
    <t>https://beamexchange.org/implement/programme-index/musika-making-agricultural-markets-work-for-zambia/</t>
  </si>
  <si>
    <t>Pastoralist Areas Resilience Improvement through Market Expansion</t>
  </si>
  <si>
    <t>PRIME</t>
  </si>
  <si>
    <t>https://beamexchange.org/implement/programme-index/prime-pastoralist-areas-resilience-improvement-through-market-expansion/</t>
  </si>
  <si>
    <t>ÉLAN RDC</t>
  </si>
  <si>
    <t>https://beamexchange.org/implement/programme-index/%C3%A9lan-rdc/</t>
  </si>
  <si>
    <t>Propcom Mai-karfi</t>
  </si>
  <si>
    <t>https://beamexchange.org/implement/programme-index/propcom-mai-karfi/</t>
  </si>
  <si>
    <t>Promoting Rural Incomes through Support for Markets in Agriculture (Continuation of AIP-Rural)</t>
  </si>
  <si>
    <t>PRISMA</t>
  </si>
  <si>
    <t>https://beamexchange.org/implement/programme-index/prisma-promoting-rural-incomes-through-support-for-markets-in-agriculture/</t>
  </si>
  <si>
    <t>Market Development Facility (Phase 1-2)</t>
  </si>
  <si>
    <t>MDF-PH1-2</t>
  </si>
  <si>
    <t>Cardno Emerging Markets / Palladium</t>
  </si>
  <si>
    <t>Katalyst (Phase 1-2)</t>
  </si>
  <si>
    <t>Katalyst-PH1-2</t>
  </si>
  <si>
    <t>Programmes Included</t>
  </si>
  <si>
    <t>Project Page</t>
  </si>
  <si>
    <t>Result Count (V)</t>
  </si>
  <si>
    <t>Programmes Excluded</t>
  </si>
  <si>
    <t>Reason</t>
  </si>
  <si>
    <t>V</t>
  </si>
  <si>
    <t>Construcción segura, saludable y sostenible en sectores urbanos vulnerables</t>
  </si>
  <si>
    <t>n/a</t>
  </si>
  <si>
    <t>Focused on selected intervention cases studied (varies by year), not total employment figures (although still the programme mentioned about 30,000 trained master builders were engaged across Phase 1 and 2).</t>
  </si>
  <si>
    <t>https://beamexchange.org/implement/programme-index/construya-colombia-construcci%C3%B3n-segura-saludable-y-sostenible-en-sectores-urbanos-vulnerables/</t>
  </si>
  <si>
    <t>Strengthening Livelihoods and Resilience Activity (in DRC)</t>
  </si>
  <si>
    <t>SLR</t>
  </si>
  <si>
    <t>No final impact measurement due to the sudden halt of USAID, the programme donor. However, two contacts are provided: Leon Zabiti (linkedin.com/in/leon-zabiti-8756a23a/) / Daniel Langfitt (linkedin.com/in/danlangfitt).</t>
  </si>
  <si>
    <t>https://beamexchange.org/implement/programme-index/slr-strengthening-livelihoods-and-resilience-activity/</t>
  </si>
  <si>
    <t>Renewable Energy for Refugees</t>
  </si>
  <si>
    <t>RE4R</t>
  </si>
  <si>
    <t>Energy-focused; lack of indicators to be reported</t>
  </si>
  <si>
    <t>https://beamexchange.org/implement/programme-index/re4r-renewable-energy-for-refugees/</t>
  </si>
  <si>
    <t>V (as EYE - PH1+2+3)</t>
  </si>
  <si>
    <t>Partnerships and Value Expansion for Seed Systems in (Phase 2)</t>
  </si>
  <si>
    <t>PAVE-PH2</t>
  </si>
  <si>
    <t>No further report on the impact measurement - but mainly to strengthen what is already in place.</t>
  </si>
  <si>
    <t>https://beamexchange.org/implement/programme-index/pave-partnership-and-value-expansion-phase-2/</t>
  </si>
  <si>
    <t>Market and Employment for Peace and Stability</t>
  </si>
  <si>
    <t>ME4PS</t>
  </si>
  <si>
    <t>No final impact measurement - although a total of EURO 3.87 million budget spent; only baseline report and simplified narratives like "incomes have increased" provided.</t>
  </si>
  <si>
    <t>https://beamexchange.org/implement/programme-index/me4ps-market-and-employment-for-peace-and-stability/</t>
  </si>
  <si>
    <t>Sanitation Marketing Scale-up</t>
  </si>
  <si>
    <t>SMSU</t>
  </si>
  <si>
    <t>The project is about the creation of sanitation markets to drive increase of access to WASH services, which is irrelevant to jobs creation.</t>
  </si>
  <si>
    <t>https://beamexchange.org/implement/programme-index/smsu-sanitation-marketing-scale-up/</t>
  </si>
  <si>
    <t>FSD Mozambique: Financial Services Deepening</t>
  </si>
  <si>
    <t>FSDMoç</t>
  </si>
  <si>
    <t>Not that relevant but FSDmoç continues its operation beyond 2021 and the end of this programme funding - would be interesting to look at.</t>
  </si>
  <si>
    <t>https://beamexchange.org/implement/programme-index/fsd-mozambique-financial-services-deepening/</t>
  </si>
  <si>
    <t>Resilient Agricultural Market Activity - Beira Corridor</t>
  </si>
  <si>
    <t>RAMA-BC</t>
  </si>
  <si>
    <t>Focused on promoting the integration of leguminous cover crops and minimum soil disturbance in maize production systems, and not on income or job creation.</t>
  </si>
  <si>
    <t>https://beamexchange.org/implement/programme-index/rama-bc-resilient-agricultural-market-activity-beira-corridor/</t>
  </si>
  <si>
    <t>Promoting livelihoods of forcibly displaced persons in Jijiga, Ethiopia</t>
  </si>
  <si>
    <t>A one-year pilot project that does not have much relevant data to be collected.</t>
  </si>
  <si>
    <t>https://beamexchange.org/implement/programme-index/promoting-livelihoods-of-forcibly-displaced-persons-in-jijiga-ethiopia/</t>
  </si>
  <si>
    <t>Eastern Samar Cacao Livelihood Programme</t>
  </si>
  <si>
    <t>ESCLP</t>
  </si>
  <si>
    <t>Focused on the building of a coordination platform with the government and private sectors; lack of impact measurement report.</t>
  </si>
  <si>
    <t>https://beamexchange.org/implement/programme-index/esclp-eastern-samar-cacao-livelihood-programme/</t>
  </si>
  <si>
    <t>MADE Nigeria-PH1-2</t>
  </si>
  <si>
    <t>Enhancing Sustainable Income in the Philippines</t>
  </si>
  <si>
    <t>ESIP</t>
  </si>
  <si>
    <t>No impact measurement report is available (it was indicated to be released by the end of 2019 but was never published). However, given the high relevance of this programme to our VfM analysis, we should reach out to the focal point.</t>
  </si>
  <si>
    <t>https://beamexchange.org/implement/programme-index/esip-enhancing-sustainable-income-in-the-philippines/</t>
  </si>
  <si>
    <t>Water Innovation Technologies</t>
  </si>
  <si>
    <t>WIT</t>
  </si>
  <si>
    <t>Focused on the innovative technologies for better water usage in agriculture and HHs; not of our VfM analysis interest.</t>
  </si>
  <si>
    <t>https://beamexchange.org/implement/programme-index/wit-water-innovation-technologies/</t>
  </si>
  <si>
    <t>Inclusive tourism</t>
  </si>
  <si>
    <t>NTF</t>
  </si>
  <si>
    <t>No impact measurement report is available; it seems like there are four phases of this project, but no collective information.</t>
  </si>
  <si>
    <t>https://beamexchange.org/implement/programme-index/ntf-inclusive-tourism/</t>
  </si>
  <si>
    <t>Investing in Infrastructure</t>
  </si>
  <si>
    <t>3i</t>
  </si>
  <si>
    <t>The impact measurement is until till 2018, yet the project ran until 2020 and with no final report published.</t>
  </si>
  <si>
    <t>https://beamexchange.org/implement/programme-index/3i-investing-in-infrastructure/</t>
  </si>
  <si>
    <t>The ILO Lab: Inclusive market development for decent work</t>
  </si>
  <si>
    <t>Successor as SCI</t>
  </si>
  <si>
    <t>Not as a single project but a collage of past and ongoing projects.</t>
  </si>
  <si>
    <t>https://beamexchange.org/implement/programme-index/the-ilo-lab-inclusive-market-development-for-decent-work/</t>
  </si>
  <si>
    <t>Promoting decent work in Rwanda's informal economy project</t>
  </si>
  <si>
    <t>No impact measurement report is available</t>
  </si>
  <si>
    <t>https://beamexchange.org/implement/programme-index/promoting-decent-work-in-rwandas-informal-economy-project/</t>
  </si>
  <si>
    <t>Strengthening Entrepreneurship and Enterprise Development</t>
  </si>
  <si>
    <t>SEED</t>
  </si>
  <si>
    <t>https://beamexchange.org/implement/programme-index/seed-strengthening-entrepreneurship-and-enterprise-development/</t>
  </si>
  <si>
    <t>Driving Youth-led New Agribusiness and Microenterprise in northern Uganda</t>
  </si>
  <si>
    <t>DYNAMIC</t>
  </si>
  <si>
    <t>No impact measurement report is available; no concrete quan records documented</t>
  </si>
  <si>
    <t>https://beamexchange.org/implement/programme-index/dynamic-driving-youth-led-new-agribusiness-and-microenterprise-in-northern-uganda/</t>
  </si>
  <si>
    <t>Ukraine Horticultural Business Development Project</t>
  </si>
  <si>
    <t>UHBDP</t>
  </si>
  <si>
    <t>No impact measurement report is available; lack of relevant data for requested indicators</t>
  </si>
  <si>
    <t>https://beamexchange.org/implement/programme-index/uhbdp-ukraine-horticultural-business-development-project/</t>
  </si>
  <si>
    <t>Western Region Coastal Foundation</t>
  </si>
  <si>
    <t>WRCF</t>
  </si>
  <si>
    <t>https://beamexchange.org/implement/programme-index/wrcf-western-region-coastal-foundation/</t>
  </si>
  <si>
    <t>Supporting Sustainable Sanitation Improvements</t>
  </si>
  <si>
    <t>3SI</t>
  </si>
  <si>
    <t>Focused on sanitation improvement, not related to what our indicators requested</t>
  </si>
  <si>
    <t>https://beamexchange.org/implement/programme-index/3si-supporting-sustainable-sanitation-improvements/</t>
  </si>
  <si>
    <t>V (as Katalyst-PH1+2)</t>
  </si>
  <si>
    <t>Transform WASH</t>
  </si>
  <si>
    <t>https://beamexchange.org/implement/programme-index/transform-wash/</t>
  </si>
  <si>
    <t>EcoVecindarios (Eco-communities)</t>
  </si>
  <si>
    <t>Focused on solid waste and waste water recycling;  not related to what our indicators requested</t>
  </si>
  <si>
    <t>https://beamexchange.org/implement/programme-index/ecovecindarios-eco-communities/</t>
  </si>
  <si>
    <t>Northern Uganda - Transforming the Economy through Climate Smart Agriculture</t>
  </si>
  <si>
    <t>Portable Wood-Burning Stoves Innovation and Development Fund</t>
  </si>
  <si>
    <t>FIDECOP</t>
  </si>
  <si>
    <t>Focused on the development of stoves - with focus on quantity sold; not relevant to what our indicators requested</t>
  </si>
  <si>
    <t>https://beamexchange.org/implement/programme-index/fidecop-portable-wood-burning-stoves-innovation-and-development-fund/</t>
  </si>
  <si>
    <t>V (as MDF-PH1+2)</t>
  </si>
  <si>
    <t>Support to National Malaria Programme</t>
  </si>
  <si>
    <t>SuNMaP</t>
  </si>
  <si>
    <t>Focused on national malaria control effort; not relevant to what our indicators requested</t>
  </si>
  <si>
    <t>https://beamexchange.org/implement/programme-index/sunmap-support-to-national-malaria-programme/</t>
  </si>
  <si>
    <t>Regional Biotrade Project in South East Asia</t>
  </si>
  <si>
    <t>https://beamexchange.org/implement/programme-index/regional-biotrade-project-in-south-east-asia/</t>
  </si>
  <si>
    <t>FSD Zambia: Financial Sector Deepening</t>
  </si>
  <si>
    <t>FSD Zambia</t>
  </si>
  <si>
    <t>No impact measurement report is available; also, it seems like the project is still running perhaps for the Phase 2; but at least for Phase 1 the report should be available.</t>
  </si>
  <si>
    <t>https://beamexchange.org/implement/programme-index/fsd-zambia-financial-sector-deepening/</t>
  </si>
  <si>
    <t>Enhancing Nigerian Advocacy for a Better Business Environment II</t>
  </si>
  <si>
    <t>ENABLE 2</t>
  </si>
  <si>
    <t>A highly influential public–private dialogue (PPD) programme for MSD in Nigeria. However, because its primary focus was on policy reform, relatively few logframe indicators in the project closure report are directly relevant for our analysis. But it is still worth examining in more detail.</t>
  </si>
  <si>
    <t>https://beamexchange.org/implement/programme-index/enable-2-enhancing-nigerian-advocacy-for-a-better-business-environment-ii/</t>
  </si>
  <si>
    <t>V (as NAMDP+PH1+2)</t>
  </si>
  <si>
    <t>Private Sector Innovation Programme for Health</t>
  </si>
  <si>
    <t>PSP4H</t>
  </si>
  <si>
    <t>Focused on health promotion; not relevant to what our indicators requested</t>
  </si>
  <si>
    <t>https://beamexchange.org/implement/programme-index/psp4h-private-sector-innovation-programme-for-health/</t>
  </si>
  <si>
    <t>Élan RDC</t>
  </si>
  <si>
    <t>Land Investment for Transformation</t>
  </si>
  <si>
    <t>Focused on the innovation for land certification and land reform in Ethiopia; main logframe results were showcased, but very few were relevant to our indicators.</t>
  </si>
  <si>
    <t>https://beamexchange.org/implement/programme-index/lift-land-investment-for-transformation/</t>
  </si>
  <si>
    <t>Katalyst (Phase 3)</t>
  </si>
  <si>
    <t>Katalyst-PH3</t>
  </si>
  <si>
    <t>Only "annual report 2015" is available, of which the annual achievement is captured. Given the high impact of this programme, it would be interesting to reach out and asked for all the annual reports.</t>
  </si>
  <si>
    <t>https://beamexchange.org/implement/programme-index/katalyst-phase-3/</t>
  </si>
  <si>
    <t>Financial Services Inclusion Programme</t>
  </si>
  <si>
    <t>FSIP</t>
  </si>
  <si>
    <t>No information disclosed, just link to website</t>
  </si>
  <si>
    <t>https://beamexchange.org/implement/programme-index/fsip-financial-services-inclusion-programme/</t>
  </si>
  <si>
    <t>USAID Feed the Future Uganda Water and Food Systems Activity</t>
  </si>
  <si>
    <t>WFS</t>
  </si>
  <si>
    <t>Due to the SWO, the project was forced to stop after only 1 yr 4 mnths of implementation, resulting in no quantitative results to be assessed against; also, as it's the WASH related programme, it does not contain relevant indicators of our interest</t>
  </si>
  <si>
    <t>N/A - report provided by Kristin</t>
  </si>
  <si>
    <t>Agricultural Value Chains Activity  in Bangledesh</t>
  </si>
  <si>
    <t>Sahaj - Nepal Agricultural Market Development Programme (Phase 2)</t>
  </si>
  <si>
    <t>Feed the Future Kenya - USAID Kuza</t>
  </si>
  <si>
    <t>USAID/Serbia: Big Small Businesses Project</t>
  </si>
  <si>
    <t>USAID Feed the Future Bangladesh Livestock Production for Improved Nutrition Activity</t>
  </si>
  <si>
    <t>USAID Feed the Future Tanzania NAFAKA</t>
  </si>
  <si>
    <t>USAID Feed the Future Ethiopia Alliance to Accelerate Agricultural Growth</t>
  </si>
  <si>
    <t>USAID Feed the Future Ghana Market Systems and Resilience</t>
  </si>
  <si>
    <t xml:space="preserve">USAID Kyrgyzstan Enterprise Competitiveness Project </t>
  </si>
  <si>
    <t>USAID Feed the Future Bangladesh Horticulture, Fruits, and Non-Food Crops Activity</t>
  </si>
  <si>
    <t>USAID Feed the Future Uganda Commodity Production and Marketing Activity</t>
  </si>
  <si>
    <t>USAID Feed the Future Uganda Inclusive Agricultural Markets Activity (IAM)</t>
  </si>
  <si>
    <t>USAID Feed the Future Rwanda Nguriza Nshore</t>
  </si>
  <si>
    <t xml:space="preserve">USAID Economic Security Program </t>
  </si>
  <si>
    <t>USAID Feed the Future Resilience in Pastoral Areas Activity</t>
  </si>
  <si>
    <t>N/A - report provided by former USAID; there is also Beam project website https://beamexchange.org/implement/programme-index/orora-wihaze/ (but marked as active)</t>
  </si>
  <si>
    <t>V (as LEED &amp; LEED+)</t>
  </si>
  <si>
    <t>Topic: Value for Money (VfM) Analysis of Market Systems Development (MSD) Programme
*A total of 87 MSD programmes are listed for context tagging (including factors such as political stability and inflation). This selection excludes individual phases of the same programme, which are presented separately in the mastersheet, in order to avoid double counting.</t>
  </si>
  <si>
    <t>Export Revenue Generated (USD) /Project Cost</t>
  </si>
  <si>
    <t>FCAS Status</t>
  </si>
  <si>
    <t>Country Income Level</t>
  </si>
  <si>
    <t>Quntiles</t>
  </si>
  <si>
    <t>Quntiles2</t>
  </si>
  <si>
    <t>Grouping</t>
  </si>
  <si>
    <t>Groups</t>
  </si>
  <si>
    <t>Group 1 - High Inflation &amp; Poli Risk</t>
  </si>
  <si>
    <t>Group 2 -  Medium Inflation &amp; Poli Risk</t>
  </si>
  <si>
    <t>Group 3 -  Low Inflation &amp; Poli Risk</t>
  </si>
  <si>
    <t>Groups w/ Programme Length</t>
  </si>
  <si>
    <t>Group 1 - Long (&gt;5 yrs)</t>
  </si>
  <si>
    <t>Group 1 - Short (&lt;=5 yrs)</t>
  </si>
  <si>
    <t>Group 2 - Long</t>
  </si>
  <si>
    <t>Group 2 - Short</t>
  </si>
  <si>
    <t>Group 3 - Long</t>
  </si>
  <si>
    <t>Group 3 - Short</t>
  </si>
  <si>
    <t>First Quntile (20%)</t>
  </si>
  <si>
    <t>Median (50%)</t>
  </si>
  <si>
    <t>Third Quntile (60%)</t>
  </si>
  <si>
    <t>food security &amp; resilience; income improvement</t>
  </si>
  <si>
    <t>Lower-Middle Income</t>
  </si>
  <si>
    <t>Group 3</t>
  </si>
  <si>
    <t>Political Stability</t>
  </si>
  <si>
    <t>Low-Income</t>
  </si>
  <si>
    <t>Group 1</t>
  </si>
  <si>
    <t>Inflation</t>
  </si>
  <si>
    <t>Upper-Middle Income</t>
  </si>
  <si>
    <t>Group 2</t>
  </si>
  <si>
    <t>Average of Grouping</t>
  </si>
  <si>
    <t>inflation</t>
  </si>
  <si>
    <t>Group 1-Long</t>
  </si>
  <si>
    <t>job creation; income improvement</t>
  </si>
  <si>
    <t>Group 1-Short</t>
  </si>
  <si>
    <t>Group 2-Long</t>
  </si>
  <si>
    <t>Mixed</t>
  </si>
  <si>
    <t>Group 2-Short</t>
  </si>
  <si>
    <t>Group 3-Long</t>
  </si>
  <si>
    <t>Group 3-Short</t>
  </si>
  <si>
    <t>Innovation for Agribusiness (Phase 1-3)</t>
  </si>
  <si>
    <t>income improvement; food security &amp; resilience</t>
  </si>
  <si>
    <t>food security &amp; resilience</t>
  </si>
  <si>
    <t xml:space="preserve"> </t>
  </si>
  <si>
    <t xml:space="preserve"> SIDA</t>
  </si>
  <si>
    <t xml:space="preserve"> EKN</t>
  </si>
  <si>
    <t>NU-TEC-1</t>
  </si>
  <si>
    <t>Sahaj - Nepal Agricultural Market Development Programme (Phase 1-2)</t>
  </si>
  <si>
    <t>SIDA</t>
  </si>
  <si>
    <t>Gatsby Fund</t>
  </si>
  <si>
    <t>job creation; income improvement; food security &amp; resilience</t>
  </si>
  <si>
    <t>Mercy Corps Georgia</t>
  </si>
  <si>
    <t>income improvement; rfood security &amp; resilience</t>
  </si>
  <si>
    <t xml:space="preserve">Tajikistan Market Driven Rural Development (MDRD) Activity </t>
  </si>
  <si>
    <t>job creation; income improvement;  food security &amp; resilience</t>
  </si>
  <si>
    <t>income improvement;  food security &amp; resilience</t>
  </si>
  <si>
    <t>job creation, income improvement; food security &amp; resilience</t>
  </si>
  <si>
    <t>job creation, food security &amp; resilience</t>
  </si>
  <si>
    <t>Embassy of Sweden</t>
  </si>
  <si>
    <t>Norway MoFA</t>
  </si>
  <si>
    <t>Summary Table</t>
  </si>
  <si>
    <t>Income per Beneficiary (USD)</t>
  </si>
  <si>
    <t xml:space="preserve">Private Sector Investment (USD) / Project Cost </t>
  </si>
  <si>
    <t>Private Sector Revenues Generated (USD) / Project Cost</t>
  </si>
  <si>
    <t>Cost (USD)/Job Created</t>
  </si>
  <si>
    <t>Cost (USD)/Job Improved</t>
  </si>
  <si>
    <t>Programme Type Variables</t>
  </si>
  <si>
    <t>Median</t>
  </si>
  <si>
    <t>Mean</t>
  </si>
  <si>
    <t>Number of Projects</t>
  </si>
  <si>
    <t>All MSD Programmes</t>
  </si>
  <si>
    <t>By Sector</t>
  </si>
  <si>
    <t>Agriculture-Focus</t>
  </si>
  <si>
    <t>Non-Agriculture-Focus</t>
  </si>
  <si>
    <t>By Programme Length</t>
  </si>
  <si>
    <t>&gt;=10 years</t>
  </si>
  <si>
    <t>5-9  years</t>
  </si>
  <si>
    <t xml:space="preserve"> &lt;=5 years</t>
  </si>
  <si>
    <t>By Groups (Level of Inflation and Political Risks)</t>
  </si>
  <si>
    <t>Group 1 (High Inflation and Risks)</t>
  </si>
  <si>
    <t>Group 2 (Medium Inflation and Risks)</t>
  </si>
  <si>
    <t>Group 3 (Low Inflation and Risks)</t>
  </si>
  <si>
    <t>By Country Income Level</t>
  </si>
  <si>
    <t>By FCAS Status</t>
  </si>
  <si>
    <t>Non-FCAS</t>
  </si>
  <si>
    <t>By Primary Objective (Note: one programme can have multiple primary objectives)</t>
  </si>
  <si>
    <t>Job Creation</t>
  </si>
  <si>
    <t>Income Improvement</t>
  </si>
  <si>
    <t>Food Security &amp; Resilience</t>
  </si>
  <si>
    <t>Cross-Category Comparisons</t>
  </si>
  <si>
    <t>Groups (Level of Inflation and Political Risks)</t>
  </si>
  <si>
    <t>Cost (USD)/Year</t>
  </si>
  <si>
    <t>Cost Quartiles</t>
  </si>
  <si>
    <t>Normalised Income Impact Ratio</t>
  </si>
  <si>
    <t>GDP per capita (PPP)</t>
  </si>
  <si>
    <t>Political Stability - Quntiles</t>
  </si>
  <si>
    <t>Inflation - Quntiles</t>
  </si>
  <si>
    <t>Group 2A -  Medium Inflation &amp; Poli Risk - Politically Constrained</t>
  </si>
  <si>
    <t>Group 2B -  Medium Inflation &amp; Poli Risk - Macro Constrained</t>
  </si>
  <si>
    <t>Group 1 - Long (≥10)</t>
  </si>
  <si>
    <t>Group 1 - Medium (6–9 years)</t>
  </si>
  <si>
    <t>Group 2A - Long (≥10</t>
  </si>
  <si>
    <t>Group 2A - Medium (6–9 years)</t>
  </si>
  <si>
    <t>Group 2A - Short (&lt;=5 yrs)</t>
  </si>
  <si>
    <t>Group 2B - Long (≥10)</t>
  </si>
  <si>
    <t>Group 2B - Medium (6–9 years)</t>
  </si>
  <si>
    <t>Group 2B -Short (&lt;=5 yrs)</t>
  </si>
  <si>
    <t>Group 3 - Long (≥10)</t>
  </si>
  <si>
    <t>Group 3 - Medium (6–9 years)</t>
  </si>
  <si>
    <t>Group 3 - Short  (&lt;=5 yrs)</t>
  </si>
  <si>
    <t>First Quartile (25%)</t>
  </si>
  <si>
    <t>Third Quartile (75%)</t>
  </si>
  <si>
    <t>Group 2B (High Inflation)</t>
  </si>
  <si>
    <t>Group 2A (Low Stability)</t>
  </si>
  <si>
    <t>Programme Budget Cost</t>
  </si>
  <si>
    <t>Programme Budget Cost/Year</t>
  </si>
  <si>
    <t>Mixed (Tourism, Agricuture, and Infrastructure)</t>
  </si>
  <si>
    <t>Mixed (Financial services, agriculture practices)</t>
  </si>
  <si>
    <t>Mixed (Agriculture, Energy, ICT)</t>
  </si>
  <si>
    <t>Mixed (Tourism, Food and Natural Ingredients, agriculture)</t>
  </si>
  <si>
    <t>IT, Tourism, Entrepreneurship</t>
  </si>
  <si>
    <t>Mixed (financial services; agriculture)</t>
  </si>
  <si>
    <t>Mixed (Agriculture, Financial Services)</t>
  </si>
  <si>
    <t>Mixed (mining, tourism, business services, agriculture)</t>
  </si>
  <si>
    <t>Mixed (agriculture, food processing, apparel industry, tourism, education, and IT)</t>
  </si>
  <si>
    <t>Tourism, creative industries, light manufacturing, solid waste management, and shared intellectual services</t>
  </si>
  <si>
    <t>Mixed (agriculture,ICT, tourism, etc)</t>
  </si>
  <si>
    <t>Mixed (tourism, agriculture, financial services)</t>
  </si>
  <si>
    <t>Mixed (Agricuture, Waste Management, Mobile Money)</t>
  </si>
  <si>
    <t>Mixed (agriculture, financial services, and manufacturing)</t>
  </si>
  <si>
    <t xml:space="preserve"> Sida</t>
  </si>
  <si>
    <t>Mixed (agriculture, tourism, furniture)</t>
  </si>
  <si>
    <t>Normalised Income Impact Ratio (as Benchmarking Reference)</t>
  </si>
  <si>
    <t>MAD</t>
  </si>
  <si>
    <t>MAD/Median</t>
  </si>
  <si>
    <t>Outliers (%)</t>
  </si>
  <si>
    <t>Outliers (#)</t>
  </si>
  <si>
    <t>Refined Mean (excluding outliers)</t>
  </si>
  <si>
    <t>Refined Mean (# of projects)</t>
  </si>
  <si>
    <t>By Agri vs Non-Agri Sector</t>
  </si>
  <si>
    <t>Agriculture-Related (i.e. mixed sectors)</t>
  </si>
  <si>
    <t>By Programme Cost Size</t>
  </si>
  <si>
    <t>1st Quartile (Lowest 25%)</t>
  </si>
  <si>
    <t>2nd Quartile (25–50%)</t>
  </si>
  <si>
    <t>3rd Quartile (50–75%)</t>
  </si>
  <si>
    <t>4th Quartile (Highest 25%)</t>
  </si>
  <si>
    <t>Simplified Summary Table</t>
  </si>
  <si>
    <t>Partially Agriculture-Focus (i.e. mixed sectors)</t>
  </si>
  <si>
    <t>Normalised Income Impact Ratio (Income per Beneficiary/GDP Per Capita, PPP)</t>
  </si>
  <si>
    <t xml:space="preserve">Private Sector Investment (USD) / Programme Budget </t>
  </si>
  <si>
    <t>Private Sector Revenues Generated (USD) / Programme Budget</t>
  </si>
  <si>
    <t>Export Revenue Generated (USD) /Programme Budget</t>
  </si>
  <si>
    <t>Beneficiary Income (USD) / Programme Budget</t>
  </si>
  <si>
    <t>Agriculture-Focus (i.e., only agiculture)</t>
  </si>
  <si>
    <t>Mixed (including both agriculture &amp; non-agriculture sectors)</t>
  </si>
  <si>
    <t>9+ years</t>
  </si>
  <si>
    <t>5-8  years</t>
  </si>
  <si>
    <t>1-4 years</t>
  </si>
  <si>
    <t>By Programme Budget Size (USD)</t>
  </si>
  <si>
    <t>Small Programmes (US$0–8m)</t>
  </si>
  <si>
    <t>Medium Programmes (US$8–18m)</t>
  </si>
  <si>
    <t>Large Programmes (US$18–30m)</t>
  </si>
  <si>
    <t>Very Large Programmes (US$30m+)</t>
  </si>
  <si>
    <t>Refined Mean</t>
  </si>
  <si>
    <t>Politically and Macro Constrained</t>
  </si>
  <si>
    <t>Jobs created</t>
  </si>
  <si>
    <t>Politically Constrained Only</t>
  </si>
  <si>
    <t>Macroeconomically Constrained Only</t>
  </si>
  <si>
    <t>Non-Agriculture</t>
  </si>
  <si>
    <t>Multiplier</t>
  </si>
  <si>
    <t>Jobs improved</t>
  </si>
  <si>
    <t>Small Programmes</t>
  </si>
  <si>
    <t>Medium Programmes</t>
  </si>
  <si>
    <t>Large Programmes</t>
  </si>
  <si>
    <t>Very Large Programmes</t>
  </si>
  <si>
    <t>Overall</t>
  </si>
  <si>
    <t>By Risk Group</t>
  </si>
  <si>
    <t>VfM Calculator Dashboard</t>
  </si>
  <si>
    <t>Indicators</t>
  </si>
  <si>
    <t>Risk Group</t>
  </si>
  <si>
    <t>Donor</t>
  </si>
  <si>
    <t>Programme</t>
  </si>
  <si>
    <t>Donor(s)</t>
  </si>
  <si>
    <t>Sector - New</t>
  </si>
  <si>
    <t>Programme Length - New</t>
  </si>
  <si>
    <t>Risk Group - New</t>
  </si>
  <si>
    <t>Link to BEAM project site</t>
  </si>
  <si>
    <t>Private Sector Investment (USD) / Project Cost</t>
  </si>
  <si>
    <t>Export Revenue Generated (USD) / Project Cost</t>
  </si>
  <si>
    <t>Cost (USD) / Job Created</t>
  </si>
  <si>
    <t>Cost (USD) / Job Improved</t>
  </si>
  <si>
    <t>Match Flag</t>
  </si>
  <si>
    <t>Match Seq</t>
  </si>
  <si>
    <t>Scope</t>
  </si>
  <si>
    <t>Indicator</t>
  </si>
  <si>
    <t>Count</t>
  </si>
  <si>
    <t>Lower</t>
  </si>
  <si>
    <t>Upper</t>
  </si>
  <si>
    <t>Select options from the filters below to view the median results from all programmes that fulfill those conditions.</t>
  </si>
  <si>
    <t>All</t>
  </si>
  <si>
    <t>≤5 years</t>
  </si>
  <si>
    <t>Filtered Summary</t>
  </si>
  <si>
    <t>All Donors</t>
  </si>
  <si>
    <t>Politically and Macroeconomically Constrained</t>
  </si>
  <si>
    <t>Job creation</t>
  </si>
  <si>
    <t>5-8 years</t>
  </si>
  <si>
    <t>Income improvement</t>
  </si>
  <si>
    <t>DFAT; Australian NGO Cooperation Prog. (ANCP); World Vision Australia</t>
  </si>
  <si>
    <t>Summary of Filtered Programmes</t>
  </si>
  <si>
    <t>Total Count of Filtered Programmes 
(*but sub-total count still vary by indicator with available data)</t>
  </si>
  <si>
    <t>6–9 years</t>
  </si>
  <si>
    <t>EU; World Vision Australia</t>
  </si>
  <si>
    <t>Note: Columns AZ:BW contain the rebuilt programme list and supporting filter helper fields. The filters are based on Sector, Programme Length, Risk Group, Country Income Level, FCAS Status, and Primary Objective, and are used to enable the dashboard's analytical functions.</t>
  </si>
  <si>
    <t>Filtered Programmes</t>
  </si>
  <si>
    <t>Length</t>
  </si>
  <si>
    <t>Income Level</t>
  </si>
  <si>
    <t>Link to BEAM project site (if applicable)</t>
  </si>
  <si>
    <t>≥10 years</t>
  </si>
  <si>
    <t>FCDO; DANIDA</t>
  </si>
  <si>
    <t>FCDO; EU</t>
  </si>
  <si>
    <t>FCDO; Gatsby; Netherlands Embassy</t>
  </si>
  <si>
    <t>SDC; ADC</t>
  </si>
  <si>
    <t>Gatsby; FCDO</t>
  </si>
  <si>
    <t>Sida; FCDO; IrishAid; NORAD</t>
  </si>
  <si>
    <t>FCDO; SDC; Sida; EKN</t>
  </si>
  <si>
    <t>VfM Benchmarking Calculator</t>
  </si>
  <si>
    <t>Enter raw programme totals in the blue cells where applicable. The calculator derives the benchmarkable ratios automatically, then compares the selected ratio against the Summary Table benchmarks.</t>
  </si>
  <si>
    <t>5-9 years</t>
  </si>
  <si>
    <t>Programme data entry (raw data)</t>
  </si>
  <si>
    <t>Automatically calculated ratios</t>
  </si>
  <si>
    <t>Benchmark output</t>
  </si>
  <si>
    <t>Selected group view</t>
  </si>
  <si>
    <t>&lt;=5 years</t>
  </si>
  <si>
    <t>Number of Beneficiaries</t>
  </si>
  <si>
    <t>Enter total beneficiaries reached; used for Income per Beneficiary.</t>
  </si>
  <si>
    <t>Calculated ratio</t>
  </si>
  <si>
    <t>Uses these raw inputs</t>
  </si>
  <si>
    <t>Select ratio to benchmark</t>
  </si>
  <si>
    <t>Category</t>
  </si>
  <si>
    <t># Projects</t>
  </si>
  <si>
    <t>Energy Security</t>
  </si>
  <si>
    <t>Enter total additional income generated for beneficiaries.</t>
  </si>
  <si>
    <t>Beneficiary Income Generated / Number of Beneficiaries</t>
  </si>
  <si>
    <t>Select variable group</t>
  </si>
  <si>
    <t>Enter total programme cost; used in all per-cost ratios.</t>
  </si>
  <si>
    <t>Private Sector Investment / Cost</t>
  </si>
  <si>
    <t>Select category</t>
  </si>
  <si>
    <t>FTE / Jobs Created</t>
  </si>
  <si>
    <t>Enter full-time equivalent jobs created.</t>
  </si>
  <si>
    <t>Private Sector Revenues Generated / Cost</t>
  </si>
  <si>
    <t>Calculated programme ratio</t>
  </si>
  <si>
    <t>Enter number of jobs improved.</t>
  </si>
  <si>
    <t>Export Value Generated / Cost</t>
  </si>
  <si>
    <t>Benchmark median</t>
  </si>
  <si>
    <t>Enter total private sector investment leveraged.</t>
  </si>
  <si>
    <t>Cost / FTE-Jobs Created</t>
  </si>
  <si>
    <t>Benchmark mean</t>
  </si>
  <si>
    <t>Enter total private sector revenues generated.</t>
  </si>
  <si>
    <t>Cost / Jobs Improved</t>
  </si>
  <si>
    <t>Number of projects</t>
  </si>
  <si>
    <t>Enter total export value generated.</t>
  </si>
  <si>
    <t>Beneficiary Income Generated / Cost</t>
  </si>
  <si>
    <t>Position vs median</t>
  </si>
  <si>
    <t>% difference vs median</t>
  </si>
  <si>
    <t>Position vs mean</t>
  </si>
  <si>
    <t>% difference vs mean</t>
  </si>
  <si>
    <t>Benchmarking uses the calculated ratio above. If a required raw input is blank or the denominator is zero, the ratio and comparison stay blank.</t>
  </si>
  <si>
    <t>Lookup Key</t>
  </si>
  <si>
    <t>Variable Group</t>
  </si>
  <si>
    <t>All MSD Programmes|All MSD Programmes|Income per Beneficiary (USD)</t>
  </si>
  <si>
    <t>All MSD Programmes|All MSD Programmes|Private Sector Investment (USD) / Project Cost</t>
  </si>
  <si>
    <t>All MSD Programmes|All MSD Programmes|Private Sector Revenues Generated (USD) / Project Cost</t>
  </si>
  <si>
    <t>All MSD Programmes|All MSD Programmes|Export Revenue Generated (USD) / Project Cost</t>
  </si>
  <si>
    <t>All MSD Programmes|All MSD Programmes|Cost (USD) / Job Created</t>
  </si>
  <si>
    <t>All MSD Programmes|All MSD Programmes|Cost (USD) / Job Improved</t>
  </si>
  <si>
    <t>All MSD Programmes|All MSD Programmes|Beneficiary Income (USD) / Project Cost</t>
  </si>
  <si>
    <t>By Sector|Agriculture-Focus|Income per Beneficiary (USD)</t>
  </si>
  <si>
    <t>By Sector|Agriculture-Focus|Private Sector Investment (USD) / Project Cost</t>
  </si>
  <si>
    <t>By Sector|Agriculture-Focus|Private Sector Revenues Generated (USD) / Project Cost</t>
  </si>
  <si>
    <t>By Sector|Agriculture-Focus|Export Revenue Generated (USD) / Project Cost</t>
  </si>
  <si>
    <t>By Sector|Agriculture-Focus|Cost (USD) / Job Created</t>
  </si>
  <si>
    <t>By Sector|Agriculture-Focus|Cost (USD) / Job Improved</t>
  </si>
  <si>
    <t>By Sector|Agriculture-Focus|Beneficiary Income (USD) / Project Cost</t>
  </si>
  <si>
    <t>By Sector|Non-Agriculture-Focus|Income per Beneficiary (USD)</t>
  </si>
  <si>
    <t>By Sector|Non-Agriculture-Focus|Private Sector Investment (USD) / Project Cost</t>
  </si>
  <si>
    <t>By Sector|Non-Agriculture-Focus|Private Sector Revenues Generated (USD) / Project Cost</t>
  </si>
  <si>
    <t>By Sector|Non-Agriculture-Focus|Export Revenue Generated (USD) / Project Cost</t>
  </si>
  <si>
    <t>By Sector|Non-Agriculture-Focus|Cost (USD) / Job Created</t>
  </si>
  <si>
    <t>By Sector|Non-Agriculture-Focus|Cost (USD) / Job Improved</t>
  </si>
  <si>
    <t>By Sector|Non-Agriculture-Focus|Beneficiary Income (USD) / Project Cost</t>
  </si>
  <si>
    <t>By Programme Length|&gt;=10 years|Income per Beneficiary (USD)</t>
  </si>
  <si>
    <t>By Programme Length|&gt;=10 years|Private Sector Investment (USD) / Project Cost</t>
  </si>
  <si>
    <t>By Programme Length|&gt;=10 years|Private Sector Revenues Generated (USD) / Project Cost</t>
  </si>
  <si>
    <t>By Programme Length|&gt;=10 years|Export Revenue Generated (USD) / Project Cost</t>
  </si>
  <si>
    <t>By Programme Length|&gt;=10 years|Cost (USD) / Job Created</t>
  </si>
  <si>
    <t>By Programme Length|&gt;=10 years|Cost (USD) / Job Improved</t>
  </si>
  <si>
    <t>By Programme Length|&gt;=10 years|Beneficiary Income (USD) / Project Cost</t>
  </si>
  <si>
    <t>By Programme Length|5-9 years|Income per Beneficiary (USD)</t>
  </si>
  <si>
    <t>By Programme Length|5-9 years|Private Sector Investment (USD) / Project Cost</t>
  </si>
  <si>
    <t>By Programme Length|5-9 years|Private Sector Revenues Generated (USD) / Project Cost</t>
  </si>
  <si>
    <t>By Programme Length|5-9 years|Export Revenue Generated (USD) / Project Cost</t>
  </si>
  <si>
    <t>By Programme Length|5-9 years|Cost (USD) / Job Created</t>
  </si>
  <si>
    <t>By Programme Length|5-9 years|Cost (USD) / Job Improved</t>
  </si>
  <si>
    <t>By Programme Length|5-9 years|Beneficiary Income (USD) / Project Cost</t>
  </si>
  <si>
    <t>By Programme Length|&lt;=5 years|Income per Beneficiary (USD)</t>
  </si>
  <si>
    <t>By Programme Length|&lt;=5 years|Private Sector Investment (USD) / Project Cost</t>
  </si>
  <si>
    <t>By Programme Length|&lt;=5 years|Private Sector Revenues Generated (USD) / Project Cost</t>
  </si>
  <si>
    <t>By Programme Length|&lt;=5 years|Export Revenue Generated (USD) / Project Cost</t>
  </si>
  <si>
    <t>By Programme Length|&lt;=5 years|Cost (USD) / Job Created</t>
  </si>
  <si>
    <t>By Programme Length|&lt;=5 years|Cost (USD) / Job Improved</t>
  </si>
  <si>
    <t>By Programme Length|&lt;=5 years|Beneficiary Income (USD) / Project Cost</t>
  </si>
  <si>
    <t>By Groups (Level of Inflation and Political Risks)|Group 1 (High Inflation and Risks)|Income per Beneficiary (USD)</t>
  </si>
  <si>
    <t>By Groups (Level of Inflation and Political Risks)|Group 1 (High Inflation and Risks)|Private Sector Investment (USD) / Project Cost</t>
  </si>
  <si>
    <t>By Groups (Level of Inflation and Political Risks)|Group 1 (High Inflation and Risks)|Private Sector Revenues Generated (USD) / Project Cost</t>
  </si>
  <si>
    <t>By Groups (Level of Inflation and Political Risks)|Group 1 (High Inflation and Risks)|Export Revenue Generated (USD) / Project Cost</t>
  </si>
  <si>
    <t>By Groups (Level of Inflation and Political Risks)|Group 1 (High Inflation and Risks)|Cost (USD) / Job Created</t>
  </si>
  <si>
    <t>By Groups (Level of Inflation and Political Risks)|Group 1 (High Inflation and Risks)|Cost (USD) / Job Improved</t>
  </si>
  <si>
    <t>By Groups (Level of Inflation and Political Risks)|Group 1 (High Inflation and Risks)|Beneficiary Income (USD) / Project Cost</t>
  </si>
  <si>
    <t>By Groups (Level of Inflation and Political Risks)|Group 2 (Medium Inflation and Risks)|Income per Beneficiary (USD)</t>
  </si>
  <si>
    <t>By Groups (Level of Inflation and Political Risks)|Group 2 (Medium Inflation and Risks)|Private Sector Investment (USD) / Project Cost</t>
  </si>
  <si>
    <t>By Groups (Level of Inflation and Political Risks)|Group 2 (Medium Inflation and Risks)|Private Sector Revenues Generated (USD) / Project Cost</t>
  </si>
  <si>
    <t>By Groups (Level of Inflation and Political Risks)|Group 2 (Medium Inflation and Risks)|Export Revenue Generated (USD) / Project Cost</t>
  </si>
  <si>
    <t>By Groups (Level of Inflation and Political Risks)|Group 2 (Medium Inflation and Risks)|Cost (USD) / Job Created</t>
  </si>
  <si>
    <t>By Groups (Level of Inflation and Political Risks)|Group 2 (Medium Inflation and Risks)|Cost (USD) / Job Improved</t>
  </si>
  <si>
    <t>By Groups (Level of Inflation and Political Risks)|Group 2 (Medium Inflation and Risks)|Beneficiary Income (USD) / Project Cost</t>
  </si>
  <si>
    <t>By Groups (Level of Inflation and Political Risks)|Group 3 (Low Inflation and Risks)|Income per Beneficiary (USD)</t>
  </si>
  <si>
    <t>By Groups (Level of Inflation and Political Risks)|Group 3 (Low Inflation and Risks)|Private Sector Investment (USD) / Project Cost</t>
  </si>
  <si>
    <t>By Groups (Level of Inflation and Political Risks)|Group 3 (Low Inflation and Risks)|Private Sector Revenues Generated (USD) / Project Cost</t>
  </si>
  <si>
    <t>By Groups (Level of Inflation and Political Risks)|Group 3 (Low Inflation and Risks)|Export Revenue Generated (USD) / Project Cost</t>
  </si>
  <si>
    <t>By Groups (Level of Inflation and Political Risks)|Group 3 (Low Inflation and Risks)|Cost (USD) / Job Created</t>
  </si>
  <si>
    <t>By Groups (Level of Inflation and Political Risks)|Group 3 (Low Inflation and Risks)|Cost (USD) / Job Improved</t>
  </si>
  <si>
    <t>By Groups (Level of Inflation and Political Risks)|Group 3 (Low Inflation and Risks)|Beneficiary Income (USD) / Project Cost</t>
  </si>
  <si>
    <t>By Country Income Level|Low-Income|Income per Beneficiary (USD)</t>
  </si>
  <si>
    <t>By Country Income Level|Low-Income|Private Sector Investment (USD) / Project Cost</t>
  </si>
  <si>
    <t>By Country Income Level|Low-Income|Private Sector Revenues Generated (USD) / Project Cost</t>
  </si>
  <si>
    <t>By Country Income Level|Low-Income|Export Revenue Generated (USD) / Project Cost</t>
  </si>
  <si>
    <t>By Country Income Level|Low-Income|Cost (USD) / Job Created</t>
  </si>
  <si>
    <t>By Country Income Level|Low-Income|Cost (USD) / Job Improved</t>
  </si>
  <si>
    <t>By Country Income Level|Low-Income|Beneficiary Income (USD) / Project Cost</t>
  </si>
  <si>
    <t>By Country Income Level|Lower-Middle Income|Income per Beneficiary (USD)</t>
  </si>
  <si>
    <t>By Country Income Level|Lower-Middle Income|Private Sector Investment (USD) / Project Cost</t>
  </si>
  <si>
    <t>By Country Income Level|Lower-Middle Income|Private Sector Revenues Generated (USD) / Project Cost</t>
  </si>
  <si>
    <t>By Country Income Level|Lower-Middle Income|Export Revenue Generated (USD) / Project Cost</t>
  </si>
  <si>
    <t>By Country Income Level|Lower-Middle Income|Cost (USD) / Job Created</t>
  </si>
  <si>
    <t>By Country Income Level|Lower-Middle Income|Cost (USD) / Job Improved</t>
  </si>
  <si>
    <t>By Country Income Level|Lower-Middle Income|Beneficiary Income (USD) / Project Cost</t>
  </si>
  <si>
    <t>By Country Income Level|Upper-Middle Income|Income per Beneficiary (USD)</t>
  </si>
  <si>
    <t>By Country Income Level|Upper-Middle Income|Private Sector Investment (USD) / Project Cost</t>
  </si>
  <si>
    <t>By Country Income Level|Upper-Middle Income|Private Sector Revenues Generated (USD) / Project Cost</t>
  </si>
  <si>
    <t>By Country Income Level|Upper-Middle Income|Export Revenue Generated (USD) / Project Cost</t>
  </si>
  <si>
    <t>By Country Income Level|Upper-Middle Income|Cost (USD) / Job Created</t>
  </si>
  <si>
    <t>By Country Income Level|Upper-Middle Income|Cost (USD) / Job Improved</t>
  </si>
  <si>
    <t>By Country Income Level|Upper-Middle Income|Beneficiary Income (USD) / Project Cost</t>
  </si>
  <si>
    <t>By Country Income Level|Mixed|Income per Beneficiary (USD)</t>
  </si>
  <si>
    <t>By Country Income Level|Mixed|Private Sector Investment (USD) / Project Cost</t>
  </si>
  <si>
    <t>By Country Income Level|Mixed|Private Sector Revenues Generated (USD) / Project Cost</t>
  </si>
  <si>
    <t>By Country Income Level|Mixed|Export Revenue Generated (USD) / Project Cost</t>
  </si>
  <si>
    <t>By Country Income Level|Mixed|Cost (USD) / Job Created</t>
  </si>
  <si>
    <t>By Country Income Level|Mixed|Cost (USD) / Job Improved</t>
  </si>
  <si>
    <t>By Country Income Level|Mixed|Beneficiary Income (USD) / Project Cost</t>
  </si>
  <si>
    <t>By FCAS Status|Non-FCAS|Income per Beneficiary (USD)</t>
  </si>
  <si>
    <t>By FCAS Status|Non-FCAS|Private Sector Investment (USD) / Project Cost</t>
  </si>
  <si>
    <t>By FCAS Status|Non-FCAS|Private Sector Revenues Generated (USD) / Project Cost</t>
  </si>
  <si>
    <t>By FCAS Status|Non-FCAS|Export Revenue Generated (USD) / Project Cost</t>
  </si>
  <si>
    <t>By FCAS Status|Non-FCAS|Cost (USD) / Job Created</t>
  </si>
  <si>
    <t>By FCAS Status|Non-FCAS|Cost (USD) / Job Improved</t>
  </si>
  <si>
    <t>By FCAS Status|Non-FCAS|Beneficiary Income (USD) / Project Cost</t>
  </si>
  <si>
    <t>By FCAS Status|FCAS|Income per Beneficiary (USD)</t>
  </si>
  <si>
    <t>By FCAS Status|FCAS|Private Sector Investment (USD) / Project Cost</t>
  </si>
  <si>
    <t>By FCAS Status|FCAS|Private Sector Revenues Generated (USD) / Project Cost</t>
  </si>
  <si>
    <t>By FCAS Status|FCAS|Export Revenue Generated (USD) / Project Cost</t>
  </si>
  <si>
    <t>By FCAS Status|FCAS|Cost (USD) / Job Created</t>
  </si>
  <si>
    <t>By FCAS Status|FCAS|Cost (USD) / Job Improved</t>
  </si>
  <si>
    <t>By FCAS Status|FCAS|Beneficiary Income (USD) / Project Cost</t>
  </si>
  <si>
    <t>By FCAS Status|Both|Income per Beneficiary (USD)</t>
  </si>
  <si>
    <t>By FCAS Status|Both|Private Sector Investment (USD) / Project Cost</t>
  </si>
  <si>
    <t>By FCAS Status|Both|Private Sector Revenues Generated (USD) / Project Cost</t>
  </si>
  <si>
    <t>By FCAS Status|Both|Export Revenue Generated (USD) / Project Cost</t>
  </si>
  <si>
    <t>By FCAS Status|Both|Cost (USD) / Job Created</t>
  </si>
  <si>
    <t>By FCAS Status|Both|Cost (USD) / Job Improved</t>
  </si>
  <si>
    <t>By FCAS Status|Both|Beneficiary Income (USD) / Project Cost</t>
  </si>
  <si>
    <t>By Primary Objective (Note: one programme can have multiple primary objectives)|Job Creation|Income per Beneficiary (USD)</t>
  </si>
  <si>
    <t>By Primary Objective (Note: one programme can have multiple primary objectives)|Job Creation|Private Sector Investment (USD) / Project Cost</t>
  </si>
  <si>
    <t>By Primary Objective (Note: one programme can have multiple primary objectives)|Job Creation|Private Sector Revenues Generated (USD) / Project Cost</t>
  </si>
  <si>
    <t>By Primary Objective (Note: one programme can have multiple primary objectives)|Job Creation|Export Revenue Generated (USD) / Project Cost</t>
  </si>
  <si>
    <t>By Primary Objective (Note: one programme can have multiple primary objectives)|Job Creation|Cost (USD) / Job Created</t>
  </si>
  <si>
    <t>By Primary Objective (Note: one programme can have multiple primary objectives)|Job Creation|Cost (USD) / Job Improved</t>
  </si>
  <si>
    <t>By Primary Objective (Note: one programme can have multiple primary objectives)|Job Creation|Beneficiary Income (USD) / Project Cost</t>
  </si>
  <si>
    <t>By Primary Objective (Note: one programme can have multiple primary objectives)|Income Improvement|Income per Beneficiary (USD)</t>
  </si>
  <si>
    <t>By Primary Objective (Note: one programme can have multiple primary objectives)|Income Improvement|Private Sector Investment (USD) / Project Cost</t>
  </si>
  <si>
    <t>By Primary Objective (Note: one programme can have multiple primary objectives)|Income Improvement|Private Sector Revenues Generated (USD) / Project Cost</t>
  </si>
  <si>
    <t>By Primary Objective (Note: one programme can have multiple primary objectives)|Income Improvement|Export Revenue Generated (USD) / Project Cost</t>
  </si>
  <si>
    <t>By Primary Objective (Note: one programme can have multiple primary objectives)|Income Improvement|Cost (USD) / Job Created</t>
  </si>
  <si>
    <t>By Primary Objective (Note: one programme can have multiple primary objectives)|Income Improvement|Cost (USD) / Job Improved</t>
  </si>
  <si>
    <t>By Primary Objective (Note: one programme can have multiple primary objectives)|Income Improvement|Beneficiary Income (USD) / Project Cost</t>
  </si>
  <si>
    <t>By Primary Objective (Note: one programme can have multiple primary objectives)|Food Security &amp; Resilience|Income per Beneficiary (USD)</t>
  </si>
  <si>
    <t>By Primary Objective (Note: one programme can have multiple primary objectives)|Food Security &amp; Resilience|Private Sector Investment (USD) / Project Cost</t>
  </si>
  <si>
    <t>By Primary Objective (Note: one programme can have multiple primary objectives)|Food Security &amp; Resilience|Private Sector Revenues Generated (USD) / Project Cost</t>
  </si>
  <si>
    <t>By Primary Objective (Note: one programme can have multiple primary objectives)|Food Security &amp; Resilience|Export Revenue Generated (USD) / Project Cost</t>
  </si>
  <si>
    <t>By Primary Objective (Note: one programme can have multiple primary objectives)|Food Security &amp; Resilience|Cost (USD) / Job Created</t>
  </si>
  <si>
    <t>By Primary Objective (Note: one programme can have multiple primary objectives)|Food Security &amp; Resilience|Cost (USD) / Job Improved</t>
  </si>
  <si>
    <t>By Primary Objective (Note: one programme can have multiple primary objectives)|Food Security &amp; Resilience|Beneficiary Income (USD) / Project Cost</t>
  </si>
  <si>
    <t>By Primary Objective (Note: one programme can have multiple primary objectives)|Energy Security|Income per Beneficiary (USD)</t>
  </si>
  <si>
    <t>By Primary Objective (Note: one programme can have multiple primary objectives)|Energy Security|Private Sector Investment (USD) / Project Cost</t>
  </si>
  <si>
    <t>By Primary Objective (Note: one programme can have multiple primary objectives)|Energy Security|Private Sector Revenues Generated (USD) / Project Cost</t>
  </si>
  <si>
    <t>By Primary Objective (Note: one programme can have multiple primary objectives)|Energy Security|Export Revenue Generated (USD) / Project Cost</t>
  </si>
  <si>
    <t>By Primary Objective (Note: one programme can have multiple primary objectives)|Energy Security|Cost (USD) / Job Created</t>
  </si>
  <si>
    <t>By Primary Objective (Note: one programme can have multiple primary objectives)|Energy Security|Cost (USD) / Job Improved</t>
  </si>
  <si>
    <t>By Primary Objective (Note: one programme can have multiple primary objectives)|Energy Security|Beneficiary Income (USD) / Project Cost</t>
  </si>
  <si>
    <t>Data Source</t>
  </si>
  <si>
    <t>World Development Indicators</t>
  </si>
  <si>
    <t>Last Updated Date</t>
  </si>
  <si>
    <t>Country Name</t>
  </si>
  <si>
    <t>Country Code</t>
  </si>
  <si>
    <t>Indicator Name</t>
  </si>
  <si>
    <t>Indicator Code</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</si>
  <si>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</si>
  <si>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</si>
  <si>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</si>
  <si>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</si>
  <si>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</si>
  <si>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</si>
  <si>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</si>
  <si>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</si>
  <si>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</si>
  <si>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</si>
  <si>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</si>
  <si>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</si>
  <si>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</si>
  <si>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</si>
  <si>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</si>
  <si>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</si>
  <si>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</si>
  <si>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</si>
  <si>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</si>
  <si>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</si>
  <si>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</si>
  <si>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</si>
  <si>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</si>
  <si>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</si>
  <si>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</si>
  <si>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</si>
  <si>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</si>
  <si>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</si>
  <si>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</si>
  <si>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</si>
  <si>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</si>
  <si>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</si>
  <si>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</si>
  <si>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</si>
  <si>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</si>
  <si>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</si>
  <si>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</si>
  <si>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</si>
  <si>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</si>
  <si>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</si>
  <si>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</si>
  <si>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</si>
  <si>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</si>
  <si>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</si>
  <si>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</si>
  <si>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</si>
  <si>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</si>
  <si>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</si>
  <si>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</si>
  <si>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</si>
  <si>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</si>
  <si>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</si>
  <si>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</si>
  <si>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</si>
  <si>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</si>
  <si>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</si>
  <si>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</si>
  <si>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</si>
  <si>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</si>
  <si>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</si>
  <si>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</si>
  <si>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</si>
  <si>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</si>
  <si>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</si>
  <si>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</si>
  <si>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Aruba</t>
  </si>
  <si>
    <t>ABW</t>
  </si>
  <si>
    <t>Political Stability and Absence of Violence/Terrorism: Estimate</t>
  </si>
  <si>
    <t>PV.EST</t>
  </si>
  <si>
    <t>Africa Eastern and Southern</t>
  </si>
  <si>
    <t>AFE</t>
  </si>
  <si>
    <t>Afghanistan</t>
  </si>
  <si>
    <t>AFG</t>
  </si>
  <si>
    <t>Africa Western and Central</t>
  </si>
  <si>
    <t>AFW</t>
  </si>
  <si>
    <t>Angola</t>
  </si>
  <si>
    <t>AGO</t>
  </si>
  <si>
    <t>Albania</t>
  </si>
  <si>
    <t>ALB</t>
  </si>
  <si>
    <t>Andorra</t>
  </si>
  <si>
    <t>AND</t>
  </si>
  <si>
    <t>Arab World</t>
  </si>
  <si>
    <t>ARB</t>
  </si>
  <si>
    <t>United Arab Emirates</t>
  </si>
  <si>
    <t>ARE</t>
  </si>
  <si>
    <t>Argentina</t>
  </si>
  <si>
    <t>ARG</t>
  </si>
  <si>
    <t>Armenia</t>
  </si>
  <si>
    <t>ARM</t>
  </si>
  <si>
    <t>American Samoa</t>
  </si>
  <si>
    <t>ASM</t>
  </si>
  <si>
    <t>Antigua and Barbuda</t>
  </si>
  <si>
    <t>ATG</t>
  </si>
  <si>
    <t>Australia</t>
  </si>
  <si>
    <t>AUS</t>
  </si>
  <si>
    <t>Austria</t>
  </si>
  <si>
    <t>AUT</t>
  </si>
  <si>
    <t>Azerbaijan</t>
  </si>
  <si>
    <t>AZE</t>
  </si>
  <si>
    <t>Burundi</t>
  </si>
  <si>
    <t>BDI</t>
  </si>
  <si>
    <t>Belgium</t>
  </si>
  <si>
    <t>BEL</t>
  </si>
  <si>
    <t>Benin</t>
  </si>
  <si>
    <t>BEN</t>
  </si>
  <si>
    <t>Burkina Faso</t>
  </si>
  <si>
    <t>BFA</t>
  </si>
  <si>
    <t>Bangladesh</t>
  </si>
  <si>
    <t>BGD</t>
  </si>
  <si>
    <t>Bulgaria</t>
  </si>
  <si>
    <t>BGR</t>
  </si>
  <si>
    <t>Bahrain</t>
  </si>
  <si>
    <t>BHR</t>
  </si>
  <si>
    <t>Bahamas, The</t>
  </si>
  <si>
    <t>BHS</t>
  </si>
  <si>
    <t>Bosnia and Herzegovina</t>
  </si>
  <si>
    <t>BIH</t>
  </si>
  <si>
    <t>Belarus</t>
  </si>
  <si>
    <t>BLR</t>
  </si>
  <si>
    <t>Belize</t>
  </si>
  <si>
    <t>BLZ</t>
  </si>
  <si>
    <t>Bermuda</t>
  </si>
  <si>
    <t>BMU</t>
  </si>
  <si>
    <t>Bolivia</t>
  </si>
  <si>
    <t>BOL</t>
  </si>
  <si>
    <t>Brazil</t>
  </si>
  <si>
    <t>BRA</t>
  </si>
  <si>
    <t>Barbados</t>
  </si>
  <si>
    <t>BRB</t>
  </si>
  <si>
    <t>Brunei Darussalam</t>
  </si>
  <si>
    <t>BRN</t>
  </si>
  <si>
    <t>Bhutan</t>
  </si>
  <si>
    <t>BTN</t>
  </si>
  <si>
    <t>Botswana</t>
  </si>
  <si>
    <t>BWA</t>
  </si>
  <si>
    <t>Central African Republic</t>
  </si>
  <si>
    <t>CAF</t>
  </si>
  <si>
    <t>Canada</t>
  </si>
  <si>
    <t>CAN</t>
  </si>
  <si>
    <t>Central Europe and the Baltics</t>
  </si>
  <si>
    <t>CEB</t>
  </si>
  <si>
    <t>Switzerland</t>
  </si>
  <si>
    <t>CHE</t>
  </si>
  <si>
    <t>Channel Islands</t>
  </si>
  <si>
    <t>CHI</t>
  </si>
  <si>
    <t>Chile</t>
  </si>
  <si>
    <t>CHL</t>
  </si>
  <si>
    <t>China</t>
  </si>
  <si>
    <t>CHN</t>
  </si>
  <si>
    <t>Cote d'Ivoire</t>
  </si>
  <si>
    <t>CIV</t>
  </si>
  <si>
    <t>Cameroon</t>
  </si>
  <si>
    <t>CMR</t>
  </si>
  <si>
    <t>Congo, Dem. Rep.</t>
  </si>
  <si>
    <t>COD</t>
  </si>
  <si>
    <t>Congo, Rep.</t>
  </si>
  <si>
    <t>COG</t>
  </si>
  <si>
    <t>Colombia</t>
  </si>
  <si>
    <t>COL</t>
  </si>
  <si>
    <t>Comoros</t>
  </si>
  <si>
    <t>COM</t>
  </si>
  <si>
    <t>Cabo Verde</t>
  </si>
  <si>
    <t>CPV</t>
  </si>
  <si>
    <t>Costa Rica</t>
  </si>
  <si>
    <t>CRI</t>
  </si>
  <si>
    <t>Caribbean small states</t>
  </si>
  <si>
    <t>CSS</t>
  </si>
  <si>
    <t>Cuba</t>
  </si>
  <si>
    <t>CUB</t>
  </si>
  <si>
    <t>Curacao</t>
  </si>
  <si>
    <t>CUW</t>
  </si>
  <si>
    <t>Cayman Islands</t>
  </si>
  <si>
    <t>CYM</t>
  </si>
  <si>
    <t>Cyprus</t>
  </si>
  <si>
    <t>CYP</t>
  </si>
  <si>
    <t>Czechia</t>
  </si>
  <si>
    <t>CZE</t>
  </si>
  <si>
    <t>Germany</t>
  </si>
  <si>
    <t>DEU</t>
  </si>
  <si>
    <t>Djibouti</t>
  </si>
  <si>
    <t>DJI</t>
  </si>
  <si>
    <t>Dominica</t>
  </si>
  <si>
    <t>DMA</t>
  </si>
  <si>
    <t>Denmark</t>
  </si>
  <si>
    <t>DNK</t>
  </si>
  <si>
    <t>Dominican Republic</t>
  </si>
  <si>
    <t>DOM</t>
  </si>
  <si>
    <t>Algeria</t>
  </si>
  <si>
    <t>DZA</t>
  </si>
  <si>
    <t>East Asia &amp; Pacific (excluding high income)</t>
  </si>
  <si>
    <t>EAP</t>
  </si>
  <si>
    <t>Early-demographic dividend</t>
  </si>
  <si>
    <t>EAR</t>
  </si>
  <si>
    <t>East Asia &amp; Pacific</t>
  </si>
  <si>
    <t>EAS</t>
  </si>
  <si>
    <t>Europe &amp; Central Asia (excluding high income)</t>
  </si>
  <si>
    <t>ECA</t>
  </si>
  <si>
    <t>Europe &amp; Central Asia</t>
  </si>
  <si>
    <t>ECS</t>
  </si>
  <si>
    <t>Ecuador</t>
  </si>
  <si>
    <t>ECU</t>
  </si>
  <si>
    <t>Egypt, Arab Rep.</t>
  </si>
  <si>
    <t>EGY</t>
  </si>
  <si>
    <t>Euro area</t>
  </si>
  <si>
    <t>EMU</t>
  </si>
  <si>
    <t>Eritrea</t>
  </si>
  <si>
    <t>ERI</t>
  </si>
  <si>
    <t>Spain</t>
  </si>
  <si>
    <t>Estonia</t>
  </si>
  <si>
    <t>EST</t>
  </si>
  <si>
    <t>Ethiopia</t>
  </si>
  <si>
    <t>ETH</t>
  </si>
  <si>
    <t>European Union</t>
  </si>
  <si>
    <t>EUU</t>
  </si>
  <si>
    <t>Fragile and conflict affected situations</t>
  </si>
  <si>
    <t>FCS</t>
  </si>
  <si>
    <t>Finland</t>
  </si>
  <si>
    <t>FIN</t>
  </si>
  <si>
    <t>Fiji</t>
  </si>
  <si>
    <t>FJI</t>
  </si>
  <si>
    <t>France</t>
  </si>
  <si>
    <t>FRA</t>
  </si>
  <si>
    <t>Faroe Islands</t>
  </si>
  <si>
    <t>FRO</t>
  </si>
  <si>
    <t>Micronesia, Fed. Sts.</t>
  </si>
  <si>
    <t>FSM</t>
  </si>
  <si>
    <t>Gabon</t>
  </si>
  <si>
    <t>GAB</t>
  </si>
  <si>
    <t>United Kingdom</t>
  </si>
  <si>
    <t>GBR</t>
  </si>
  <si>
    <t>Georgia</t>
  </si>
  <si>
    <t>GEO</t>
  </si>
  <si>
    <t>Ghana</t>
  </si>
  <si>
    <t>GHA</t>
  </si>
  <si>
    <t>Gibraltar</t>
  </si>
  <si>
    <t>GIB</t>
  </si>
  <si>
    <t>Guinea</t>
  </si>
  <si>
    <t>GIN</t>
  </si>
  <si>
    <t>Gambia, The</t>
  </si>
  <si>
    <t>GMB</t>
  </si>
  <si>
    <t>Guinea-Bissau</t>
  </si>
  <si>
    <t>GNB</t>
  </si>
  <si>
    <t>Equatorial Guinea</t>
  </si>
  <si>
    <t>GNQ</t>
  </si>
  <si>
    <t>Greece</t>
  </si>
  <si>
    <t>GRC</t>
  </si>
  <si>
    <t>Grenada</t>
  </si>
  <si>
    <t>GRD</t>
  </si>
  <si>
    <t>Greenland</t>
  </si>
  <si>
    <t>GRL</t>
  </si>
  <si>
    <t>Guatemala</t>
  </si>
  <si>
    <t>GTM</t>
  </si>
  <si>
    <t>Guam</t>
  </si>
  <si>
    <t>GUM</t>
  </si>
  <si>
    <t>Guyana</t>
  </si>
  <si>
    <t>GUY</t>
  </si>
  <si>
    <t>High income</t>
  </si>
  <si>
    <t>HIC</t>
  </si>
  <si>
    <t>Hong Kong SAR, China</t>
  </si>
  <si>
    <t>HKG</t>
  </si>
  <si>
    <t>Honduras</t>
  </si>
  <si>
    <t>HND</t>
  </si>
  <si>
    <t>Heavily indebted poor countries (HIPC)</t>
  </si>
  <si>
    <t>HPC</t>
  </si>
  <si>
    <t>Croatia</t>
  </si>
  <si>
    <t>HRV</t>
  </si>
  <si>
    <t>Haiti</t>
  </si>
  <si>
    <t>HTI</t>
  </si>
  <si>
    <t>Hungary</t>
  </si>
  <si>
    <t>HUN</t>
  </si>
  <si>
    <t>IBRD only</t>
  </si>
  <si>
    <t>IBD</t>
  </si>
  <si>
    <t>IDA &amp; IBRD total</t>
  </si>
  <si>
    <t>IBT</t>
  </si>
  <si>
    <t>IDA total</t>
  </si>
  <si>
    <t>IDA</t>
  </si>
  <si>
    <t>IDA blend</t>
  </si>
  <si>
    <t>IDB</t>
  </si>
  <si>
    <t>Indonesia</t>
  </si>
  <si>
    <t>IDN</t>
  </si>
  <si>
    <t>IDA only</t>
  </si>
  <si>
    <t>IDX</t>
  </si>
  <si>
    <t>Isle of Man</t>
  </si>
  <si>
    <t>IMN</t>
  </si>
  <si>
    <t>India</t>
  </si>
  <si>
    <t>IND</t>
  </si>
  <si>
    <t>Not classified</t>
  </si>
  <si>
    <t>INX</t>
  </si>
  <si>
    <t>Ireland</t>
  </si>
  <si>
    <t>IRL</t>
  </si>
  <si>
    <t>Iran, Islamic Rep.</t>
  </si>
  <si>
    <t>IRN</t>
  </si>
  <si>
    <t>Iraq</t>
  </si>
  <si>
    <t>IRQ</t>
  </si>
  <si>
    <t>Iceland</t>
  </si>
  <si>
    <t>ISL</t>
  </si>
  <si>
    <t>Israel</t>
  </si>
  <si>
    <t>ISR</t>
  </si>
  <si>
    <t>Italy</t>
  </si>
  <si>
    <t>ITA</t>
  </si>
  <si>
    <t>Jamaica</t>
  </si>
  <si>
    <t>JAM</t>
  </si>
  <si>
    <t>Jordan</t>
  </si>
  <si>
    <t>JOR</t>
  </si>
  <si>
    <t>Japan</t>
  </si>
  <si>
    <t>JPN</t>
  </si>
  <si>
    <t>Kazakhstan</t>
  </si>
  <si>
    <t>KAZ</t>
  </si>
  <si>
    <t>Kenya</t>
  </si>
  <si>
    <t>KEN</t>
  </si>
  <si>
    <t>Kyrgyz Republic</t>
  </si>
  <si>
    <t>KGZ</t>
  </si>
  <si>
    <t>Cambodia</t>
  </si>
  <si>
    <t>KHM</t>
  </si>
  <si>
    <t>Kiribati</t>
  </si>
  <si>
    <t>KIR</t>
  </si>
  <si>
    <t>St. Kitts and Nevis</t>
  </si>
  <si>
    <t>KNA</t>
  </si>
  <si>
    <t>Korea, Rep.</t>
  </si>
  <si>
    <t>KOR</t>
  </si>
  <si>
    <t>Kuwait</t>
  </si>
  <si>
    <t>KWT</t>
  </si>
  <si>
    <t>Latin America &amp; Caribbean (excluding high income)</t>
  </si>
  <si>
    <t>LAC</t>
  </si>
  <si>
    <t>Lao PDR</t>
  </si>
  <si>
    <t>LAO</t>
  </si>
  <si>
    <t>Lebanon</t>
  </si>
  <si>
    <t>LBN</t>
  </si>
  <si>
    <t>Liberia</t>
  </si>
  <si>
    <t>LBR</t>
  </si>
  <si>
    <t>Libya</t>
  </si>
  <si>
    <t>LBY</t>
  </si>
  <si>
    <t>St. Lucia</t>
  </si>
  <si>
    <t>LCA</t>
  </si>
  <si>
    <t>Latin America &amp; Caribbean</t>
  </si>
  <si>
    <t>LCN</t>
  </si>
  <si>
    <t>Least developed countries: UN classification</t>
  </si>
  <si>
    <t>LDC</t>
  </si>
  <si>
    <t>Low income</t>
  </si>
  <si>
    <t>LIC</t>
  </si>
  <si>
    <t>Liechtenstein</t>
  </si>
  <si>
    <t>LIE</t>
  </si>
  <si>
    <t>Sri Lanka</t>
  </si>
  <si>
    <t>LKA</t>
  </si>
  <si>
    <t>Lower middle income</t>
  </si>
  <si>
    <t>LMC</t>
  </si>
  <si>
    <t>Low &amp; middle income</t>
  </si>
  <si>
    <t>LMY</t>
  </si>
  <si>
    <t>Lesotho</t>
  </si>
  <si>
    <t>LSO</t>
  </si>
  <si>
    <t>Late-demographic dividend</t>
  </si>
  <si>
    <t>LTE</t>
  </si>
  <si>
    <t>Lithuania</t>
  </si>
  <si>
    <t>LTU</t>
  </si>
  <si>
    <t>Luxembourg</t>
  </si>
  <si>
    <t>LUX</t>
  </si>
  <si>
    <t>Latvia</t>
  </si>
  <si>
    <t>LVA</t>
  </si>
  <si>
    <t>Macao SAR, China</t>
  </si>
  <si>
    <t>MAC</t>
  </si>
  <si>
    <t>St. Martin (French part)</t>
  </si>
  <si>
    <t>MAF</t>
  </si>
  <si>
    <t>Morocco</t>
  </si>
  <si>
    <t>MAR</t>
  </si>
  <si>
    <t>Monaco</t>
  </si>
  <si>
    <t>MCO</t>
  </si>
  <si>
    <t>Moldova</t>
  </si>
  <si>
    <t>MDA</t>
  </si>
  <si>
    <t>Madagascar</t>
  </si>
  <si>
    <t>MDG</t>
  </si>
  <si>
    <t>Maldives</t>
  </si>
  <si>
    <t>MDV</t>
  </si>
  <si>
    <t>Middle East, North Africa, Afghanistan &amp; Pakistan</t>
  </si>
  <si>
    <t>MEA</t>
  </si>
  <si>
    <t>Mexico</t>
  </si>
  <si>
    <t>MEX</t>
  </si>
  <si>
    <t>Marshall Islands</t>
  </si>
  <si>
    <t>MHL</t>
  </si>
  <si>
    <t>Middle income</t>
  </si>
  <si>
    <t>MIC</t>
  </si>
  <si>
    <t>North Macedonia</t>
  </si>
  <si>
    <t>MKD</t>
  </si>
  <si>
    <t>Mali</t>
  </si>
  <si>
    <t>MLI</t>
  </si>
  <si>
    <t>Malta</t>
  </si>
  <si>
    <t>MLT</t>
  </si>
  <si>
    <t>Myanmar</t>
  </si>
  <si>
    <t>MMR</t>
  </si>
  <si>
    <t>Middle East, North Africa, Afghanistan &amp; Pakistan (excluding high income)</t>
  </si>
  <si>
    <t>MNA</t>
  </si>
  <si>
    <t>Montenegro</t>
  </si>
  <si>
    <t>MNE</t>
  </si>
  <si>
    <t>Mongolia</t>
  </si>
  <si>
    <t>MNG</t>
  </si>
  <si>
    <t>Northern Mariana Islands</t>
  </si>
  <si>
    <t>MNP</t>
  </si>
  <si>
    <t>Mozambique</t>
  </si>
  <si>
    <t>MOZ</t>
  </si>
  <si>
    <t>Mauritania</t>
  </si>
  <si>
    <t>MRT</t>
  </si>
  <si>
    <t>Mauritius</t>
  </si>
  <si>
    <t>MUS</t>
  </si>
  <si>
    <t>Malawi</t>
  </si>
  <si>
    <t>MWI</t>
  </si>
  <si>
    <t>Malaysia</t>
  </si>
  <si>
    <t>MYS</t>
  </si>
  <si>
    <t>North America</t>
  </si>
  <si>
    <t>NAC</t>
  </si>
  <si>
    <t>Namibia</t>
  </si>
  <si>
    <t>NAM</t>
  </si>
  <si>
    <t>New Caledonia</t>
  </si>
  <si>
    <t>NCL</t>
  </si>
  <si>
    <t>Niger</t>
  </si>
  <si>
    <t>NER</t>
  </si>
  <si>
    <t>Nigeria</t>
  </si>
  <si>
    <t>NGA</t>
  </si>
  <si>
    <t>Nicaragua</t>
  </si>
  <si>
    <t>NIC</t>
  </si>
  <si>
    <t>Netherlands</t>
  </si>
  <si>
    <t>NLD</t>
  </si>
  <si>
    <t>Norway</t>
  </si>
  <si>
    <t>NOR</t>
  </si>
  <si>
    <t>Nepal</t>
  </si>
  <si>
    <t>NPL</t>
  </si>
  <si>
    <t>Nauru</t>
  </si>
  <si>
    <t>NRU</t>
  </si>
  <si>
    <t>New Zealand</t>
  </si>
  <si>
    <t>NZL</t>
  </si>
  <si>
    <t>OECD members</t>
  </si>
  <si>
    <t>OED</t>
  </si>
  <si>
    <t>Oman</t>
  </si>
  <si>
    <t>OMN</t>
  </si>
  <si>
    <t>Other small states</t>
  </si>
  <si>
    <t>OSS</t>
  </si>
  <si>
    <t>Pakistan</t>
  </si>
  <si>
    <t>PAK</t>
  </si>
  <si>
    <t>Panama</t>
  </si>
  <si>
    <t>PAN</t>
  </si>
  <si>
    <t>Peru</t>
  </si>
  <si>
    <t>PER</t>
  </si>
  <si>
    <t>Philippines</t>
  </si>
  <si>
    <t>PHL</t>
  </si>
  <si>
    <t>Palau</t>
  </si>
  <si>
    <t>PLW</t>
  </si>
  <si>
    <t>Papua New Guinea</t>
  </si>
  <si>
    <t>PNG</t>
  </si>
  <si>
    <t>Poland</t>
  </si>
  <si>
    <t>POL</t>
  </si>
  <si>
    <t>Pre-demographic dividend</t>
  </si>
  <si>
    <t>PRE</t>
  </si>
  <si>
    <t>Puerto Rico (US)</t>
  </si>
  <si>
    <t>PRI</t>
  </si>
  <si>
    <t>Korea, Dem. People's Rep.</t>
  </si>
  <si>
    <t>PRK</t>
  </si>
  <si>
    <t>Portugal</t>
  </si>
  <si>
    <t>PRT</t>
  </si>
  <si>
    <t>Paraguay</t>
  </si>
  <si>
    <t>PRY</t>
  </si>
  <si>
    <t>West Bank and Gaza</t>
  </si>
  <si>
    <t>PSE</t>
  </si>
  <si>
    <t>Pacific island small states</t>
  </si>
  <si>
    <t>PSS</t>
  </si>
  <si>
    <t>Post-demographic dividend</t>
  </si>
  <si>
    <t>PST</t>
  </si>
  <si>
    <t>French Polynesia</t>
  </si>
  <si>
    <t>PYF</t>
  </si>
  <si>
    <t>Qatar</t>
  </si>
  <si>
    <t>QAT</t>
  </si>
  <si>
    <t>Romania</t>
  </si>
  <si>
    <t>ROU</t>
  </si>
  <si>
    <t>Russian Federation</t>
  </si>
  <si>
    <t>RUS</t>
  </si>
  <si>
    <t>Rwanda</t>
  </si>
  <si>
    <t>RWA</t>
  </si>
  <si>
    <t>South Asia</t>
  </si>
  <si>
    <t>SAS</t>
  </si>
  <si>
    <t>Saudi Arabia</t>
  </si>
  <si>
    <t>SAU</t>
  </si>
  <si>
    <t>Sudan</t>
  </si>
  <si>
    <t>SDN</t>
  </si>
  <si>
    <t>Senegal</t>
  </si>
  <si>
    <t>SEN</t>
  </si>
  <si>
    <t>Singapore</t>
  </si>
  <si>
    <t>SGP</t>
  </si>
  <si>
    <t>Solomon Islands</t>
  </si>
  <si>
    <t>SLB</t>
  </si>
  <si>
    <t>Sierra Leone</t>
  </si>
  <si>
    <t>SLE</t>
  </si>
  <si>
    <t>El Salvador</t>
  </si>
  <si>
    <t>SLV</t>
  </si>
  <si>
    <t>San Marino</t>
  </si>
  <si>
    <t>SMR</t>
  </si>
  <si>
    <t>Somalia, Fed. Rep.</t>
  </si>
  <si>
    <t>SOM</t>
  </si>
  <si>
    <t>Serbia</t>
  </si>
  <si>
    <t>SRB</t>
  </si>
  <si>
    <t>Sub-Saharan Africa (excluding high income)</t>
  </si>
  <si>
    <t>SSA</t>
  </si>
  <si>
    <t>South Sudan</t>
  </si>
  <si>
    <t>SSD</t>
  </si>
  <si>
    <t>Sub-Saharan Africa</t>
  </si>
  <si>
    <t>SSF</t>
  </si>
  <si>
    <t>Small states</t>
  </si>
  <si>
    <t>SST</t>
  </si>
  <si>
    <t>Sao Tome and Principe</t>
  </si>
  <si>
    <t>STP</t>
  </si>
  <si>
    <t>Suriname</t>
  </si>
  <si>
    <t>SUR</t>
  </si>
  <si>
    <t>Slovak Republic</t>
  </si>
  <si>
    <t>SVK</t>
  </si>
  <si>
    <t>Slovenia</t>
  </si>
  <si>
    <t>SVN</t>
  </si>
  <si>
    <t>Sweden</t>
  </si>
  <si>
    <t>SWE</t>
  </si>
  <si>
    <t>Eswatini</t>
  </si>
  <si>
    <t>SWZ</t>
  </si>
  <si>
    <t>Sint Maarten (Dutch part)</t>
  </si>
  <si>
    <t>SXM</t>
  </si>
  <si>
    <t>Seychelles</t>
  </si>
  <si>
    <t>SYC</t>
  </si>
  <si>
    <t>Syrian Arab Republic</t>
  </si>
  <si>
    <t>SYR</t>
  </si>
  <si>
    <t>Turks and Caicos Islands</t>
  </si>
  <si>
    <t>TCA</t>
  </si>
  <si>
    <t>Chad</t>
  </si>
  <si>
    <t>TCD</t>
  </si>
  <si>
    <t>East Asia &amp; Pacific (IDA &amp; IBRD countries)</t>
  </si>
  <si>
    <t>TEA</t>
  </si>
  <si>
    <t>Europe &amp; Central Asia (IDA &amp; IBRD countries)</t>
  </si>
  <si>
    <t>TEC</t>
  </si>
  <si>
    <t>Togo</t>
  </si>
  <si>
    <t>TGO</t>
  </si>
  <si>
    <t>Thailand</t>
  </si>
  <si>
    <t>THA</t>
  </si>
  <si>
    <t>Tajikistan</t>
  </si>
  <si>
    <t>TJK</t>
  </si>
  <si>
    <t>Turkmenistan</t>
  </si>
  <si>
    <t>TKM</t>
  </si>
  <si>
    <t>Latin America &amp; the Caribbean (IDA &amp; IBRD countries)</t>
  </si>
  <si>
    <t>TLA</t>
  </si>
  <si>
    <t>Timor-Leste</t>
  </si>
  <si>
    <t>TLS</t>
  </si>
  <si>
    <t>Middle East, North Africa, Afghanistan &amp; Pakistan (IDA &amp; IBRD)</t>
  </si>
  <si>
    <t>TMN</t>
  </si>
  <si>
    <t>Tonga</t>
  </si>
  <si>
    <t>TON</t>
  </si>
  <si>
    <t>South Asia (IDA &amp; IBRD)</t>
  </si>
  <si>
    <t>TSA</t>
  </si>
  <si>
    <t>Sub-Saharan Africa (IDA &amp; IBRD countries)</t>
  </si>
  <si>
    <t>TSS</t>
  </si>
  <si>
    <t>Trinidad and Tobago</t>
  </si>
  <si>
    <t>TTO</t>
  </si>
  <si>
    <t>Tunisia</t>
  </si>
  <si>
    <t>TUN</t>
  </si>
  <si>
    <t>Turkiye</t>
  </si>
  <si>
    <t>TUR</t>
  </si>
  <si>
    <t>Tuvalu</t>
  </si>
  <si>
    <t>TUV</t>
  </si>
  <si>
    <t>Tanzania</t>
  </si>
  <si>
    <t>TZA</t>
  </si>
  <si>
    <t>Uganda</t>
  </si>
  <si>
    <t>UGA</t>
  </si>
  <si>
    <t>Ukraine</t>
  </si>
  <si>
    <t>UKR</t>
  </si>
  <si>
    <t>Upper middle income</t>
  </si>
  <si>
    <t>UMC</t>
  </si>
  <si>
    <t>Uruguay</t>
  </si>
  <si>
    <t>URY</t>
  </si>
  <si>
    <t>United States</t>
  </si>
  <si>
    <t>USA</t>
  </si>
  <si>
    <t>Uzbekistan</t>
  </si>
  <si>
    <t>UZB</t>
  </si>
  <si>
    <t>St. Vincent and the Grenadines</t>
  </si>
  <si>
    <t>VCT</t>
  </si>
  <si>
    <t>Venezuela, RB</t>
  </si>
  <si>
    <t>VEN</t>
  </si>
  <si>
    <t>British Virgin Islands</t>
  </si>
  <si>
    <t>VGB</t>
  </si>
  <si>
    <t>Virgin Islands (U.S.)</t>
  </si>
  <si>
    <t>VIR</t>
  </si>
  <si>
    <t>Viet Nam</t>
  </si>
  <si>
    <t>VNM</t>
  </si>
  <si>
    <t>Vanuatu</t>
  </si>
  <si>
    <t>VUT</t>
  </si>
  <si>
    <t>World</t>
  </si>
  <si>
    <t>WLD</t>
  </si>
  <si>
    <t>Samoa</t>
  </si>
  <si>
    <t>WSM</t>
  </si>
  <si>
    <t>Kosovo</t>
  </si>
  <si>
    <t>XKX</t>
  </si>
  <si>
    <t>Yemen, Rep.</t>
  </si>
  <si>
    <t>YEM</t>
  </si>
  <si>
    <t>South Africa</t>
  </si>
  <si>
    <t>ZAF</t>
  </si>
  <si>
    <t>Zambia</t>
  </si>
  <si>
    <t>ZMB</t>
  </si>
  <si>
    <t>Zimbabwe</t>
  </si>
  <si>
    <t>ZWE</t>
  </si>
  <si>
    <t>Inflation, consumer prices (annual %)</t>
  </si>
  <si>
    <t>FP.CPI.TOTL.ZG</t>
  </si>
  <si>
    <t>2025</t>
  </si>
  <si>
    <t>GDP per capita, PPP (constant 2021 international $)</t>
  </si>
  <si>
    <t>NY.GDP.PCAP.PP.KD</t>
  </si>
  <si>
    <t>GDP per capita, PPP (current international $)</t>
  </si>
  <si>
    <t>NY.GDP.PCAP.PP.CD</t>
  </si>
  <si>
    <t>Topic: Value for Money (VfM) Analysis of Market Systems Development (MSD) Programme
*A total of 90 completed programmes will be reviewed on the BEAM project website (including 89 marked as completed and 1 that, although completed, is labelled as active.)
**Updates (as of Feb 20, 2026): All 90 programmes have been reviewed (58 selected, 32 excluded). Additionally, 3 “merged” programmes are created.</t>
  </si>
  <si>
    <t>No. Beneficiaries</t>
  </si>
  <si>
    <t>Export value generated (USD)</t>
  </si>
  <si>
    <t>Export revenue generated/Project Cost</t>
  </si>
  <si>
    <t>job improvement; income</t>
  </si>
  <si>
    <t>IKEA Foundation</t>
  </si>
  <si>
    <t>Multiple (Jordan and Rwanda)</t>
  </si>
  <si>
    <t>Energy</t>
  </si>
  <si>
    <t>energy security; skills training</t>
  </si>
  <si>
    <t>PAVE-PH1</t>
  </si>
  <si>
    <t>NU-TEC</t>
  </si>
  <si>
    <t>Not Correct</t>
  </si>
  <si>
    <t>Average all MSD projects</t>
  </si>
  <si>
    <t>Average Agriculture projects</t>
  </si>
  <si>
    <t>Average non-Agriculture projects</t>
  </si>
  <si>
    <t>By Donor</t>
  </si>
  <si>
    <t>Average all FCDO projects</t>
  </si>
  <si>
    <t>Average all SDC projects</t>
  </si>
  <si>
    <t>Average all DFAT projects</t>
  </si>
  <si>
    <t>Average all USAID projects</t>
  </si>
  <si>
    <t>Average all SIDA projects</t>
  </si>
  <si>
    <t>Average all EU projects</t>
  </si>
  <si>
    <t>Additional Reference: GDP Per Capita (Av. of Prog Period)</t>
  </si>
  <si>
    <t>EU / World Vision Australia (WVA)</t>
  </si>
  <si>
    <t>GDP Per Capita</t>
  </si>
  <si>
    <t>Gatsby Africa / FCDO</t>
  </si>
  <si>
    <t>MADE-Nigeria</t>
  </si>
  <si>
    <t>FCDO / DANIDA</t>
  </si>
  <si>
    <t>DFAT / Australian NGO Cooperation Prog. (ANCP) / World Vision Australia</t>
  </si>
  <si>
    <t>FCDO / SDC / SIDA</t>
  </si>
  <si>
    <t>FCDO / SDC / SIDA / EKN</t>
  </si>
  <si>
    <t>FCDO / EU</t>
  </si>
  <si>
    <t>SDC/ADA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</si>
</sst>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164" formatCode="_-* #,##0_-;\-* #,##0_-;_-* &quot;-&quot;??_-;_-@_-"/>
    <numFmt numFmtId="165" formatCode="_-* #,##0.00_-;\-* #,##0.00_-;_-* &quot;-&quot;??_-;_-@_-"/>
    <numFmt numFmtId="166" formatCode="0.000000"/>
    <numFmt numFmtId="167" formatCode="0.0000000"/>
    <numFmt numFmtId="168" formatCode="0.000"/>
    <numFmt numFmtId="169" formatCode="_(&quot;$&quot;* #,##0_);_(&quot;$&quot;* \(#,##0\);_(&quot;$&quot;* &quot;-&quot;??_);_(@_)"/>
    <numFmt numFmtId="170" formatCode="0.0%"/>
    <numFmt numFmtId="171" formatCode="_(* #,##0_);_(* \(#,##0\);_(* &quot;-&quot;???_);_(@_)"/>
    <numFmt numFmtId="172" formatCode="0.0"/>
  </numFmts>
  <fonts count="26" x14ac:knownFonts="1">
    <font>
      <sz val="11"/>
      <color theme="1"/>
      <name val="Aptos Narrow"/>
      <family val="2"/>
      <scheme val="minor"/>
    </font>
    <font>
      <sz val="11"/>
      <color theme="1"/>
      <name val="Aptos Narrow"/>
      <family val="2"/>
      <scheme val="minor"/>
    </font>
    <font>
      <b/>
      <sz val="11"/>
      <color theme="1"/>
      <name val="Aptos Narrow"/>
      <family val="2"/>
      <scheme val="minor"/>
    </font>
    <font>
      <sz val="12"/>
      <color theme="1"/>
      <name val="Aptos"/>
      <family val="2"/>
    </font>
    <font>
      <u/>
      <sz val="11"/>
      <color theme="10"/>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b/>
      <sz val="11"/>
      <color theme="0"/>
      <name val="Aptos Narrow"/>
      <family val="2"/>
      <scheme val="minor"/>
    </font>
    <font>
      <sz val="11"/>
      <name val="Aptos Narrow"/>
      <family val="2"/>
      <scheme val="minor"/>
    </font>
    <font>
      <sz val="11"/>
      <color theme="0"/>
      <name val="Aptos Narrow"/>
      <family val="2"/>
      <scheme val="minor"/>
    </font>
    <font>
      <b/>
      <sz val="10"/>
      <color theme="0"/>
      <name val="Aptos Narrow"/>
      <family val="2"/>
      <scheme val="minor"/>
    </font>
    <font>
      <i/>
      <sz val="11"/>
      <color rgb="FF404040"/>
      <name val="Calibri"/>
      <family val="2"/>
    </font>
    <font>
      <sz val="11"/>
      <name val="Calibri"/>
      <family val="2"/>
    </font>
    <font>
      <sz val="11"/>
      <color rgb="FF0000FF"/>
      <name val="Calibri"/>
      <family val="2"/>
    </font>
    <font>
      <b/>
      <sz val="11"/>
      <name val="Calibri"/>
      <family val="2"/>
    </font>
    <font>
      <b/>
      <sz val="11"/>
      <color rgb="FFFFFFFF"/>
      <name val="Calibri"/>
      <family val="2"/>
    </font>
    <font>
      <b/>
      <sz val="16"/>
      <color rgb="FFFFFFFF"/>
      <name val="Calibri"/>
      <family val="2"/>
    </font>
    <font>
      <b/>
      <sz val="11"/>
      <color rgb="FF0000FF"/>
      <name val="Calibri"/>
      <family val="2"/>
    </font>
    <font>
      <sz val="11"/>
      <color theme="1"/>
      <name val="Aptos Narrow"/>
      <family val="2"/>
      <scheme val="minor"/>
    </font>
    <font>
      <sz val="11"/>
      <color rgb="FF000000"/>
      <name val="Aptos Narrow"/>
      <family val="2"/>
      <scheme val="minor"/>
    </font>
    <font>
      <b/>
      <sz val="18"/>
      <color rgb="FFFFFFFF"/>
      <name val="Aptos Narrow"/>
      <family val="2"/>
    </font>
    <font>
      <b/>
      <sz val="11"/>
      <name val="Aptos Narrow"/>
      <family val="2"/>
    </font>
    <font>
      <b/>
      <sz val="11"/>
      <color rgb="FFFFFFFF"/>
      <name val="Aptos Narrow"/>
      <family val="2"/>
    </font>
    <font>
      <sz val="9"/>
      <name val="Aptos Narrow"/>
      <family val="2"/>
    </font>
    <font>
      <i/>
      <sz val="11"/>
      <name val="Aptos Narrow"/>
      <family val="2"/>
    </font>
  </fonts>
  <fills count="44">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1"/>
        <bgColor indexed="64"/>
      </patternFill>
    </fill>
    <fill>
      <patternFill patternType="solid">
        <fgColor rgb="FF1E2DBE"/>
        <bgColor indexed="64"/>
      </patternFill>
    </fill>
    <fill>
      <patternFill patternType="solid">
        <fgColor rgb="FF3264C8"/>
        <bgColor indexed="64"/>
      </patternFill>
    </fill>
    <fill>
      <patternFill patternType="solid">
        <fgColor rgb="FF5A87CD"/>
        <bgColor indexed="64"/>
      </patternFill>
    </fill>
    <fill>
      <patternFill patternType="solid">
        <fgColor rgb="FF230050"/>
        <bgColor indexed="64"/>
      </patternFill>
    </fill>
    <fill>
      <patternFill patternType="solid">
        <fgColor rgb="FFEBF5FD"/>
        <bgColor indexed="64"/>
      </patternFill>
    </fill>
    <fill>
      <patternFill patternType="solid">
        <fgColor rgb="FF002060"/>
        <bgColor indexed="64"/>
      </patternFill>
    </fill>
    <fill>
      <patternFill patternType="solid">
        <fgColor rgb="FFBEDCFA"/>
        <bgColor indexed="64"/>
      </patternFill>
    </fill>
    <fill>
      <patternFill patternType="solid">
        <fgColor indexed="65"/>
        <bgColor indexed="64"/>
      </patternFill>
    </fill>
    <fill>
      <patternFill patternType="solid">
        <fgColor theme="8" tint="0.79998168889431442"/>
        <bgColor indexed="64"/>
      </patternFill>
    </fill>
    <fill>
      <patternFill patternType="solid">
        <fgColor rgb="FFF8F8F8"/>
      </patternFill>
    </fill>
    <fill>
      <patternFill patternType="solid">
        <fgColor rgb="FFFFFFFF"/>
      </patternFill>
    </fill>
    <fill>
      <patternFill patternType="solid">
        <fgColor rgb="FFEAF3FF"/>
      </patternFill>
    </fill>
    <fill>
      <patternFill patternType="solid">
        <fgColor rgb="FF2F5597"/>
      </patternFill>
    </fill>
    <fill>
      <patternFill patternType="solid">
        <fgColor rgb="FFF3F6FA"/>
      </patternFill>
    </fill>
    <fill>
      <patternFill patternType="solid">
        <fgColor rgb="FF0070C0"/>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7" tint="-0.499984740745262"/>
        <bgColor indexed="64"/>
      </patternFill>
    </fill>
    <fill>
      <patternFill patternType="solid">
        <fgColor theme="6" tint="0.39997558519241921"/>
        <bgColor indexed="64"/>
      </patternFill>
    </fill>
    <fill>
      <patternFill patternType="solid">
        <fgColor rgb="FFCB85AA"/>
        <bgColor indexed="64"/>
      </patternFill>
    </fill>
    <fill>
      <patternFill patternType="solid">
        <fgColor rgb="FF960A55"/>
        <bgColor indexed="64"/>
      </patternFill>
    </fill>
    <fill>
      <patternFill patternType="solid">
        <fgColor theme="9"/>
        <bgColor indexed="64"/>
      </patternFill>
    </fill>
    <fill>
      <patternFill patternType="solid">
        <fgColor rgb="FF1F4E79"/>
      </patternFill>
    </fill>
    <fill>
      <patternFill patternType="solid">
        <fgColor rgb="FFFFF2CC"/>
      </patternFill>
    </fill>
    <fill>
      <patternFill patternType="solid">
        <fgColor rgb="FFD9EAF7"/>
      </patternFill>
    </fill>
    <fill>
      <patternFill patternType="solid">
        <fgColor rgb="FFF2F2F2"/>
      </patternFill>
    </fill>
    <fill>
      <patternFill patternType="solid">
        <fgColor theme="7" tint="0.79998168889431442"/>
        <bgColor indexed="64"/>
      </patternFill>
    </fill>
  </fills>
  <borders count="6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B7B7B7"/>
      </left>
      <right style="thin">
        <color rgb="FFB7B7B7"/>
      </right>
      <top style="thin">
        <color rgb="FFB7B7B7"/>
      </top>
      <bottom style="thin">
        <color rgb="FFB7B7B7"/>
      </bottom>
      <diagonal/>
    </border>
    <border>
      <left/>
      <right/>
      <top/>
      <bottom style="thin">
        <color rgb="FFB7B7B7"/>
      </bottom>
      <diagonal/>
    </border>
    <border>
      <left/>
      <right/>
      <top style="thin">
        <color indexed="64"/>
      </top>
      <bottom style="thin">
        <color rgb="FFB7B7B7"/>
      </bottom>
      <diagonal/>
    </border>
    <border>
      <left/>
      <right style="thin">
        <color rgb="FFB7B7B7"/>
      </right>
      <top style="thin">
        <color indexed="64"/>
      </top>
      <bottom style="thin">
        <color rgb="FFB7B7B7"/>
      </bottom>
      <diagonal/>
    </border>
    <border>
      <left style="thin">
        <color rgb="FFB7B7B7"/>
      </left>
      <right style="thin">
        <color rgb="FFB7B7B7"/>
      </right>
      <top style="thin">
        <color indexed="64"/>
      </top>
      <bottom style="thin">
        <color rgb="FFB7B7B7"/>
      </bottom>
      <diagonal/>
    </border>
    <border>
      <left/>
      <right/>
      <top style="thin">
        <color theme="1"/>
      </top>
      <bottom/>
      <diagonal/>
    </border>
    <border>
      <left style="thin">
        <color indexed="64"/>
      </left>
      <right/>
      <top style="thin">
        <color theme="1"/>
      </top>
      <bottom style="thin">
        <color theme="1"/>
      </bottom>
      <diagonal/>
    </border>
  </borders>
  <cellStyleXfs count="9">
    <xf numFmtId="0" fontId="0" fillId="0" borderId="0"/>
    <xf numFmtId="165" fontId="19" fillId="0" borderId="0"/>
    <xf numFmtId="0" fontId="4" fillId="0" borderId="0"/>
    <xf numFmtId="0" fontId="5" fillId="6" borderId="0"/>
    <xf numFmtId="0" fontId="6" fillId="7" borderId="0"/>
    <xf numFmtId="0" fontId="7" fillId="8" borderId="0"/>
    <xf numFmtId="9" fontId="19" fillId="0" borderId="0"/>
    <xf numFmtId="44" fontId="19" fillId="0" borderId="0"/>
    <xf numFmtId="0" fontId="19" fillId="0" borderId="0"/>
  </cellStyleXfs>
  <cellXfs count="562">
    <xf numFmtId="0" fontId="0" fillId="0" borderId="0" xfId="0"/>
    <xf numFmtId="0" fontId="3" fillId="0" borderId="0" xfId="0" applyFont="1" applyAlignment="1">
      <alignment horizontal="left" vertical="center" indent="2"/>
    </xf>
    <xf numFmtId="0" fontId="2" fillId="0" borderId="0" xfId="0" applyFont="1"/>
    <xf numFmtId="164" fontId="0" fillId="0" borderId="0" xfId="1" applyNumberFormat="1" applyFont="1"/>
    <xf numFmtId="0" fontId="0" fillId="0" borderId="3" xfId="0" applyBorder="1"/>
    <xf numFmtId="3" fontId="0" fillId="0" borderId="0" xfId="0" applyNumberFormat="1"/>
    <xf numFmtId="164" fontId="0" fillId="0" borderId="0" xfId="0" applyNumberFormat="1"/>
    <xf numFmtId="2" fontId="0" fillId="0" borderId="4" xfId="0" applyNumberFormat="1" applyBorder="1"/>
    <xf numFmtId="0" fontId="2" fillId="2" borderId="3" xfId="0" applyFont="1" applyFill="1" applyBorder="1"/>
    <xf numFmtId="164" fontId="2" fillId="2" borderId="0" xfId="1" applyNumberFormat="1" applyFont="1" applyFill="1"/>
    <xf numFmtId="0" fontId="2" fillId="2" borderId="5" xfId="0" applyFont="1" applyFill="1" applyBorder="1"/>
    <xf numFmtId="164" fontId="2" fillId="2" borderId="6" xfId="1" applyNumberFormat="1" applyFont="1" applyFill="1" applyBorder="1"/>
    <xf numFmtId="165" fontId="0" fillId="0" borderId="0" xfId="1" applyFont="1"/>
    <xf numFmtId="2" fontId="0" fillId="0" borderId="0" xfId="0" applyNumberFormat="1"/>
    <xf numFmtId="0" fontId="0" fillId="0" borderId="1" xfId="0" applyBorder="1" applyAlignment="1">
      <alignment wrapText="1"/>
    </xf>
    <xf numFmtId="0" fontId="0" fillId="0" borderId="8" xfId="0" applyBorder="1"/>
    <xf numFmtId="0" fontId="0" fillId="0" borderId="2" xfId="0" applyBorder="1" applyAlignment="1">
      <alignment wrapText="1"/>
    </xf>
    <xf numFmtId="0" fontId="0" fillId="0" borderId="0" xfId="0" applyAlignment="1">
      <alignment wrapText="1"/>
    </xf>
    <xf numFmtId="0" fontId="0" fillId="0" borderId="8" xfId="0" applyBorder="1" applyAlignment="1">
      <alignment wrapText="1"/>
    </xf>
    <xf numFmtId="0" fontId="2" fillId="3" borderId="8" xfId="0" applyFont="1" applyFill="1" applyBorder="1" applyAlignment="1">
      <alignment wrapText="1"/>
    </xf>
    <xf numFmtId="0" fontId="0" fillId="0" borderId="8" xfId="0" applyBorder="1" applyAlignment="1">
      <alignment horizontal="left"/>
    </xf>
    <xf numFmtId="0" fontId="0" fillId="0" borderId="8" xfId="0" applyBorder="1" applyAlignment="1">
      <alignment vertical="top"/>
    </xf>
    <xf numFmtId="0" fontId="0" fillId="0" borderId="10" xfId="0" applyBorder="1" applyAlignment="1">
      <alignment wrapText="1"/>
    </xf>
    <xf numFmtId="0" fontId="2" fillId="9" borderId="8" xfId="0" applyFont="1" applyFill="1" applyBorder="1" applyAlignment="1">
      <alignment wrapText="1"/>
    </xf>
    <xf numFmtId="14" fontId="0" fillId="0" borderId="0" xfId="0" applyNumberFormat="1"/>
    <xf numFmtId="166" fontId="0" fillId="0" borderId="0" xfId="0" applyNumberFormat="1"/>
    <xf numFmtId="167" fontId="0" fillId="0" borderId="0" xfId="0" applyNumberFormat="1"/>
    <xf numFmtId="168" fontId="0" fillId="0" borderId="0" xfId="0" applyNumberFormat="1"/>
    <xf numFmtId="2" fontId="0" fillId="0" borderId="0" xfId="0" applyNumberFormat="1" applyAlignment="1">
      <alignment wrapText="1"/>
    </xf>
    <xf numFmtId="0" fontId="0" fillId="0" borderId="3" xfId="0" applyBorder="1" applyAlignment="1">
      <alignment wrapText="1"/>
    </xf>
    <xf numFmtId="0" fontId="0" fillId="0" borderId="2" xfId="0" applyBorder="1"/>
    <xf numFmtId="2" fontId="0" fillId="5" borderId="0" xfId="0" applyNumberFormat="1" applyFill="1" applyAlignment="1">
      <alignment wrapText="1"/>
    </xf>
    <xf numFmtId="1" fontId="0" fillId="0" borderId="0" xfId="0" applyNumberFormat="1" applyAlignment="1">
      <alignment wrapText="1"/>
    </xf>
    <xf numFmtId="0" fontId="0" fillId="5" borderId="0" xfId="0" applyFill="1" applyAlignment="1">
      <alignment wrapText="1"/>
    </xf>
    <xf numFmtId="0" fontId="0" fillId="0" borderId="10" xfId="0" applyBorder="1"/>
    <xf numFmtId="0" fontId="0" fillId="11" borderId="0" xfId="0" applyFill="1" applyAlignment="1">
      <alignment wrapText="1"/>
    </xf>
    <xf numFmtId="0" fontId="0" fillId="11" borderId="0" xfId="0" applyFill="1"/>
    <xf numFmtId="2" fontId="0" fillId="11" borderId="0" xfId="0" applyNumberFormat="1" applyFill="1" applyAlignment="1">
      <alignment wrapText="1"/>
    </xf>
    <xf numFmtId="1" fontId="0" fillId="11" borderId="0" xfId="0" applyNumberFormat="1" applyFill="1" applyAlignment="1">
      <alignment wrapText="1"/>
    </xf>
    <xf numFmtId="165" fontId="0" fillId="11" borderId="0" xfId="1" applyFont="1" applyFill="1"/>
    <xf numFmtId="0" fontId="2" fillId="2" borderId="1" xfId="0" applyFont="1" applyFill="1" applyBorder="1"/>
    <xf numFmtId="164" fontId="2" fillId="2" borderId="2" xfId="1" applyNumberFormat="1" applyFont="1" applyFill="1" applyBorder="1"/>
    <xf numFmtId="0" fontId="2" fillId="0" borderId="8" xfId="0" applyFont="1" applyBorder="1" applyAlignment="1">
      <alignment vertical="center"/>
    </xf>
    <xf numFmtId="0" fontId="2" fillId="5" borderId="8" xfId="0" applyFont="1" applyFill="1" applyBorder="1" applyAlignment="1">
      <alignment horizontal="center" vertical="center" wrapText="1"/>
    </xf>
    <xf numFmtId="0" fontId="2" fillId="0" borderId="0" xfId="0" applyFont="1" applyAlignment="1">
      <alignment horizontal="center" vertical="center" wrapText="1"/>
    </xf>
    <xf numFmtId="0" fontId="0" fillId="0" borderId="1" xfId="0" applyBorder="1"/>
    <xf numFmtId="0" fontId="0" fillId="0" borderId="0" xfId="0" applyAlignment="1">
      <alignment horizontal="center"/>
    </xf>
    <xf numFmtId="0" fontId="2" fillId="0" borderId="8" xfId="0" applyFont="1" applyBorder="1" applyAlignment="1">
      <alignment horizontal="center" vertical="center" wrapText="1"/>
    </xf>
    <xf numFmtId="2" fontId="6" fillId="7" borderId="8" xfId="4" applyNumberFormat="1" applyBorder="1"/>
    <xf numFmtId="2" fontId="7" fillId="8" borderId="8" xfId="5" applyNumberFormat="1" applyBorder="1"/>
    <xf numFmtId="2" fontId="5" fillId="6" borderId="8" xfId="3" applyNumberFormat="1" applyBorder="1"/>
    <xf numFmtId="1" fontId="6" fillId="7" borderId="8" xfId="4" applyNumberFormat="1" applyBorder="1"/>
    <xf numFmtId="1" fontId="7" fillId="8" borderId="8" xfId="5" applyNumberFormat="1" applyBorder="1"/>
    <xf numFmtId="1" fontId="5" fillId="6" borderId="8" xfId="3" applyNumberFormat="1" applyBorder="1"/>
    <xf numFmtId="165" fontId="2" fillId="2" borderId="6" xfId="1" applyFont="1" applyFill="1" applyBorder="1"/>
    <xf numFmtId="165" fontId="2" fillId="2" borderId="2" xfId="1" applyFont="1" applyFill="1" applyBorder="1"/>
    <xf numFmtId="165" fontId="2" fillId="2" borderId="0" xfId="1" applyFont="1" applyFill="1"/>
    <xf numFmtId="165" fontId="2" fillId="2" borderId="13" xfId="1" applyFont="1" applyFill="1" applyBorder="1"/>
    <xf numFmtId="165" fontId="2" fillId="2" borderId="4" xfId="1" applyFont="1" applyFill="1" applyBorder="1"/>
    <xf numFmtId="165" fontId="2" fillId="2" borderId="7" xfId="1" applyFont="1" applyFill="1" applyBorder="1"/>
    <xf numFmtId="164" fontId="2" fillId="0" borderId="0" xfId="1" applyNumberFormat="1" applyFont="1"/>
    <xf numFmtId="165" fontId="2" fillId="0" borderId="0" xfId="1" applyFont="1"/>
    <xf numFmtId="0" fontId="0" fillId="0" borderId="13" xfId="0" applyBorder="1" applyAlignment="1">
      <alignment wrapText="1"/>
    </xf>
    <xf numFmtId="0" fontId="0" fillId="0" borderId="4" xfId="0" applyBorder="1" applyAlignment="1">
      <alignment wrapText="1"/>
    </xf>
    <xf numFmtId="0" fontId="0" fillId="11" borderId="3" xfId="0" applyFill="1" applyBorder="1" applyAlignment="1">
      <alignment wrapText="1"/>
    </xf>
    <xf numFmtId="0" fontId="0" fillId="11" borderId="4" xfId="0" applyFill="1" applyBorder="1" applyAlignment="1">
      <alignment wrapText="1"/>
    </xf>
    <xf numFmtId="0" fontId="0" fillId="0" borderId="4" xfId="0" applyBorder="1"/>
    <xf numFmtId="0" fontId="0" fillId="11" borderId="3" xfId="0" applyFill="1" applyBorder="1"/>
    <xf numFmtId="0" fontId="0" fillId="0" borderId="13" xfId="0" applyBorder="1"/>
    <xf numFmtId="0" fontId="0" fillId="11" borderId="4" xfId="0" applyFill="1" applyBorder="1"/>
    <xf numFmtId="2" fontId="0" fillId="0" borderId="1" xfId="0" applyNumberFormat="1" applyBorder="1" applyAlignment="1">
      <alignment wrapText="1"/>
    </xf>
    <xf numFmtId="2" fontId="0" fillId="0" borderId="2" xfId="0" applyNumberFormat="1" applyBorder="1" applyAlignment="1">
      <alignment wrapText="1"/>
    </xf>
    <xf numFmtId="2" fontId="0" fillId="0" borderId="3" xfId="0" applyNumberFormat="1" applyBorder="1" applyAlignment="1">
      <alignment wrapText="1"/>
    </xf>
    <xf numFmtId="2" fontId="0" fillId="11" borderId="3" xfId="0" applyNumberFormat="1" applyFill="1" applyBorder="1" applyAlignment="1">
      <alignment wrapText="1"/>
    </xf>
    <xf numFmtId="0" fontId="0" fillId="5" borderId="3" xfId="0" applyFill="1" applyBorder="1" applyAlignment="1">
      <alignment wrapText="1"/>
    </xf>
    <xf numFmtId="3" fontId="0" fillId="0" borderId="2" xfId="0" applyNumberFormat="1" applyBorder="1"/>
    <xf numFmtId="164" fontId="0" fillId="0" borderId="2" xfId="1" applyNumberFormat="1" applyFont="1" applyBorder="1"/>
    <xf numFmtId="164" fontId="0" fillId="0" borderId="2" xfId="0" applyNumberFormat="1" applyBorder="1"/>
    <xf numFmtId="164" fontId="0" fillId="0" borderId="13" xfId="0" applyNumberFormat="1" applyBorder="1" applyAlignment="1">
      <alignment horizontal="center"/>
    </xf>
    <xf numFmtId="164" fontId="0" fillId="0" borderId="0" xfId="0" applyNumberFormat="1" applyAlignment="1">
      <alignment horizontal="center"/>
    </xf>
    <xf numFmtId="164" fontId="0" fillId="0" borderId="4" xfId="0" applyNumberFormat="1" applyBorder="1" applyAlignment="1">
      <alignment horizontal="center"/>
    </xf>
    <xf numFmtId="3" fontId="0" fillId="11" borderId="0" xfId="0" applyNumberFormat="1" applyFill="1"/>
    <xf numFmtId="3" fontId="0" fillId="11" borderId="4" xfId="0" applyNumberFormat="1" applyFill="1" applyBorder="1"/>
    <xf numFmtId="3" fontId="0" fillId="5" borderId="0" xfId="0" applyNumberFormat="1" applyFill="1"/>
    <xf numFmtId="164" fontId="0" fillId="0" borderId="4" xfId="1" applyNumberFormat="1" applyFont="1" applyBorder="1"/>
    <xf numFmtId="164" fontId="0" fillId="5" borderId="0" xfId="0" applyNumberFormat="1" applyFill="1"/>
    <xf numFmtId="164" fontId="0" fillId="0" borderId="1" xfId="0" applyNumberFormat="1" applyBorder="1"/>
    <xf numFmtId="165" fontId="0" fillId="0" borderId="2" xfId="1" applyFont="1" applyBorder="1"/>
    <xf numFmtId="2" fontId="0" fillId="0" borderId="13" xfId="0" applyNumberFormat="1" applyBorder="1"/>
    <xf numFmtId="164" fontId="0" fillId="0" borderId="3" xfId="0" applyNumberFormat="1" applyBorder="1"/>
    <xf numFmtId="3" fontId="0" fillId="11" borderId="3" xfId="0" applyNumberFormat="1" applyFill="1" applyBorder="1"/>
    <xf numFmtId="2" fontId="0" fillId="11" borderId="4" xfId="0" applyNumberFormat="1" applyFill="1" applyBorder="1"/>
    <xf numFmtId="165" fontId="0" fillId="0" borderId="1" xfId="1" applyFont="1" applyBorder="1"/>
    <xf numFmtId="165" fontId="0" fillId="0" borderId="13" xfId="1" applyFont="1" applyBorder="1"/>
    <xf numFmtId="165" fontId="0" fillId="0" borderId="3" xfId="1" applyFont="1" applyBorder="1"/>
    <xf numFmtId="165" fontId="0" fillId="0" borderId="4" xfId="1" applyFont="1" applyBorder="1"/>
    <xf numFmtId="165" fontId="0" fillId="11" borderId="3" xfId="1" applyFont="1" applyFill="1" applyBorder="1"/>
    <xf numFmtId="165" fontId="0" fillId="11" borderId="4" xfId="1" applyFont="1" applyFill="1" applyBorder="1"/>
    <xf numFmtId="164" fontId="0" fillId="0" borderId="3" xfId="1" applyNumberFormat="1" applyFont="1" applyBorder="1" applyAlignment="1">
      <alignment horizontal="left" indent="2"/>
    </xf>
    <xf numFmtId="164" fontId="0" fillId="11" borderId="3" xfId="1" applyNumberFormat="1" applyFont="1" applyFill="1" applyBorder="1" applyAlignment="1">
      <alignment horizontal="left" indent="2"/>
    </xf>
    <xf numFmtId="164" fontId="0" fillId="11" borderId="4" xfId="1" applyNumberFormat="1" applyFont="1" applyFill="1" applyBorder="1"/>
    <xf numFmtId="3" fontId="0" fillId="0" borderId="4" xfId="0" applyNumberFormat="1" applyBorder="1"/>
    <xf numFmtId="164" fontId="1" fillId="0" borderId="13" xfId="1" applyNumberFormat="1" applyFont="1" applyBorder="1" applyAlignment="1">
      <alignment wrapText="1"/>
    </xf>
    <xf numFmtId="164" fontId="1" fillId="0" borderId="4" xfId="1" applyNumberFormat="1" applyFont="1" applyBorder="1" applyAlignment="1">
      <alignment wrapText="1"/>
    </xf>
    <xf numFmtId="164" fontId="0" fillId="0" borderId="1" xfId="0" applyNumberFormat="1" applyBorder="1" applyAlignment="1">
      <alignment horizontal="center"/>
    </xf>
    <xf numFmtId="164" fontId="0" fillId="0" borderId="13" xfId="0" applyNumberFormat="1" applyBorder="1"/>
    <xf numFmtId="164" fontId="0" fillId="0" borderId="3" xfId="0" applyNumberFormat="1" applyBorder="1" applyAlignment="1">
      <alignment horizontal="center"/>
    </xf>
    <xf numFmtId="164" fontId="0" fillId="0" borderId="4" xfId="0" applyNumberFormat="1" applyBorder="1"/>
    <xf numFmtId="164" fontId="0" fillId="0" borderId="3" xfId="1" applyNumberFormat="1" applyFont="1" applyBorder="1"/>
    <xf numFmtId="0" fontId="2" fillId="0" borderId="0" xfId="0" applyFont="1" applyAlignment="1">
      <alignment horizontal="left" vertical="top" wrapText="1"/>
    </xf>
    <xf numFmtId="0" fontId="2" fillId="10" borderId="8" xfId="0" applyFont="1" applyFill="1" applyBorder="1" applyAlignment="1">
      <alignment horizontal="center" vertical="center" wrapText="1"/>
    </xf>
    <xf numFmtId="0" fontId="2" fillId="12" borderId="8" xfId="0" applyFont="1" applyFill="1" applyBorder="1" applyAlignment="1">
      <alignment horizontal="center" vertical="center" wrapText="1"/>
    </xf>
    <xf numFmtId="2" fontId="0" fillId="5" borderId="0" xfId="0" applyNumberFormat="1" applyFill="1"/>
    <xf numFmtId="2" fontId="0" fillId="4" borderId="0" xfId="0" applyNumberFormat="1" applyFill="1"/>
    <xf numFmtId="164" fontId="0" fillId="5" borderId="0" xfId="1" applyNumberFormat="1" applyFont="1" applyFill="1"/>
    <xf numFmtId="0" fontId="2" fillId="0" borderId="9" xfId="0" applyFont="1" applyBorder="1" applyAlignment="1">
      <alignment wrapText="1"/>
    </xf>
    <xf numFmtId="0" fontId="2" fillId="13" borderId="9" xfId="0" applyFont="1" applyFill="1" applyBorder="1" applyAlignment="1">
      <alignment wrapText="1"/>
    </xf>
    <xf numFmtId="0" fontId="2" fillId="14" borderId="9" xfId="0" applyFont="1" applyFill="1" applyBorder="1" applyAlignment="1">
      <alignment wrapText="1"/>
    </xf>
    <xf numFmtId="164" fontId="2" fillId="14" borderId="9" xfId="1" applyNumberFormat="1" applyFont="1" applyFill="1" applyBorder="1" applyAlignment="1">
      <alignment wrapText="1"/>
    </xf>
    <xf numFmtId="0" fontId="2" fillId="14" borderId="6" xfId="0" applyFont="1" applyFill="1" applyBorder="1" applyAlignment="1">
      <alignment wrapText="1"/>
    </xf>
    <xf numFmtId="0" fontId="2" fillId="14" borderId="7" xfId="0" applyFont="1" applyFill="1" applyBorder="1" applyAlignment="1">
      <alignment wrapText="1"/>
    </xf>
    <xf numFmtId="0" fontId="2" fillId="15" borderId="5" xfId="0" applyFont="1" applyFill="1" applyBorder="1" applyAlignment="1">
      <alignment wrapText="1"/>
    </xf>
    <xf numFmtId="0" fontId="2" fillId="15" borderId="9" xfId="0" applyFont="1" applyFill="1" applyBorder="1" applyAlignment="1">
      <alignment wrapText="1"/>
    </xf>
    <xf numFmtId="0" fontId="2" fillId="15" borderId="6" xfId="0" applyFont="1" applyFill="1" applyBorder="1" applyAlignment="1">
      <alignment wrapText="1"/>
    </xf>
    <xf numFmtId="0" fontId="8" fillId="15" borderId="0" xfId="0" applyFont="1" applyFill="1"/>
    <xf numFmtId="164" fontId="0" fillId="2" borderId="6" xfId="1" applyNumberFormat="1" applyFont="1" applyFill="1" applyBorder="1"/>
    <xf numFmtId="2" fontId="0" fillId="0" borderId="3" xfId="0" applyNumberFormat="1" applyBorder="1"/>
    <xf numFmtId="1" fontId="0" fillId="0" borderId="3" xfId="0" applyNumberFormat="1" applyBorder="1"/>
    <xf numFmtId="0" fontId="0" fillId="0" borderId="8" xfId="0" applyBorder="1" applyAlignment="1">
      <alignment horizontal="left" wrapText="1"/>
    </xf>
    <xf numFmtId="0" fontId="0" fillId="0" borderId="9" xfId="0" applyBorder="1"/>
    <xf numFmtId="1" fontId="0" fillId="0" borderId="0" xfId="0" applyNumberFormat="1"/>
    <xf numFmtId="164" fontId="0" fillId="0" borderId="0" xfId="1" applyNumberFormat="1" applyFont="1" applyAlignment="1">
      <alignment horizontal="left" indent="2"/>
    </xf>
    <xf numFmtId="0" fontId="0" fillId="0" borderId="0" xfId="0" applyAlignment="1">
      <alignment horizontal="left" vertical="top"/>
    </xf>
    <xf numFmtId="0" fontId="0" fillId="4" borderId="0" xfId="0" applyFill="1"/>
    <xf numFmtId="0" fontId="0" fillId="0" borderId="11" xfId="0" applyBorder="1"/>
    <xf numFmtId="0" fontId="0" fillId="0" borderId="18" xfId="0" applyBorder="1"/>
    <xf numFmtId="0" fontId="0" fillId="0" borderId="8" xfId="0" applyBorder="1" applyAlignment="1">
      <alignment horizontal="left" vertical="top"/>
    </xf>
    <xf numFmtId="0" fontId="0" fillId="0" borderId="8" xfId="0" applyBorder="1" applyAlignment="1">
      <alignment horizontal="left" vertical="top" wrapText="1"/>
    </xf>
    <xf numFmtId="0" fontId="4" fillId="0" borderId="18" xfId="2" applyBorder="1" applyAlignment="1">
      <alignment horizontal="left" vertical="top" wrapText="1"/>
    </xf>
    <xf numFmtId="0" fontId="2" fillId="0" borderId="5" xfId="0" applyFont="1" applyBorder="1"/>
    <xf numFmtId="0" fontId="0" fillId="0" borderId="6" xfId="0" applyBorder="1"/>
    <xf numFmtId="0" fontId="0" fillId="0" borderId="7" xfId="0" applyBorder="1"/>
    <xf numFmtId="0" fontId="0" fillId="0" borderId="12" xfId="0" applyBorder="1"/>
    <xf numFmtId="0" fontId="2" fillId="0" borderId="7" xfId="0" applyFont="1" applyBorder="1" applyAlignment="1">
      <alignment wrapText="1"/>
    </xf>
    <xf numFmtId="0" fontId="2" fillId="0" borderId="9" xfId="0" applyFont="1" applyBorder="1"/>
    <xf numFmtId="0" fontId="2" fillId="0" borderId="5" xfId="0" applyFont="1" applyBorder="1" applyAlignment="1">
      <alignment wrapText="1"/>
    </xf>
    <xf numFmtId="0" fontId="0" fillId="0" borderId="10" xfId="0" applyBorder="1" applyAlignment="1">
      <alignment horizontal="left" vertical="top" wrapText="1"/>
    </xf>
    <xf numFmtId="0" fontId="4" fillId="0" borderId="1" xfId="2" applyBorder="1" applyAlignment="1">
      <alignment horizontal="left" vertical="top" wrapText="1"/>
    </xf>
    <xf numFmtId="0" fontId="0" fillId="0" borderId="5" xfId="0" applyBorder="1"/>
    <xf numFmtId="2" fontId="0" fillId="11" borderId="0" xfId="0" applyNumberFormat="1" applyFill="1"/>
    <xf numFmtId="0" fontId="9" fillId="0" borderId="0" xfId="0" applyFont="1"/>
    <xf numFmtId="0" fontId="0" fillId="0" borderId="7" xfId="0" applyBorder="1" applyAlignment="1">
      <alignment wrapText="1"/>
    </xf>
    <xf numFmtId="3" fontId="0" fillId="0" borderId="1" xfId="0" applyNumberFormat="1" applyBorder="1"/>
    <xf numFmtId="3" fontId="0" fillId="0" borderId="3" xfId="0" applyNumberFormat="1" applyBorder="1"/>
    <xf numFmtId="164" fontId="0" fillId="5" borderId="4" xfId="1" applyNumberFormat="1" applyFont="1" applyFill="1" applyBorder="1"/>
    <xf numFmtId="3" fontId="0" fillId="0" borderId="5" xfId="0" applyNumberFormat="1" applyBorder="1"/>
    <xf numFmtId="164" fontId="0" fillId="0" borderId="7" xfId="1" applyNumberFormat="1" applyFont="1" applyBorder="1"/>
    <xf numFmtId="164" fontId="0" fillId="0" borderId="10" xfId="1" applyNumberFormat="1" applyFont="1" applyBorder="1"/>
    <xf numFmtId="164" fontId="0" fillId="0" borderId="11" xfId="1" applyNumberFormat="1" applyFont="1" applyBorder="1"/>
    <xf numFmtId="3" fontId="0" fillId="11" borderId="11" xfId="0" applyNumberFormat="1" applyFill="1" applyBorder="1"/>
    <xf numFmtId="164" fontId="0" fillId="0" borderId="9" xfId="1" applyNumberFormat="1" applyFont="1" applyBorder="1"/>
    <xf numFmtId="3" fontId="0" fillId="0" borderId="7" xfId="0" applyNumberFormat="1" applyBorder="1"/>
    <xf numFmtId="164" fontId="0" fillId="0" borderId="5" xfId="1" applyNumberFormat="1" applyFont="1" applyBorder="1"/>
    <xf numFmtId="164" fontId="0" fillId="0" borderId="11" xfId="0" applyNumberFormat="1" applyBorder="1" applyAlignment="1">
      <alignment horizontal="center"/>
    </xf>
    <xf numFmtId="164" fontId="0" fillId="0" borderId="11" xfId="0" applyNumberFormat="1" applyBorder="1"/>
    <xf numFmtId="164" fontId="0" fillId="0" borderId="10" xfId="0" applyNumberFormat="1" applyBorder="1"/>
    <xf numFmtId="164" fontId="0" fillId="11" borderId="11" xfId="0" applyNumberFormat="1" applyFill="1" applyBorder="1"/>
    <xf numFmtId="1" fontId="0" fillId="0" borderId="11" xfId="0" applyNumberFormat="1" applyBorder="1"/>
    <xf numFmtId="165" fontId="0" fillId="0" borderId="5" xfId="1" applyFont="1" applyBorder="1"/>
    <xf numFmtId="165" fontId="0" fillId="0" borderId="7" xfId="1" applyFont="1" applyBorder="1"/>
    <xf numFmtId="165" fontId="0" fillId="0" borderId="10" xfId="1" applyFont="1" applyBorder="1"/>
    <xf numFmtId="165" fontId="0" fillId="0" borderId="11" xfId="1" applyFont="1" applyBorder="1"/>
    <xf numFmtId="165" fontId="0" fillId="11" borderId="11" xfId="1" applyFont="1" applyFill="1" applyBorder="1"/>
    <xf numFmtId="165" fontId="0" fillId="0" borderId="9" xfId="1" applyFont="1" applyBorder="1"/>
    <xf numFmtId="164" fontId="0" fillId="0" borderId="5" xfId="1" applyNumberFormat="1" applyFont="1" applyBorder="1" applyAlignment="1">
      <alignment horizontal="left" indent="2"/>
    </xf>
    <xf numFmtId="2" fontId="0" fillId="0" borderId="10" xfId="0" applyNumberFormat="1" applyBorder="1"/>
    <xf numFmtId="2" fontId="0" fillId="0" borderId="11" xfId="0" applyNumberFormat="1" applyBorder="1"/>
    <xf numFmtId="2" fontId="0" fillId="11" borderId="11" xfId="0" applyNumberFormat="1" applyFill="1" applyBorder="1"/>
    <xf numFmtId="2" fontId="0" fillId="0" borderId="9" xfId="0" applyNumberFormat="1" applyBorder="1"/>
    <xf numFmtId="0" fontId="2" fillId="0" borderId="8" xfId="0" applyFont="1" applyBorder="1" applyAlignment="1">
      <alignment horizontal="left"/>
    </xf>
    <xf numFmtId="0" fontId="2" fillId="0" borderId="8" xfId="0" applyFont="1" applyBorder="1" applyAlignment="1">
      <alignment horizontal="right"/>
    </xf>
    <xf numFmtId="0" fontId="6" fillId="7" borderId="10" xfId="4" applyBorder="1"/>
    <xf numFmtId="0" fontId="6" fillId="7" borderId="9" xfId="4" applyBorder="1"/>
    <xf numFmtId="0" fontId="7" fillId="8" borderId="10" xfId="5" applyBorder="1"/>
    <xf numFmtId="0" fontId="7" fillId="8" borderId="9" xfId="5" applyBorder="1"/>
    <xf numFmtId="0" fontId="5" fillId="6" borderId="10" xfId="3" applyBorder="1"/>
    <xf numFmtId="0" fontId="5" fillId="6" borderId="9" xfId="3" applyBorder="1"/>
    <xf numFmtId="164" fontId="0" fillId="0" borderId="13" xfId="1" applyNumberFormat="1" applyFont="1" applyBorder="1"/>
    <xf numFmtId="164" fontId="0" fillId="0" borderId="6" xfId="1" applyNumberFormat="1" applyFont="1" applyBorder="1" applyAlignment="1">
      <alignment horizontal="left" indent="2"/>
    </xf>
    <xf numFmtId="0" fontId="0" fillId="0" borderId="0" xfId="0" applyAlignment="1">
      <alignment horizontal="right"/>
    </xf>
    <xf numFmtId="9" fontId="0" fillId="0" borderId="0" xfId="6" applyFont="1"/>
    <xf numFmtId="0" fontId="0" fillId="0" borderId="17" xfId="0" applyBorder="1"/>
    <xf numFmtId="1" fontId="0" fillId="0" borderId="17" xfId="0" applyNumberFormat="1" applyBorder="1"/>
    <xf numFmtId="0" fontId="0" fillId="0" borderId="0" xfId="0" applyAlignment="1">
      <alignment horizontal="center" vertical="center"/>
    </xf>
    <xf numFmtId="0" fontId="0" fillId="0" borderId="0" xfId="0" applyAlignment="1">
      <alignment vertical="center"/>
    </xf>
    <xf numFmtId="9" fontId="0" fillId="0" borderId="8" xfId="6" applyFont="1" applyBorder="1"/>
    <xf numFmtId="2" fontId="0" fillId="0" borderId="25" xfId="0" applyNumberFormat="1" applyBorder="1"/>
    <xf numFmtId="2" fontId="0" fillId="0" borderId="25" xfId="0" applyNumberFormat="1" applyBorder="1" applyAlignment="1">
      <alignment horizontal="right"/>
    </xf>
    <xf numFmtId="2" fontId="0" fillId="0" borderId="8" xfId="0" applyNumberFormat="1" applyBorder="1" applyAlignment="1">
      <alignment horizontal="right"/>
    </xf>
    <xf numFmtId="1" fontId="0" fillId="11" borderId="0" xfId="0" applyNumberFormat="1" applyFill="1"/>
    <xf numFmtId="0" fontId="10" fillId="18" borderId="12" xfId="0" applyFont="1" applyFill="1" applyBorder="1" applyAlignment="1">
      <alignment horizontal="center" vertical="center" wrapText="1"/>
    </xf>
    <xf numFmtId="0" fontId="10" fillId="18" borderId="8" xfId="0" applyFont="1" applyFill="1" applyBorder="1" applyAlignment="1">
      <alignment horizontal="center" vertical="center" wrapText="1"/>
    </xf>
    <xf numFmtId="1" fontId="0" fillId="0" borderId="8" xfId="0" applyNumberFormat="1" applyBorder="1"/>
    <xf numFmtId="2" fontId="0" fillId="0" borderId="8" xfId="0" applyNumberFormat="1" applyBorder="1"/>
    <xf numFmtId="0" fontId="0" fillId="0" borderId="8" xfId="0" applyBorder="1" applyAlignment="1">
      <alignment horizontal="right"/>
    </xf>
    <xf numFmtId="0" fontId="10" fillId="19" borderId="18" xfId="0" applyFont="1" applyFill="1" applyBorder="1" applyAlignment="1">
      <alignment horizontal="left"/>
    </xf>
    <xf numFmtId="0" fontId="10" fillId="19" borderId="8" xfId="0" applyFont="1" applyFill="1" applyBorder="1" applyAlignment="1">
      <alignment horizontal="left"/>
    </xf>
    <xf numFmtId="0" fontId="2" fillId="17" borderId="9" xfId="0" applyFont="1" applyFill="1" applyBorder="1" applyAlignment="1">
      <alignment horizontal="center" vertical="center" wrapText="1"/>
    </xf>
    <xf numFmtId="0" fontId="2" fillId="17" borderId="5" xfId="0" applyFont="1" applyFill="1" applyBorder="1" applyAlignment="1">
      <alignment vertical="center" wrapText="1"/>
    </xf>
    <xf numFmtId="0" fontId="2" fillId="17" borderId="9" xfId="0" applyFont="1" applyFill="1" applyBorder="1" applyAlignment="1">
      <alignment vertical="center" wrapText="1"/>
    </xf>
    <xf numFmtId="0" fontId="2" fillId="17" borderId="6" xfId="0" applyFont="1" applyFill="1" applyBorder="1" applyAlignment="1">
      <alignment vertical="center" wrapText="1"/>
    </xf>
    <xf numFmtId="0" fontId="8" fillId="20" borderId="8" xfId="0" applyFont="1" applyFill="1" applyBorder="1" applyAlignment="1">
      <alignment horizontal="center" vertical="center" wrapText="1"/>
    </xf>
    <xf numFmtId="0" fontId="2" fillId="20" borderId="9" xfId="0" applyFont="1" applyFill="1" applyBorder="1" applyAlignment="1">
      <alignment horizontal="center" vertical="center" wrapText="1"/>
    </xf>
    <xf numFmtId="0" fontId="2" fillId="20" borderId="9" xfId="0" applyFont="1" applyFill="1" applyBorder="1" applyAlignment="1">
      <alignment vertical="center" wrapText="1"/>
    </xf>
    <xf numFmtId="0" fontId="8" fillId="20" borderId="31" xfId="0" applyFont="1" applyFill="1" applyBorder="1" applyAlignment="1">
      <alignment horizontal="center" vertical="center"/>
    </xf>
    <xf numFmtId="0" fontId="10" fillId="19" borderId="5" xfId="0" applyFont="1" applyFill="1" applyBorder="1" applyAlignment="1">
      <alignment horizontal="left" vertical="center"/>
    </xf>
    <xf numFmtId="0" fontId="8" fillId="19" borderId="5" xfId="0" applyFont="1" applyFill="1" applyBorder="1" applyAlignment="1">
      <alignment horizontal="center" vertical="center"/>
    </xf>
    <xf numFmtId="1" fontId="0" fillId="21" borderId="8" xfId="0" applyNumberFormat="1" applyFill="1" applyBorder="1" applyAlignment="1">
      <alignment vertical="center"/>
    </xf>
    <xf numFmtId="0" fontId="0" fillId="21" borderId="8" xfId="0" applyFill="1" applyBorder="1" applyAlignment="1">
      <alignment vertical="center"/>
    </xf>
    <xf numFmtId="2" fontId="0" fillId="21" borderId="8" xfId="0" applyNumberFormat="1" applyFill="1" applyBorder="1" applyAlignment="1">
      <alignment vertical="center"/>
    </xf>
    <xf numFmtId="0" fontId="8" fillId="20" borderId="29" xfId="0" applyFont="1" applyFill="1" applyBorder="1" applyAlignment="1">
      <alignment horizontal="center" vertical="center"/>
    </xf>
    <xf numFmtId="0" fontId="10" fillId="19" borderId="34" xfId="0" applyFont="1" applyFill="1" applyBorder="1" applyAlignment="1">
      <alignment horizontal="left" vertical="center"/>
    </xf>
    <xf numFmtId="0" fontId="10" fillId="19" borderId="37" xfId="0" applyFont="1" applyFill="1" applyBorder="1" applyAlignment="1">
      <alignment horizontal="left" vertical="center"/>
    </xf>
    <xf numFmtId="2" fontId="0" fillId="0" borderId="20" xfId="0" applyNumberFormat="1" applyBorder="1"/>
    <xf numFmtId="2" fontId="0" fillId="0" borderId="21" xfId="0" applyNumberFormat="1" applyBorder="1"/>
    <xf numFmtId="2" fontId="0" fillId="0" borderId="23" xfId="0" applyNumberFormat="1" applyBorder="1"/>
    <xf numFmtId="2" fontId="0" fillId="0" borderId="26" xfId="0" applyNumberFormat="1" applyBorder="1"/>
    <xf numFmtId="2" fontId="0" fillId="0" borderId="26" xfId="0" applyNumberFormat="1" applyBorder="1" applyAlignment="1">
      <alignment horizontal="right"/>
    </xf>
    <xf numFmtId="0" fontId="10" fillId="19" borderId="40" xfId="0" applyFont="1" applyFill="1" applyBorder="1" applyAlignment="1">
      <alignment horizontal="center" vertical="center" wrapText="1"/>
    </xf>
    <xf numFmtId="0" fontId="10" fillId="19" borderId="41" xfId="0" applyFont="1" applyFill="1" applyBorder="1" applyAlignment="1">
      <alignment horizontal="center" vertical="center" wrapText="1"/>
    </xf>
    <xf numFmtId="0" fontId="0" fillId="0" borderId="0" xfId="0" applyAlignment="1">
      <alignment horizontal="left" wrapText="1"/>
    </xf>
    <xf numFmtId="0" fontId="0" fillId="0" borderId="38" xfId="0" applyBorder="1"/>
    <xf numFmtId="0" fontId="0" fillId="0" borderId="35" xfId="0" applyBorder="1"/>
    <xf numFmtId="0" fontId="0" fillId="0" borderId="39" xfId="0" applyBorder="1"/>
    <xf numFmtId="169" fontId="0" fillId="0" borderId="20" xfId="7" applyNumberFormat="1" applyFont="1" applyBorder="1"/>
    <xf numFmtId="169" fontId="0" fillId="0" borderId="25" xfId="7" applyNumberFormat="1" applyFont="1" applyBorder="1"/>
    <xf numFmtId="2" fontId="0" fillId="0" borderId="12" xfId="0" applyNumberFormat="1" applyBorder="1"/>
    <xf numFmtId="0" fontId="0" fillId="0" borderId="23" xfId="0" applyBorder="1"/>
    <xf numFmtId="0" fontId="0" fillId="5" borderId="0" xfId="0" applyFill="1"/>
    <xf numFmtId="2" fontId="0" fillId="7" borderId="10" xfId="4" applyNumberFormat="1" applyFont="1" applyBorder="1"/>
    <xf numFmtId="2" fontId="0" fillId="7" borderId="9" xfId="4" applyNumberFormat="1" applyFont="1" applyBorder="1"/>
    <xf numFmtId="2" fontId="0" fillId="8" borderId="10" xfId="5" applyNumberFormat="1" applyFont="1" applyBorder="1"/>
    <xf numFmtId="2" fontId="0" fillId="8" borderId="9" xfId="5" applyNumberFormat="1" applyFont="1" applyBorder="1"/>
    <xf numFmtId="2" fontId="0" fillId="6" borderId="10" xfId="3" applyNumberFormat="1" applyFont="1" applyBorder="1"/>
    <xf numFmtId="2" fontId="0" fillId="6" borderId="9" xfId="3" applyNumberFormat="1" applyFont="1" applyBorder="1"/>
    <xf numFmtId="2" fontId="0" fillId="7" borderId="13" xfId="4" applyNumberFormat="1" applyFont="1" applyBorder="1"/>
    <xf numFmtId="2" fontId="0" fillId="7" borderId="7" xfId="4" applyNumberFormat="1" applyFont="1" applyBorder="1"/>
    <xf numFmtId="2" fontId="0" fillId="8" borderId="13" xfId="5" applyNumberFormat="1" applyFont="1" applyBorder="1"/>
    <xf numFmtId="2" fontId="0" fillId="8" borderId="7" xfId="5" applyNumberFormat="1" applyFont="1" applyBorder="1"/>
    <xf numFmtId="2" fontId="0" fillId="6" borderId="13" xfId="3" applyNumberFormat="1" applyFont="1" applyBorder="1"/>
    <xf numFmtId="2" fontId="0" fillId="6" borderId="7" xfId="3" applyNumberFormat="1" applyFont="1" applyBorder="1"/>
    <xf numFmtId="0" fontId="0" fillId="0" borderId="0" xfId="0" applyAlignment="1">
      <alignment horizontal="left" vertical="center" indent="2"/>
    </xf>
    <xf numFmtId="0" fontId="0" fillId="0" borderId="3" xfId="0" applyBorder="1" applyAlignment="1">
      <alignment horizontal="left" vertical="top" wrapText="1"/>
    </xf>
    <xf numFmtId="0" fontId="10" fillId="19" borderId="45" xfId="0" applyFont="1" applyFill="1" applyBorder="1" applyAlignment="1">
      <alignment horizontal="center" vertical="center" wrapText="1"/>
    </xf>
    <xf numFmtId="0" fontId="10" fillId="19" borderId="3" xfId="0" applyFont="1" applyFill="1" applyBorder="1" applyAlignment="1">
      <alignment horizontal="left" vertical="center"/>
    </xf>
    <xf numFmtId="0" fontId="9" fillId="0" borderId="17" xfId="0" applyFont="1" applyBorder="1" applyAlignment="1">
      <alignment horizontal="right" wrapText="1"/>
    </xf>
    <xf numFmtId="2" fontId="9" fillId="0" borderId="17" xfId="0" applyNumberFormat="1" applyFont="1" applyBorder="1" applyAlignment="1">
      <alignment horizontal="right" wrapText="1"/>
    </xf>
    <xf numFmtId="1" fontId="9" fillId="0" borderId="17" xfId="0" applyNumberFormat="1" applyFont="1" applyBorder="1" applyAlignment="1">
      <alignment horizontal="right" wrapText="1"/>
    </xf>
    <xf numFmtId="0" fontId="10" fillId="19" borderId="8" xfId="0" applyFont="1" applyFill="1" applyBorder="1" applyAlignment="1">
      <alignment horizontal="left" vertical="center"/>
    </xf>
    <xf numFmtId="0" fontId="10" fillId="19" borderId="30" xfId="0" applyFont="1" applyFill="1" applyBorder="1" applyAlignment="1">
      <alignment horizontal="left" vertical="center"/>
    </xf>
    <xf numFmtId="0" fontId="10" fillId="19" borderId="38" xfId="0" applyFont="1" applyFill="1" applyBorder="1" applyAlignment="1">
      <alignment horizontal="left" vertical="center"/>
    </xf>
    <xf numFmtId="0" fontId="9" fillId="0" borderId="8" xfId="0" applyFont="1" applyBorder="1" applyAlignment="1">
      <alignment horizontal="right" wrapText="1"/>
    </xf>
    <xf numFmtId="0" fontId="0" fillId="0" borderId="21" xfId="0" applyBorder="1"/>
    <xf numFmtId="0" fontId="0" fillId="0" borderId="26" xfId="0" applyBorder="1"/>
    <xf numFmtId="0" fontId="10" fillId="19" borderId="14" xfId="0" applyFont="1" applyFill="1" applyBorder="1" applyAlignment="1">
      <alignment horizontal="left" vertical="center"/>
    </xf>
    <xf numFmtId="2" fontId="0" fillId="23" borderId="15" xfId="0" applyNumberFormat="1" applyFill="1" applyBorder="1"/>
    <xf numFmtId="2" fontId="0" fillId="23" borderId="16" xfId="0" applyNumberFormat="1" applyFill="1" applyBorder="1"/>
    <xf numFmtId="0" fontId="0" fillId="23" borderId="16" xfId="0" applyFill="1" applyBorder="1"/>
    <xf numFmtId="0" fontId="10" fillId="19" borderId="27" xfId="0" applyFont="1" applyFill="1" applyBorder="1" applyAlignment="1">
      <alignment horizontal="left" vertical="center"/>
    </xf>
    <xf numFmtId="0" fontId="10" fillId="19" borderId="24" xfId="0" applyFont="1" applyFill="1" applyBorder="1" applyAlignment="1">
      <alignment horizontal="left" vertical="center"/>
    </xf>
    <xf numFmtId="169" fontId="0" fillId="23" borderId="15" xfId="7" applyNumberFormat="1" applyFont="1" applyFill="1" applyBorder="1"/>
    <xf numFmtId="169" fontId="0" fillId="0" borderId="0" xfId="7" applyNumberFormat="1" applyFont="1"/>
    <xf numFmtId="0" fontId="10" fillId="19" borderId="29" xfId="0" applyFont="1" applyFill="1" applyBorder="1" applyAlignment="1">
      <alignment horizontal="center" vertical="center" wrapText="1"/>
    </xf>
    <xf numFmtId="0" fontId="10" fillId="19" borderId="46" xfId="0" applyFont="1" applyFill="1" applyBorder="1" applyAlignment="1">
      <alignment horizontal="center" vertical="center" wrapText="1"/>
    </xf>
    <xf numFmtId="0" fontId="0" fillId="23" borderId="29" xfId="0" applyFill="1" applyBorder="1"/>
    <xf numFmtId="0" fontId="0" fillId="0" borderId="47" xfId="0" applyBorder="1"/>
    <xf numFmtId="0" fontId="0" fillId="0" borderId="31" xfId="0" applyBorder="1"/>
    <xf numFmtId="0" fontId="0" fillId="0" borderId="48" xfId="0" applyBorder="1"/>
    <xf numFmtId="0" fontId="10" fillId="19" borderId="18" xfId="0" applyFont="1" applyFill="1" applyBorder="1" applyAlignment="1">
      <alignment horizontal="left" vertical="center"/>
    </xf>
    <xf numFmtId="0" fontId="10" fillId="19" borderId="44" xfId="0" applyFont="1" applyFill="1" applyBorder="1" applyAlignment="1">
      <alignment horizontal="left" vertical="center"/>
    </xf>
    <xf numFmtId="1" fontId="0" fillId="23" borderId="15" xfId="0" applyNumberFormat="1" applyFill="1" applyBorder="1"/>
    <xf numFmtId="1" fontId="0" fillId="0" borderId="25" xfId="0" applyNumberFormat="1" applyBorder="1"/>
    <xf numFmtId="1" fontId="0" fillId="0" borderId="20" xfId="0" applyNumberFormat="1" applyBorder="1"/>
    <xf numFmtId="0" fontId="10" fillId="19" borderId="49" xfId="0" applyFont="1" applyFill="1" applyBorder="1" applyAlignment="1">
      <alignment horizontal="center" vertical="center" wrapText="1"/>
    </xf>
    <xf numFmtId="0" fontId="10" fillId="19" borderId="31" xfId="0" applyFont="1" applyFill="1" applyBorder="1" applyAlignment="1">
      <alignment horizontal="center" vertical="center" wrapText="1"/>
    </xf>
    <xf numFmtId="1" fontId="0" fillId="23" borderId="29" xfId="0" applyNumberFormat="1" applyFill="1" applyBorder="1"/>
    <xf numFmtId="1" fontId="0" fillId="0" borderId="47" xfId="0" applyNumberFormat="1" applyBorder="1"/>
    <xf numFmtId="1" fontId="0" fillId="0" borderId="48" xfId="0" applyNumberFormat="1" applyBorder="1"/>
    <xf numFmtId="1" fontId="0" fillId="0" borderId="31" xfId="0" applyNumberFormat="1" applyBorder="1"/>
    <xf numFmtId="0" fontId="10" fillId="19" borderId="50" xfId="0" applyFont="1" applyFill="1" applyBorder="1" applyAlignment="1">
      <alignment horizontal="left" vertical="center"/>
    </xf>
    <xf numFmtId="0" fontId="10" fillId="19" borderId="51" xfId="0" applyFont="1" applyFill="1" applyBorder="1" applyAlignment="1">
      <alignment horizontal="left" vertical="center"/>
    </xf>
    <xf numFmtId="0" fontId="10" fillId="19" borderId="52" xfId="0" applyFont="1" applyFill="1" applyBorder="1" applyAlignment="1">
      <alignment horizontal="left" vertical="center"/>
    </xf>
    <xf numFmtId="0" fontId="8" fillId="20" borderId="5" xfId="0" applyFont="1" applyFill="1" applyBorder="1" applyAlignment="1">
      <alignment wrapText="1"/>
    </xf>
    <xf numFmtId="0" fontId="8" fillId="20" borderId="17" xfId="0" applyFont="1" applyFill="1" applyBorder="1" applyAlignment="1">
      <alignment wrapText="1"/>
    </xf>
    <xf numFmtId="0" fontId="0" fillId="25" borderId="0" xfId="0" applyFill="1"/>
    <xf numFmtId="164" fontId="0" fillId="24" borderId="11" xfId="1" applyNumberFormat="1" applyFont="1" applyFill="1" applyBorder="1"/>
    <xf numFmtId="170" fontId="0" fillId="27" borderId="54" xfId="0" applyNumberFormat="1" applyFill="1" applyBorder="1" applyAlignment="1">
      <alignment vertical="center" wrapText="1"/>
    </xf>
    <xf numFmtId="0" fontId="0" fillId="0" borderId="54" xfId="0" applyBorder="1" applyAlignment="1">
      <alignment vertical="center" wrapText="1"/>
    </xf>
    <xf numFmtId="4" fontId="0" fillId="0" borderId="54" xfId="0" applyNumberFormat="1" applyBorder="1" applyAlignment="1">
      <alignment vertical="center" wrapText="1"/>
    </xf>
    <xf numFmtId="4" fontId="14" fillId="28" borderId="54" xfId="0" applyNumberFormat="1" applyFont="1" applyFill="1" applyBorder="1" applyAlignment="1">
      <alignment vertical="center" wrapText="1"/>
    </xf>
    <xf numFmtId="3" fontId="0" fillId="27" borderId="54" xfId="0" applyNumberFormat="1" applyFill="1" applyBorder="1" applyAlignment="1">
      <alignment vertical="center" wrapText="1"/>
    </xf>
    <xf numFmtId="3" fontId="0" fillId="0" borderId="54" xfId="0" applyNumberFormat="1" applyBorder="1" applyAlignment="1">
      <alignment vertical="center" wrapText="1"/>
    </xf>
    <xf numFmtId="4" fontId="0" fillId="27" borderId="54" xfId="0" applyNumberFormat="1" applyFill="1" applyBorder="1" applyAlignment="1">
      <alignment vertical="center" wrapText="1"/>
    </xf>
    <xf numFmtId="3" fontId="14" fillId="28" borderId="54" xfId="0" applyNumberFormat="1" applyFont="1" applyFill="1" applyBorder="1" applyAlignment="1">
      <alignment vertical="center" wrapText="1"/>
    </xf>
    <xf numFmtId="0" fontId="14" fillId="28" borderId="54" xfId="0" applyFont="1" applyFill="1" applyBorder="1" applyAlignment="1">
      <alignment vertical="center" wrapText="1"/>
    </xf>
    <xf numFmtId="0" fontId="0" fillId="27" borderId="54" xfId="0" applyFill="1" applyBorder="1" applyAlignment="1">
      <alignment horizontal="right" vertical="center" wrapText="1"/>
    </xf>
    <xf numFmtId="0" fontId="0" fillId="25" borderId="3" xfId="0" applyFill="1" applyBorder="1"/>
    <xf numFmtId="0" fontId="0" fillId="25" borderId="8" xfId="0" applyFill="1" applyBorder="1"/>
    <xf numFmtId="1" fontId="0" fillId="5" borderId="0" xfId="0" applyNumberFormat="1" applyFill="1"/>
    <xf numFmtId="0" fontId="0" fillId="16" borderId="0" xfId="0" applyFill="1" applyAlignment="1">
      <alignment wrapText="1"/>
    </xf>
    <xf numFmtId="0" fontId="0" fillId="16" borderId="0" xfId="0" applyFill="1"/>
    <xf numFmtId="1" fontId="0" fillId="16" borderId="0" xfId="0" applyNumberFormat="1" applyFill="1"/>
    <xf numFmtId="2" fontId="0" fillId="16" borderId="0" xfId="0" applyNumberFormat="1" applyFill="1"/>
    <xf numFmtId="0" fontId="0" fillId="16" borderId="4" xfId="0" applyFill="1" applyBorder="1" applyAlignment="1">
      <alignment wrapText="1"/>
    </xf>
    <xf numFmtId="2" fontId="0" fillId="16" borderId="0" xfId="0" applyNumberFormat="1" applyFill="1" applyAlignment="1">
      <alignment wrapText="1"/>
    </xf>
    <xf numFmtId="0" fontId="0" fillId="16" borderId="0" xfId="0" applyFill="1" applyAlignment="1">
      <alignment horizontal="center"/>
    </xf>
    <xf numFmtId="0" fontId="0" fillId="5" borderId="4" xfId="0" applyFill="1" applyBorder="1" applyAlignment="1">
      <alignment wrapText="1"/>
    </xf>
    <xf numFmtId="2" fontId="0" fillId="0" borderId="0" xfId="0" applyNumberFormat="1" applyAlignment="1">
      <alignment horizontal="center" wrapText="1"/>
    </xf>
    <xf numFmtId="2" fontId="0" fillId="0" borderId="0" xfId="0" applyNumberFormat="1" applyAlignment="1">
      <alignment horizontal="center"/>
    </xf>
    <xf numFmtId="0" fontId="0" fillId="0" borderId="12" xfId="0" applyBorder="1" applyAlignment="1">
      <alignment vertical="top"/>
    </xf>
    <xf numFmtId="0" fontId="0" fillId="0" borderId="12" xfId="0" applyBorder="1" applyAlignment="1">
      <alignment wrapText="1"/>
    </xf>
    <xf numFmtId="0" fontId="9" fillId="0" borderId="18" xfId="2" applyFont="1" applyBorder="1" applyAlignment="1">
      <alignment horizontal="left" vertical="top" wrapText="1"/>
    </xf>
    <xf numFmtId="0" fontId="9" fillId="0" borderId="18" xfId="2" applyFont="1" applyBorder="1" applyAlignment="1">
      <alignment horizontal="left" vertical="top"/>
    </xf>
    <xf numFmtId="2" fontId="0" fillId="0" borderId="0" xfId="0" applyNumberFormat="1" applyAlignment="1">
      <alignment vertical="center"/>
    </xf>
    <xf numFmtId="0" fontId="0" fillId="16" borderId="0" xfId="0" applyFill="1" applyAlignment="1">
      <alignment horizontal="center" vertical="center"/>
    </xf>
    <xf numFmtId="0" fontId="8" fillId="31" borderId="8" xfId="0" applyFont="1" applyFill="1" applyBorder="1" applyAlignment="1">
      <alignment horizontal="center" vertical="center" wrapText="1"/>
    </xf>
    <xf numFmtId="0" fontId="8" fillId="32" borderId="8" xfId="0" applyFont="1" applyFill="1" applyBorder="1" applyAlignment="1">
      <alignment horizontal="center" vertical="center" wrapText="1"/>
    </xf>
    <xf numFmtId="0" fontId="8" fillId="33" borderId="8" xfId="0" applyFont="1" applyFill="1" applyBorder="1" applyAlignment="1">
      <alignment horizontal="center" vertical="center" wrapText="1"/>
    </xf>
    <xf numFmtId="0" fontId="8" fillId="34" borderId="8" xfId="0" applyFont="1" applyFill="1" applyBorder="1" applyAlignment="1">
      <alignment horizontal="center" vertical="center" wrapText="1"/>
    </xf>
    <xf numFmtId="0" fontId="8" fillId="17" borderId="17" xfId="0" applyFont="1" applyFill="1" applyBorder="1" applyAlignment="1">
      <alignment horizontal="center" vertical="center" wrapText="1"/>
    </xf>
    <xf numFmtId="0" fontId="8" fillId="20" borderId="5" xfId="0" applyFont="1" applyFill="1" applyBorder="1" applyAlignment="1">
      <alignment horizontal="center" vertical="center" wrapText="1"/>
    </xf>
    <xf numFmtId="0" fontId="8" fillId="20" borderId="19" xfId="0" applyFont="1" applyFill="1" applyBorder="1" applyAlignment="1">
      <alignment horizontal="center" vertical="center"/>
    </xf>
    <xf numFmtId="0" fontId="10" fillId="35" borderId="8" xfId="0" applyFont="1" applyFill="1" applyBorder="1" applyAlignment="1">
      <alignment horizontal="left"/>
    </xf>
    <xf numFmtId="9" fontId="0" fillId="21" borderId="8" xfId="6" applyFont="1" applyFill="1" applyBorder="1" applyAlignment="1">
      <alignment vertical="center"/>
    </xf>
    <xf numFmtId="0" fontId="0" fillId="21" borderId="8" xfId="6" applyNumberFormat="1" applyFont="1" applyFill="1" applyBorder="1" applyAlignment="1">
      <alignment vertical="center"/>
    </xf>
    <xf numFmtId="2" fontId="0" fillId="21" borderId="8" xfId="6" applyNumberFormat="1" applyFont="1" applyFill="1" applyBorder="1" applyAlignment="1">
      <alignment vertical="center"/>
    </xf>
    <xf numFmtId="1" fontId="0" fillId="21" borderId="8" xfId="6" applyNumberFormat="1" applyFont="1" applyFill="1" applyBorder="1" applyAlignment="1">
      <alignment vertical="center"/>
    </xf>
    <xf numFmtId="0" fontId="10" fillId="36" borderId="8" xfId="0" applyFont="1" applyFill="1" applyBorder="1" applyAlignment="1">
      <alignment horizontal="center" vertical="center" wrapText="1"/>
    </xf>
    <xf numFmtId="0" fontId="10" fillId="35" borderId="18" xfId="0" applyFont="1" applyFill="1" applyBorder="1" applyAlignment="1">
      <alignment horizontal="left"/>
    </xf>
    <xf numFmtId="164" fontId="0" fillId="11" borderId="0" xfId="1" applyNumberFormat="1" applyFont="1" applyFill="1" applyAlignment="1">
      <alignment horizontal="left" indent="2"/>
    </xf>
    <xf numFmtId="164" fontId="0" fillId="11" borderId="0" xfId="1" applyNumberFormat="1" applyFont="1" applyFill="1"/>
    <xf numFmtId="172" fontId="0" fillId="0" borderId="0" xfId="0" applyNumberFormat="1"/>
    <xf numFmtId="9" fontId="9" fillId="0" borderId="17" xfId="6" applyFont="1" applyBorder="1" applyAlignment="1">
      <alignment horizontal="right" wrapText="1"/>
    </xf>
    <xf numFmtId="9" fontId="9" fillId="0" borderId="8" xfId="6" applyFont="1" applyBorder="1" applyAlignment="1">
      <alignment horizontal="right" wrapText="1"/>
    </xf>
    <xf numFmtId="1" fontId="9" fillId="0" borderId="8" xfId="0" applyNumberFormat="1" applyFont="1" applyBorder="1" applyAlignment="1">
      <alignment horizontal="right" wrapText="1"/>
    </xf>
    <xf numFmtId="0" fontId="0" fillId="0" borderId="8" xfId="6" applyNumberFormat="1" applyFont="1" applyBorder="1"/>
    <xf numFmtId="0" fontId="9" fillId="0" borderId="8" xfId="6" applyNumberFormat="1" applyFont="1" applyBorder="1" applyAlignment="1">
      <alignment horizontal="right" wrapText="1"/>
    </xf>
    <xf numFmtId="9" fontId="8" fillId="20" borderId="17" xfId="6" applyFont="1" applyFill="1" applyBorder="1" applyAlignment="1">
      <alignment wrapText="1"/>
    </xf>
    <xf numFmtId="0" fontId="19" fillId="0" borderId="0" xfId="8"/>
    <xf numFmtId="14" fontId="19" fillId="0" borderId="0" xfId="8" applyNumberFormat="1"/>
    <xf numFmtId="0" fontId="19" fillId="23" borderId="0" xfId="8" applyFill="1"/>
    <xf numFmtId="0" fontId="2" fillId="17" borderId="5" xfId="0" applyFont="1" applyFill="1" applyBorder="1" applyAlignment="1">
      <alignment horizontal="center" vertical="center" wrapText="1"/>
    </xf>
    <xf numFmtId="0" fontId="0" fillId="11" borderId="0" xfId="0" applyFill="1" applyAlignment="1">
      <alignment horizontal="center"/>
    </xf>
    <xf numFmtId="0" fontId="0" fillId="11" borderId="0" xfId="0" applyFill="1" applyAlignment="1">
      <alignment horizontal="center" wrapText="1"/>
    </xf>
    <xf numFmtId="0" fontId="0" fillId="0" borderId="0" xfId="0" applyAlignment="1">
      <alignment horizontal="center" wrapText="1"/>
    </xf>
    <xf numFmtId="1" fontId="0" fillId="0" borderId="0" xfId="0" applyNumberFormat="1" applyAlignment="1">
      <alignment horizontal="center"/>
    </xf>
    <xf numFmtId="0" fontId="10" fillId="19" borderId="5" xfId="0" applyFont="1" applyFill="1" applyBorder="1" applyAlignment="1">
      <alignment horizontal="left"/>
    </xf>
    <xf numFmtId="0" fontId="10" fillId="37" borderId="8" xfId="0" applyFont="1" applyFill="1" applyBorder="1" applyAlignment="1">
      <alignment horizontal="center" vertical="center" wrapText="1"/>
    </xf>
    <xf numFmtId="0" fontId="10" fillId="37" borderId="57" xfId="0" applyFont="1" applyFill="1" applyBorder="1" applyAlignment="1">
      <alignment horizontal="center" vertical="center" wrapText="1"/>
    </xf>
    <xf numFmtId="1" fontId="0" fillId="21" borderId="42" xfId="0" applyNumberFormat="1" applyFill="1" applyBorder="1" applyAlignment="1">
      <alignment vertical="center"/>
    </xf>
    <xf numFmtId="1" fontId="0" fillId="21" borderId="35" xfId="6" applyNumberFormat="1" applyFont="1" applyFill="1" applyBorder="1" applyAlignment="1">
      <alignment vertical="center"/>
    </xf>
    <xf numFmtId="0" fontId="8" fillId="20" borderId="50" xfId="0" applyFont="1" applyFill="1" applyBorder="1" applyAlignment="1">
      <alignment wrapText="1"/>
    </xf>
    <xf numFmtId="0" fontId="8" fillId="20" borderId="57" xfId="0" applyFont="1" applyFill="1" applyBorder="1" applyAlignment="1">
      <alignment wrapText="1"/>
    </xf>
    <xf numFmtId="1" fontId="0" fillId="0" borderId="42" xfId="0" applyNumberFormat="1" applyBorder="1"/>
    <xf numFmtId="1" fontId="0" fillId="0" borderId="35" xfId="0" applyNumberFormat="1" applyBorder="1"/>
    <xf numFmtId="1" fontId="9" fillId="0" borderId="50" xfId="0" applyNumberFormat="1" applyFont="1" applyBorder="1" applyAlignment="1">
      <alignment horizontal="right" wrapText="1"/>
    </xf>
    <xf numFmtId="1" fontId="0" fillId="0" borderId="43" xfId="0" applyNumberFormat="1" applyBorder="1"/>
    <xf numFmtId="1" fontId="0" fillId="0" borderId="38" xfId="0" applyNumberFormat="1" applyBorder="1"/>
    <xf numFmtId="9" fontId="0" fillId="0" borderId="38" xfId="6" applyFont="1" applyBorder="1"/>
    <xf numFmtId="2" fontId="0" fillId="21" borderId="42" xfId="6" applyNumberFormat="1" applyFont="1" applyFill="1" applyBorder="1" applyAlignment="1">
      <alignment vertical="center"/>
    </xf>
    <xf numFmtId="2" fontId="0" fillId="0" borderId="42" xfId="0" applyNumberFormat="1" applyBorder="1"/>
    <xf numFmtId="2" fontId="9" fillId="0" borderId="8" xfId="0" applyNumberFormat="1" applyFont="1" applyBorder="1" applyAlignment="1">
      <alignment horizontal="right" wrapText="1"/>
    </xf>
    <xf numFmtId="0" fontId="8" fillId="19" borderId="8" xfId="0" applyFont="1" applyFill="1" applyBorder="1" applyAlignment="1">
      <alignment horizontal="center" vertical="center"/>
    </xf>
    <xf numFmtId="0" fontId="8" fillId="20" borderId="8" xfId="0" applyFont="1" applyFill="1" applyBorder="1" applyAlignment="1">
      <alignment wrapText="1"/>
    </xf>
    <xf numFmtId="0" fontId="8" fillId="20" borderId="8" xfId="0" applyFont="1" applyFill="1" applyBorder="1"/>
    <xf numFmtId="0" fontId="8" fillId="20" borderId="5" xfId="0" applyFont="1" applyFill="1" applyBorder="1" applyAlignment="1">
      <alignment vertical="top" wrapText="1"/>
    </xf>
    <xf numFmtId="0" fontId="8" fillId="20" borderId="8" xfId="0" applyFont="1" applyFill="1" applyBorder="1" applyAlignment="1">
      <alignment vertical="top" wrapText="1"/>
    </xf>
    <xf numFmtId="2" fontId="9" fillId="0" borderId="42" xfId="0" applyNumberFormat="1" applyFont="1" applyBorder="1" applyAlignment="1">
      <alignment horizontal="right" wrapText="1"/>
    </xf>
    <xf numFmtId="2" fontId="0" fillId="0" borderId="43" xfId="0" applyNumberFormat="1" applyBorder="1"/>
    <xf numFmtId="2" fontId="0" fillId="0" borderId="38" xfId="0" applyNumberFormat="1" applyBorder="1"/>
    <xf numFmtId="0" fontId="8" fillId="17" borderId="8" xfId="0" applyFont="1" applyFill="1" applyBorder="1" applyAlignment="1">
      <alignment horizontal="left" vertical="center"/>
    </xf>
    <xf numFmtId="172" fontId="0" fillId="0" borderId="8" xfId="0" applyNumberFormat="1" applyBorder="1"/>
    <xf numFmtId="0" fontId="8" fillId="0" borderId="17" xfId="0" applyFont="1" applyBorder="1" applyAlignment="1">
      <alignment horizontal="center" vertical="center" wrapText="1"/>
    </xf>
    <xf numFmtId="0" fontId="10" fillId="0" borderId="17" xfId="0" applyFont="1" applyBorder="1" applyAlignment="1">
      <alignment horizontal="center" vertical="center" wrapText="1"/>
    </xf>
    <xf numFmtId="0" fontId="0" fillId="0" borderId="8" xfId="0" applyBorder="1" applyAlignment="1">
      <alignment vertical="center"/>
    </xf>
    <xf numFmtId="0" fontId="8" fillId="0" borderId="17" xfId="0" applyFont="1" applyBorder="1" applyAlignment="1">
      <alignment wrapText="1"/>
    </xf>
    <xf numFmtId="0" fontId="8" fillId="0" borderId="28" xfId="0" applyFont="1" applyBorder="1" applyAlignment="1">
      <alignment horizontal="center" vertical="center" wrapText="1"/>
    </xf>
    <xf numFmtId="1" fontId="0" fillId="0" borderId="17" xfId="6" applyNumberFormat="1" applyFont="1" applyBorder="1" applyAlignment="1">
      <alignment vertical="center"/>
    </xf>
    <xf numFmtId="1" fontId="0" fillId="0" borderId="58" xfId="0" applyNumberFormat="1" applyBorder="1"/>
    <xf numFmtId="0" fontId="10" fillId="18" borderId="18" xfId="0" applyFont="1" applyFill="1" applyBorder="1" applyAlignment="1">
      <alignment horizontal="center" vertical="center" wrapText="1"/>
    </xf>
    <xf numFmtId="0" fontId="10" fillId="18" borderId="42" xfId="0" applyFont="1" applyFill="1" applyBorder="1" applyAlignment="1">
      <alignment horizontal="center" vertical="center" wrapText="1"/>
    </xf>
    <xf numFmtId="1" fontId="0" fillId="0" borderId="39" xfId="0" applyNumberFormat="1" applyBorder="1"/>
    <xf numFmtId="0" fontId="8" fillId="0" borderId="6" xfId="0" applyFont="1" applyBorder="1" applyAlignment="1">
      <alignment horizontal="center" vertical="center" wrapText="1"/>
    </xf>
    <xf numFmtId="1" fontId="9" fillId="0" borderId="35" xfId="0" applyNumberFormat="1" applyFont="1" applyBorder="1" applyAlignment="1">
      <alignment horizontal="right" wrapText="1"/>
    </xf>
    <xf numFmtId="0" fontId="0" fillId="0" borderId="12" xfId="0" applyBorder="1" applyAlignment="1">
      <alignment vertical="center"/>
    </xf>
    <xf numFmtId="2" fontId="0" fillId="21" borderId="42" xfId="0" applyNumberFormat="1" applyFill="1" applyBorder="1" applyAlignment="1">
      <alignment vertical="center"/>
    </xf>
    <xf numFmtId="0" fontId="0" fillId="21" borderId="35" xfId="0" applyFill="1" applyBorder="1" applyAlignment="1">
      <alignment vertical="center"/>
    </xf>
    <xf numFmtId="0" fontId="9" fillId="0" borderId="35" xfId="0" applyFont="1" applyBorder="1" applyAlignment="1">
      <alignment horizontal="right" wrapText="1"/>
    </xf>
    <xf numFmtId="0" fontId="8" fillId="20" borderId="42" xfId="0" applyFont="1" applyFill="1" applyBorder="1" applyAlignment="1">
      <alignment wrapText="1"/>
    </xf>
    <xf numFmtId="0" fontId="8" fillId="20" borderId="35" xfId="0" applyFont="1" applyFill="1" applyBorder="1" applyAlignment="1">
      <alignment wrapText="1"/>
    </xf>
    <xf numFmtId="2" fontId="0" fillId="0" borderId="8" xfId="6" applyNumberFormat="1" applyFont="1" applyBorder="1"/>
    <xf numFmtId="0" fontId="0" fillId="0" borderId="17" xfId="0" applyBorder="1" applyAlignment="1">
      <alignment vertical="center"/>
    </xf>
    <xf numFmtId="1" fontId="0" fillId="0" borderId="8" xfId="0" applyNumberFormat="1" applyBorder="1" applyAlignment="1">
      <alignment vertical="center"/>
    </xf>
    <xf numFmtId="0" fontId="0" fillId="0" borderId="18" xfId="0" applyBorder="1" applyAlignment="1">
      <alignment vertical="center"/>
    </xf>
    <xf numFmtId="9" fontId="9" fillId="0" borderId="38" xfId="6" applyFont="1" applyBorder="1" applyAlignment="1">
      <alignment horizontal="right" wrapText="1"/>
    </xf>
    <xf numFmtId="2" fontId="0" fillId="0" borderId="42" xfId="0" applyNumberFormat="1" applyBorder="1" applyAlignment="1">
      <alignment horizontal="right"/>
    </xf>
    <xf numFmtId="0" fontId="0" fillId="0" borderId="42" xfId="0" applyBorder="1" applyAlignment="1">
      <alignment horizontal="right"/>
    </xf>
    <xf numFmtId="0" fontId="10" fillId="38" borderId="8" xfId="0" applyFont="1" applyFill="1" applyBorder="1" applyAlignment="1">
      <alignment horizontal="left"/>
    </xf>
    <xf numFmtId="1" fontId="0" fillId="0" borderId="0" xfId="6" applyNumberFormat="1" applyFont="1" applyAlignment="1">
      <alignment vertical="center"/>
    </xf>
    <xf numFmtId="0" fontId="8" fillId="20" borderId="12" xfId="0" applyFont="1" applyFill="1" applyBorder="1" applyAlignment="1">
      <alignment wrapText="1"/>
    </xf>
    <xf numFmtId="0" fontId="8" fillId="20" borderId="6" xfId="0" applyFont="1" applyFill="1" applyBorder="1" applyAlignment="1">
      <alignment horizontal="center" vertical="center" wrapText="1"/>
    </xf>
    <xf numFmtId="0" fontId="8" fillId="19" borderId="12" xfId="0" applyFont="1" applyFill="1" applyBorder="1" applyAlignment="1">
      <alignment horizontal="center" vertical="center"/>
    </xf>
    <xf numFmtId="0" fontId="10" fillId="19" borderId="12" xfId="0" applyFont="1" applyFill="1" applyBorder="1" applyAlignment="1">
      <alignment horizontal="left"/>
    </xf>
    <xf numFmtId="0" fontId="8" fillId="20" borderId="12" xfId="0" applyFont="1" applyFill="1" applyBorder="1" applyAlignment="1">
      <alignment vertical="top" wrapText="1"/>
    </xf>
    <xf numFmtId="0" fontId="8" fillId="20" borderId="6" xfId="0" applyFont="1" applyFill="1" applyBorder="1" applyAlignment="1">
      <alignment vertical="top" wrapText="1"/>
    </xf>
    <xf numFmtId="0" fontId="8"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wrapText="1"/>
    </xf>
    <xf numFmtId="0" fontId="8" fillId="20" borderId="8" xfId="0" applyFont="1" applyFill="1" applyBorder="1" applyAlignment="1">
      <alignment horizontal="center" vertical="center"/>
    </xf>
    <xf numFmtId="0" fontId="10" fillId="22" borderId="8" xfId="0" applyFont="1" applyFill="1" applyBorder="1" applyAlignment="1">
      <alignment horizontal="center" vertical="center" wrapText="1"/>
    </xf>
    <xf numFmtId="9" fontId="8" fillId="20" borderId="8" xfId="6" applyFont="1" applyFill="1" applyBorder="1" applyAlignment="1">
      <alignment wrapText="1"/>
    </xf>
    <xf numFmtId="1" fontId="9" fillId="0" borderId="0" xfId="0" applyNumberFormat="1" applyFont="1" applyAlignment="1">
      <alignment horizontal="right" wrapText="1"/>
    </xf>
    <xf numFmtId="0" fontId="9" fillId="0" borderId="0" xfId="0" applyFont="1" applyAlignment="1">
      <alignment horizontal="right" wrapText="1"/>
    </xf>
    <xf numFmtId="1" fontId="0" fillId="0" borderId="0" xfId="0" applyNumberFormat="1" applyAlignment="1">
      <alignment vertical="center"/>
    </xf>
    <xf numFmtId="0" fontId="8" fillId="19" borderId="17" xfId="0" applyFont="1" applyFill="1" applyBorder="1" applyAlignment="1">
      <alignment horizontal="center" vertical="center"/>
    </xf>
    <xf numFmtId="0" fontId="10" fillId="19" borderId="17" xfId="0" applyFont="1" applyFill="1" applyBorder="1" applyAlignment="1">
      <alignment horizontal="left"/>
    </xf>
    <xf numFmtId="0" fontId="8" fillId="20" borderId="17" xfId="0" applyFont="1" applyFill="1" applyBorder="1" applyAlignment="1">
      <alignment vertical="top" wrapText="1"/>
    </xf>
    <xf numFmtId="169" fontId="0" fillId="0" borderId="8" xfId="7" applyNumberFormat="1" applyFont="1" applyBorder="1"/>
    <xf numFmtId="2" fontId="0" fillId="0" borderId="4" xfId="0" applyNumberFormat="1" applyBorder="1" applyAlignment="1">
      <alignment wrapText="1"/>
    </xf>
    <xf numFmtId="0" fontId="4" fillId="0" borderId="0" xfId="2" applyAlignment="1">
      <alignment horizontal="left" vertical="top" wrapText="1"/>
    </xf>
    <xf numFmtId="0" fontId="9" fillId="0" borderId="0" xfId="2" applyFont="1" applyAlignment="1">
      <alignment horizontal="left" vertical="top"/>
    </xf>
    <xf numFmtId="0" fontId="2" fillId="0" borderId="6" xfId="0" applyFont="1" applyBorder="1"/>
    <xf numFmtId="0" fontId="20" fillId="0" borderId="0" xfId="2" applyFont="1" applyAlignment="1">
      <alignment horizontal="left" vertical="top"/>
    </xf>
    <xf numFmtId="0" fontId="20" fillId="0" borderId="0" xfId="2" applyFont="1" applyAlignment="1">
      <alignment horizontal="center" vertical="top" wrapText="1"/>
    </xf>
    <xf numFmtId="0" fontId="0" fillId="4" borderId="8" xfId="0" applyFill="1" applyBorder="1"/>
    <xf numFmtId="0" fontId="0" fillId="20" borderId="8" xfId="0" applyFill="1" applyBorder="1"/>
    <xf numFmtId="0" fontId="22" fillId="41" borderId="0" xfId="0" applyFont="1" applyFill="1"/>
    <xf numFmtId="0" fontId="23" fillId="39" borderId="61" xfId="0" applyFont="1" applyFill="1" applyBorder="1" applyAlignment="1">
      <alignment horizontal="center" vertical="center" wrapText="1"/>
    </xf>
    <xf numFmtId="0" fontId="24" fillId="0" borderId="61" xfId="0" applyFont="1" applyBorder="1" applyAlignment="1">
      <alignment vertical="center" wrapText="1"/>
    </xf>
    <xf numFmtId="49" fontId="24" fillId="0" borderId="61" xfId="0" applyNumberFormat="1" applyFont="1" applyBorder="1" applyAlignment="1">
      <alignment vertical="center" wrapText="1"/>
    </xf>
    <xf numFmtId="1" fontId="24" fillId="0" borderId="61" xfId="0" applyNumberFormat="1" applyFont="1" applyBorder="1" applyAlignment="1">
      <alignment vertical="center" wrapText="1"/>
    </xf>
    <xf numFmtId="2" fontId="24" fillId="0" borderId="61" xfId="0" applyNumberFormat="1" applyFont="1" applyBorder="1" applyAlignment="1">
      <alignment vertical="center" wrapText="1"/>
    </xf>
    <xf numFmtId="0" fontId="22" fillId="0" borderId="8" xfId="0" applyFont="1" applyBorder="1"/>
    <xf numFmtId="0" fontId="13" fillId="0" borderId="8" xfId="0" applyFont="1" applyBorder="1"/>
    <xf numFmtId="0" fontId="8" fillId="18" borderId="8" xfId="0" applyFont="1" applyFill="1" applyBorder="1" applyAlignment="1">
      <alignment horizontal="center" vertical="center" wrapText="1"/>
    </xf>
    <xf numFmtId="1" fontId="22" fillId="43" borderId="61" xfId="0" applyNumberFormat="1" applyFont="1" applyFill="1" applyBorder="1" applyAlignment="1">
      <alignment horizontal="right" vertical="center"/>
    </xf>
    <xf numFmtId="0" fontId="23" fillId="20" borderId="61" xfId="0" applyFont="1" applyFill="1" applyBorder="1" applyAlignment="1">
      <alignment horizontal="center" vertical="center" wrapText="1"/>
    </xf>
    <xf numFmtId="4" fontId="24" fillId="0" borderId="61" xfId="0" applyNumberFormat="1" applyFont="1" applyBorder="1" applyAlignment="1">
      <alignment vertical="center" wrapText="1"/>
    </xf>
    <xf numFmtId="169" fontId="19" fillId="0" borderId="0" xfId="7" applyNumberFormat="1"/>
    <xf numFmtId="2" fontId="0" fillId="11" borderId="3" xfId="0" applyNumberFormat="1" applyFill="1" applyBorder="1"/>
    <xf numFmtId="0" fontId="0" fillId="0" borderId="4" xfId="0" applyBorder="1" applyAlignment="1">
      <alignment horizontal="center" wrapText="1"/>
    </xf>
    <xf numFmtId="0" fontId="0" fillId="11" borderId="4" xfId="0" applyFill="1" applyBorder="1" applyAlignment="1">
      <alignment horizontal="center" wrapText="1"/>
    </xf>
    <xf numFmtId="0" fontId="0" fillId="0" borderId="4" xfId="0" applyBorder="1" applyAlignment="1">
      <alignment horizontal="center"/>
    </xf>
    <xf numFmtId="0" fontId="0" fillId="11" borderId="4" xfId="0" applyFill="1"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2" xfId="0" applyBorder="1" applyAlignment="1">
      <alignment horizontal="center" wrapText="1"/>
    </xf>
    <xf numFmtId="0" fontId="0" fillId="0" borderId="6" xfId="0" applyBorder="1" applyAlignment="1">
      <alignment horizontal="center"/>
    </xf>
    <xf numFmtId="169" fontId="19" fillId="11" borderId="0" xfId="7" applyNumberFormat="1" applyFill="1"/>
    <xf numFmtId="2" fontId="0" fillId="11" borderId="0" xfId="0" applyNumberFormat="1" applyFill="1" applyAlignment="1">
      <alignment horizontal="center" wrapText="1"/>
    </xf>
    <xf numFmtId="2" fontId="0" fillId="11" borderId="0" xfId="0" applyNumberFormat="1" applyFill="1" applyAlignment="1">
      <alignment horizontal="center"/>
    </xf>
    <xf numFmtId="0" fontId="4" fillId="0" borderId="18" xfId="2" applyBorder="1" applyAlignment="1">
      <alignment horizontal="left" vertical="top"/>
    </xf>
    <xf numFmtId="0" fontId="2" fillId="17" borderId="6" xfId="0" applyFont="1" applyFill="1" applyBorder="1" applyAlignment="1">
      <alignment horizontal="center" vertical="center" wrapText="1"/>
    </xf>
    <xf numFmtId="164" fontId="2" fillId="17" borderId="9" xfId="1" applyNumberFormat="1" applyFont="1" applyFill="1" applyBorder="1" applyAlignment="1">
      <alignment horizontal="center" vertical="center" wrapText="1"/>
    </xf>
    <xf numFmtId="0" fontId="2" fillId="17" borderId="7" xfId="0" applyFont="1" applyFill="1" applyBorder="1" applyAlignment="1">
      <alignment horizontal="center" vertical="center" wrapText="1"/>
    </xf>
    <xf numFmtId="9" fontId="19" fillId="0" borderId="0" xfId="6"/>
    <xf numFmtId="0" fontId="0" fillId="0" borderId="0" xfId="0" applyAlignment="1">
      <alignment vertical="center" wrapText="1"/>
    </xf>
    <xf numFmtId="0" fontId="0" fillId="0" borderId="0" xfId="0" applyAlignment="1">
      <alignment horizontal="right" vertical="center" wrapText="1"/>
    </xf>
    <xf numFmtId="0" fontId="2" fillId="0" borderId="0" xfId="0" applyFont="1" applyAlignment="1">
      <alignment horizontal="right" vertical="center" wrapText="1"/>
    </xf>
    <xf numFmtId="0" fontId="0" fillId="0" borderId="66" xfId="0" applyBorder="1"/>
    <xf numFmtId="0" fontId="0" fillId="0" borderId="13" xfId="0" applyBorder="1" applyAlignment="1">
      <alignment horizontal="center"/>
    </xf>
    <xf numFmtId="0" fontId="0" fillId="11" borderId="18" xfId="0" applyFill="1" applyBorder="1" applyAlignment="1">
      <alignment horizontal="center" wrapText="1"/>
    </xf>
    <xf numFmtId="0" fontId="4" fillId="0" borderId="0" xfId="2" applyAlignment="1">
      <alignment horizontal="left" vertical="top"/>
    </xf>
    <xf numFmtId="0" fontId="0" fillId="11" borderId="18" xfId="0" applyFill="1" applyBorder="1"/>
    <xf numFmtId="0" fontId="4" fillId="0" borderId="18" xfId="2" applyBorder="1"/>
    <xf numFmtId="2" fontId="0" fillId="0" borderId="1" xfId="0" applyNumberFormat="1" applyBorder="1"/>
    <xf numFmtId="2" fontId="0" fillId="0" borderId="2" xfId="0" applyNumberFormat="1" applyBorder="1"/>
    <xf numFmtId="164" fontId="0" fillId="5" borderId="3" xfId="1" applyNumberFormat="1" applyFont="1" applyFill="1" applyBorder="1"/>
    <xf numFmtId="164" fontId="0" fillId="0" borderId="7" xfId="0" applyNumberFormat="1" applyBorder="1"/>
    <xf numFmtId="164" fontId="0" fillId="0" borderId="1" xfId="1" applyNumberFormat="1" applyFont="1" applyBorder="1"/>
    <xf numFmtId="164" fontId="0" fillId="0" borderId="5" xfId="0" applyNumberFormat="1" applyBorder="1"/>
    <xf numFmtId="171" fontId="0" fillId="0" borderId="3" xfId="0" applyNumberFormat="1" applyBorder="1"/>
    <xf numFmtId="164" fontId="0" fillId="24" borderId="4" xfId="1" applyNumberFormat="1" applyFont="1" applyFill="1" applyBorder="1"/>
    <xf numFmtId="164" fontId="0" fillId="11" borderId="11" xfId="1" applyNumberFormat="1" applyFont="1" applyFill="1" applyBorder="1"/>
    <xf numFmtId="164" fontId="0" fillId="0" borderId="1" xfId="1" applyNumberFormat="1" applyFont="1" applyBorder="1" applyAlignment="1">
      <alignment horizontal="left" indent="2"/>
    </xf>
    <xf numFmtId="164" fontId="0" fillId="0" borderId="2" xfId="1" applyNumberFormat="1" applyFont="1" applyBorder="1" applyAlignment="1">
      <alignment horizontal="left" indent="2"/>
    </xf>
    <xf numFmtId="0" fontId="0" fillId="0" borderId="66" xfId="0" applyBorder="1" applyAlignment="1">
      <alignment wrapText="1"/>
    </xf>
    <xf numFmtId="0" fontId="0" fillId="11" borderId="66" xfId="0" applyFill="1" applyBorder="1"/>
    <xf numFmtId="0" fontId="0" fillId="11" borderId="66" xfId="0" applyFill="1" applyBorder="1" applyAlignment="1">
      <alignment wrapText="1"/>
    </xf>
    <xf numFmtId="0" fontId="0" fillId="0" borderId="67" xfId="0" applyBorder="1"/>
    <xf numFmtId="0" fontId="1" fillId="0" borderId="0" xfId="0" applyFont="1"/>
    <xf numFmtId="2" fontId="1" fillId="0" borderId="61" xfId="0" applyNumberFormat="1" applyFont="1" applyBorder="1" applyAlignment="1">
      <alignment vertical="center" wrapText="1"/>
    </xf>
    <xf numFmtId="3" fontId="1" fillId="0" borderId="61" xfId="0" applyNumberFormat="1" applyFont="1" applyBorder="1" applyAlignment="1">
      <alignment vertical="center" wrapText="1"/>
    </xf>
    <xf numFmtId="1" fontId="1" fillId="0" borderId="61" xfId="0" applyNumberFormat="1" applyFont="1" applyBorder="1" applyAlignment="1">
      <alignment vertical="center" wrapText="1"/>
    </xf>
    <xf numFmtId="4" fontId="1" fillId="0" borderId="61" xfId="0" applyNumberFormat="1" applyFont="1" applyBorder="1" applyAlignment="1">
      <alignment vertical="center" wrapText="1"/>
    </xf>
    <xf numFmtId="0" fontId="1" fillId="0" borderId="61" xfId="0" applyFont="1" applyBorder="1" applyAlignment="1">
      <alignment vertical="center" wrapText="1"/>
    </xf>
    <xf numFmtId="0" fontId="13" fillId="42" borderId="54" xfId="0" applyFont="1" applyFill="1" applyBorder="1" applyAlignment="1">
      <alignment vertical="center" wrapText="1"/>
    </xf>
    <xf numFmtId="0" fontId="15" fillId="42" borderId="54" xfId="0" applyFont="1" applyFill="1" applyBorder="1" applyAlignment="1">
      <alignment vertical="center" wrapText="1"/>
    </xf>
    <xf numFmtId="0" fontId="0" fillId="5" borderId="3" xfId="0" applyFill="1" applyBorder="1" applyAlignment="1">
      <alignment horizontal="right" wrapText="1"/>
    </xf>
    <xf numFmtId="0" fontId="0" fillId="5" borderId="0" xfId="0" applyFill="1" applyAlignment="1">
      <alignment horizontal="right" wrapText="1"/>
    </xf>
    <xf numFmtId="2" fontId="0" fillId="0" borderId="0" xfId="0" applyNumberFormat="1" applyAlignment="1">
      <alignment horizontal="right" wrapText="1"/>
    </xf>
    <xf numFmtId="2" fontId="0" fillId="0" borderId="0" xfId="0" applyNumberFormat="1" applyAlignment="1">
      <alignment horizontal="right"/>
    </xf>
    <xf numFmtId="0" fontId="0" fillId="5" borderId="0" xfId="0" applyFill="1" applyAlignment="1">
      <alignment horizontal="right"/>
    </xf>
    <xf numFmtId="0" fontId="0" fillId="11" borderId="5" xfId="0" applyFill="1" applyBorder="1"/>
    <xf numFmtId="2" fontId="0" fillId="0" borderId="5" xfId="0" applyNumberFormat="1" applyBorder="1"/>
    <xf numFmtId="2" fontId="0" fillId="0" borderId="6" xfId="0" applyNumberFormat="1" applyBorder="1"/>
    <xf numFmtId="164" fontId="0" fillId="11" borderId="5" xfId="1" applyNumberFormat="1" applyFont="1" applyFill="1" applyBorder="1"/>
    <xf numFmtId="3" fontId="0" fillId="11" borderId="5" xfId="0" applyNumberFormat="1" applyFill="1" applyBorder="1"/>
    <xf numFmtId="1" fontId="0" fillId="0" borderId="9" xfId="0" applyNumberFormat="1" applyBorder="1"/>
    <xf numFmtId="2" fontId="0" fillId="11" borderId="0" xfId="0" applyNumberFormat="1" applyFill="1" applyAlignment="1">
      <alignment vertical="center"/>
    </xf>
    <xf numFmtId="0" fontId="2" fillId="0" borderId="29" xfId="0" applyFont="1" applyBorder="1" applyAlignment="1">
      <alignment horizontal="left" vertical="top" wrapText="1"/>
    </xf>
    <xf numFmtId="0" fontId="0" fillId="0" borderId="15" xfId="0" applyBorder="1"/>
    <xf numFmtId="0" fontId="0" fillId="0" borderId="16" xfId="0" applyBorder="1"/>
    <xf numFmtId="0" fontId="8" fillId="17" borderId="8" xfId="0" applyFont="1" applyFill="1" applyBorder="1" applyAlignment="1">
      <alignment horizontal="center" vertical="center" wrapText="1"/>
    </xf>
    <xf numFmtId="0" fontId="0" fillId="0" borderId="17" xfId="0" applyBorder="1"/>
    <xf numFmtId="0" fontId="0" fillId="0" borderId="12" xfId="0" applyBorder="1"/>
    <xf numFmtId="0" fontId="11" fillId="20" borderId="59" xfId="0" applyFont="1" applyFill="1" applyBorder="1" applyAlignment="1">
      <alignment horizontal="center" vertical="center" wrapText="1"/>
    </xf>
    <xf numFmtId="0" fontId="0" fillId="0" borderId="32" xfId="0" applyBorder="1"/>
    <xf numFmtId="0" fontId="0" fillId="0" borderId="36" xfId="0" applyBorder="1"/>
    <xf numFmtId="0" fontId="11" fillId="20" borderId="14" xfId="0" applyFont="1" applyFill="1" applyBorder="1" applyAlignment="1">
      <alignment horizontal="center" vertical="center" wrapText="1"/>
    </xf>
    <xf numFmtId="0" fontId="0" fillId="0" borderId="22" xfId="0" applyBorder="1"/>
    <xf numFmtId="0" fontId="0" fillId="0" borderId="24" xfId="0" applyBorder="1"/>
    <xf numFmtId="0" fontId="8" fillId="17" borderId="19" xfId="0" applyFont="1" applyFill="1" applyBorder="1" applyAlignment="1">
      <alignment horizontal="center" vertical="center" wrapText="1"/>
    </xf>
    <xf numFmtId="0" fontId="0" fillId="0" borderId="20" xfId="0" applyBorder="1"/>
    <xf numFmtId="0" fontId="11" fillId="20" borderId="33" xfId="0" applyFont="1" applyFill="1" applyBorder="1" applyAlignment="1">
      <alignment horizontal="center" vertical="center" wrapText="1"/>
    </xf>
    <xf numFmtId="0" fontId="8" fillId="17" borderId="14" xfId="0" applyFont="1" applyFill="1" applyBorder="1" applyAlignment="1">
      <alignment horizontal="center" vertical="center" wrapText="1"/>
    </xf>
    <xf numFmtId="0" fontId="8" fillId="17" borderId="12" xfId="0" applyFont="1" applyFill="1" applyBorder="1" applyAlignment="1">
      <alignment horizontal="center" vertical="center" wrapText="1"/>
    </xf>
    <xf numFmtId="0" fontId="11" fillId="20" borderId="24" xfId="0" applyFont="1" applyFill="1" applyBorder="1" applyAlignment="1">
      <alignment horizontal="center" vertical="center" wrapText="1"/>
    </xf>
    <xf numFmtId="0" fontId="8" fillId="17" borderId="6" xfId="0" applyFont="1" applyFill="1" applyBorder="1" applyAlignment="1">
      <alignment horizontal="left" vertical="center"/>
    </xf>
    <xf numFmtId="0" fontId="0" fillId="0" borderId="6" xfId="0" applyBorder="1"/>
    <xf numFmtId="0" fontId="8" fillId="17" borderId="60" xfId="0" applyFont="1" applyFill="1" applyBorder="1" applyAlignment="1">
      <alignment horizontal="center" vertical="center" wrapText="1"/>
    </xf>
    <xf numFmtId="0" fontId="0" fillId="0" borderId="28" xfId="0" applyBorder="1"/>
    <xf numFmtId="0" fontId="0" fillId="0" borderId="56" xfId="0" applyBorder="1"/>
    <xf numFmtId="0" fontId="8" fillId="17" borderId="8" xfId="0" applyFont="1" applyFill="1" applyBorder="1" applyAlignment="1">
      <alignment horizontal="left" vertical="center"/>
    </xf>
    <xf numFmtId="0" fontId="8" fillId="17" borderId="5" xfId="0" applyFont="1" applyFill="1" applyBorder="1" applyAlignment="1">
      <alignment horizontal="center" vertical="center" wrapText="1"/>
    </xf>
    <xf numFmtId="0" fontId="8" fillId="17" borderId="18" xfId="0" applyFont="1" applyFill="1" applyBorder="1" applyAlignment="1">
      <alignment horizontal="center" vertical="center" wrapText="1"/>
    </xf>
    <xf numFmtId="0" fontId="8" fillId="17" borderId="8" xfId="0" applyFont="1" applyFill="1" applyBorder="1" applyAlignment="1">
      <alignment horizontal="center" vertical="center"/>
    </xf>
    <xf numFmtId="0" fontId="0" fillId="0" borderId="0" xfId="0" applyAlignment="1">
      <alignment horizontal="center" vertical="center"/>
    </xf>
    <xf numFmtId="0" fontId="0" fillId="0" borderId="0" xfId="0"/>
    <xf numFmtId="0" fontId="0" fillId="0" borderId="0" xfId="0" applyAlignment="1">
      <alignment horizontal="center"/>
    </xf>
    <xf numFmtId="0" fontId="18" fillId="40" borderId="8" xfId="0" applyFont="1" applyFill="1" applyBorder="1" applyAlignment="1">
      <alignment horizontal="center" vertical="center"/>
    </xf>
    <xf numFmtId="0" fontId="23" fillId="20" borderId="0" xfId="0" applyFont="1" applyFill="1" applyAlignment="1">
      <alignment horizontal="center" vertical="center"/>
    </xf>
    <xf numFmtId="0" fontId="21" fillId="20" borderId="0" xfId="0" applyFont="1" applyFill="1" applyAlignment="1">
      <alignment horizontal="center" vertical="center"/>
    </xf>
    <xf numFmtId="0" fontId="25" fillId="30" borderId="0" xfId="0" applyFont="1" applyFill="1" applyAlignment="1">
      <alignment horizontal="center" vertical="center" wrapText="1"/>
    </xf>
    <xf numFmtId="0" fontId="23" fillId="20" borderId="62" xfId="0" applyFont="1" applyFill="1" applyBorder="1" applyAlignment="1">
      <alignment horizontal="center" vertical="center"/>
    </xf>
    <xf numFmtId="0" fontId="0" fillId="0" borderId="62" xfId="0" applyBorder="1"/>
    <xf numFmtId="2" fontId="22" fillId="43" borderId="65" xfId="0" applyNumberFormat="1" applyFont="1" applyFill="1" applyBorder="1" applyAlignment="1">
      <alignment horizontal="left" vertical="center" wrapText="1"/>
    </xf>
    <xf numFmtId="0" fontId="0" fillId="0" borderId="63" xfId="0" applyBorder="1"/>
    <xf numFmtId="0" fontId="0" fillId="0" borderId="64" xfId="0" applyBorder="1"/>
    <xf numFmtId="0" fontId="0" fillId="42" borderId="1" xfId="0" applyFill="1" applyBorder="1" applyAlignment="1">
      <alignment horizontal="left" vertical="top" wrapText="1"/>
    </xf>
    <xf numFmtId="0" fontId="0" fillId="42" borderId="2" xfId="0" applyFill="1" applyBorder="1" applyAlignment="1">
      <alignment horizontal="left" vertical="top" wrapText="1"/>
    </xf>
    <xf numFmtId="0" fontId="0" fillId="42" borderId="13" xfId="0" applyFill="1" applyBorder="1" applyAlignment="1">
      <alignment horizontal="left" vertical="top" wrapText="1"/>
    </xf>
    <xf numFmtId="0" fontId="0" fillId="42" borderId="5" xfId="0" applyFill="1" applyBorder="1" applyAlignment="1">
      <alignment horizontal="left" vertical="top" wrapText="1"/>
    </xf>
    <xf numFmtId="0" fontId="0" fillId="42" borderId="6" xfId="0" applyFill="1" applyBorder="1" applyAlignment="1">
      <alignment horizontal="left" vertical="top" wrapText="1"/>
    </xf>
    <xf numFmtId="0" fontId="0" fillId="42" borderId="7" xfId="0" applyFill="1" applyBorder="1" applyAlignment="1">
      <alignment horizontal="left" vertical="top" wrapText="1"/>
    </xf>
    <xf numFmtId="0" fontId="16" fillId="29" borderId="54" xfId="0" applyFont="1" applyFill="1" applyBorder="1" applyAlignment="1">
      <alignment horizontal="center"/>
    </xf>
    <xf numFmtId="0" fontId="0" fillId="0" borderId="53" xfId="0" applyBorder="1"/>
    <xf numFmtId="0" fontId="12" fillId="26" borderId="0" xfId="0" applyFont="1" applyFill="1" applyAlignment="1">
      <alignment wrapText="1"/>
    </xf>
    <xf numFmtId="0" fontId="12" fillId="26" borderId="54" xfId="0" applyFont="1" applyFill="1" applyBorder="1" applyAlignment="1">
      <alignment wrapText="1"/>
    </xf>
    <xf numFmtId="0" fontId="17" fillId="20" borderId="0" xfId="0" applyFont="1" applyFill="1" applyAlignment="1">
      <alignment horizontal="center"/>
    </xf>
    <xf numFmtId="0" fontId="0" fillId="0" borderId="55" xfId="0" applyBorder="1"/>
    <xf numFmtId="0" fontId="16" fillId="17" borderId="54" xfId="0" applyFont="1" applyFill="1" applyBorder="1" applyAlignment="1">
      <alignment horizontal="center"/>
    </xf>
  </cellXfs>
  <cellStyles count="9">
    <cellStyle name="Bad" xfId="4" builtinId="27"/>
    <cellStyle name="Comma" xfId="1" builtinId="3"/>
    <cellStyle name="Currency" xfId="7" builtinId="4"/>
    <cellStyle name="Good" xfId="3" builtinId="26"/>
    <cellStyle name="Hyperlink" xfId="2" builtinId="8"/>
    <cellStyle name="Neutral" xfId="5" builtinId="28"/>
    <cellStyle name="Normal" xfId="0" builtinId="0"/>
    <cellStyle name="Normal 2" xfId="8" xr:uid="{00000000-0005-0000-0000-000008000000}"/>
    <cellStyle name="Percent" xfId="6" builtinId="5"/>
  </cellStyles>
  <dxfs count="155">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numFmt numFmtId="2" formatCode="0.00"/>
      <fill>
        <patternFill>
          <fgColor indexed="64"/>
          <bgColor indexed="65"/>
        </patternFill>
      </fill>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border>
        <left/>
        <right style="thin">
          <color indexed="64"/>
        </right>
        <top/>
        <bottom/>
        <vertical/>
        <horizontal/>
      </border>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alignment horizontal="left" vertical="bottom" indent="2"/>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dxf>
    <dxf>
      <font>
        <strike val="0"/>
        <condense val="0"/>
        <extend val="0"/>
        <outline val="0"/>
        <shadow val="0"/>
        <vertAlign val="baseline"/>
        <sz val="11"/>
        <color theme="1"/>
        <name val="Aptos Narrow"/>
        <family val="2"/>
        <scheme val="minor"/>
      </font>
      <fill>
        <patternFill>
          <fgColor indexed="64"/>
          <bgColor indexed="65"/>
        </patternFill>
      </fill>
      <border>
        <left style="thin">
          <color indexed="64"/>
        </left>
        <right/>
        <top/>
        <bottom/>
        <vertical/>
        <horizontal/>
      </border>
    </dxf>
    <dxf>
      <numFmt numFmtId="164" formatCode="_-* #,##0_-;\-* #,##0_-;_-* &quot;-&quot;??_-;_-@_-"/>
      <border>
        <left style="thin">
          <color indexed="64"/>
        </left>
        <right/>
        <top/>
        <bottom/>
        <vertical/>
        <horizontal/>
      </border>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dxf>
    <dxf>
      <numFmt numFmtId="164" formatCode="_-* #,##0_-;\-* #,##0_-;_-* &quot;-&quot;??_-;_-@_-"/>
    </dxf>
    <dxf>
      <numFmt numFmtId="164" formatCode="_-* #,##0_-;\-* #,##0_-;_-* &quot;-&quot;??_-;_-@_-"/>
    </dxf>
    <dxf>
      <numFmt numFmtId="164" formatCode="_-* #,##0_-;\-* #,##0_-;_-* &quot;-&quot;??_-;_-@_-"/>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dxf>
    <dxf>
      <font>
        <strike val="0"/>
        <condense val="0"/>
        <extend val="0"/>
        <outline val="0"/>
        <shadow val="0"/>
        <vertAlign val="baseline"/>
        <sz val="11"/>
        <color theme="1"/>
        <name val="Aptos Narrow"/>
        <family val="2"/>
        <scheme val="minor"/>
      </font>
      <numFmt numFmtId="164" formatCode="_-* #,##0_-;\-* #,##0_-;_-* &quot;-&quot;??_-;_-@_-"/>
    </dxf>
    <dxf>
      <numFmt numFmtId="3" formatCode="#,##0"/>
    </dxf>
    <dxf>
      <alignment horizontal="general" vertical="bottom" wrapText="1"/>
      <border>
        <left/>
        <right style="thin">
          <color indexed="64"/>
        </right>
        <top/>
        <bottom/>
        <vertical/>
        <horizontal/>
      </border>
    </dxf>
    <dxf>
      <numFmt numFmtId="2" formatCode="0.00"/>
      <fill>
        <patternFill>
          <fgColor indexed="64"/>
          <bgColor indexed="65"/>
        </patternFill>
      </fill>
    </dxf>
    <dxf>
      <border>
        <left/>
        <right style="thin">
          <color indexed="64"/>
        </right>
        <top/>
        <bottom/>
        <vertical/>
        <horizontal/>
      </border>
    </dxf>
    <dxf>
      <alignment horizontal="general" vertical="bottom" wrapText="1"/>
    </dxf>
    <dxf>
      <fill>
        <patternFill>
          <fgColor indexed="64"/>
          <bgColor indexed="65"/>
        </patternFill>
      </fill>
    </dxf>
    <dxf>
      <border outline="0">
        <top style="thin">
          <color indexed="64"/>
        </top>
      </border>
    </dxf>
    <dxf>
      <border outline="0">
        <bottom style="thin">
          <color indexed="64"/>
        </bottom>
      </border>
    </dxf>
    <dxf>
      <alignment horizontal="center" vertical="bottom"/>
    </dxf>
    <dxf>
      <numFmt numFmtId="2" formatCode="0.00"/>
      <alignment horizontal="general" vertical="bottom" wrapText="1"/>
    </dxf>
    <dxf>
      <numFmt numFmtId="2" formatCode="0.00"/>
      <fill>
        <patternFill>
          <fgColor indexed="64"/>
          <bgColor indexed="65"/>
        </patternFill>
      </fill>
    </dxf>
    <dxf>
      <numFmt numFmtId="2" formatCode="0.00"/>
      <alignment horizontal="center" vertical="bottom" wrapText="1"/>
    </dxf>
    <dxf>
      <font>
        <strike val="0"/>
        <condense val="0"/>
        <extend val="0"/>
        <outline val="0"/>
        <shadow val="0"/>
        <vertAlign val="baseline"/>
        <sz val="11"/>
        <color theme="1"/>
        <name val="Aptos Narrow"/>
        <family val="2"/>
        <scheme val="minor"/>
      </font>
      <numFmt numFmtId="2" formatCode="0.00"/>
      <fill>
        <patternFill>
          <fgColor indexed="64"/>
          <bgColor indexed="65"/>
        </patternFill>
      </fill>
      <alignment horizontal="general" vertical="bottom" wrapText="1"/>
    </dxf>
    <dxf>
      <numFmt numFmtId="169" formatCode="_(&quot;$&quot;* #,##0_);_(&quot;$&quot;* \(#,##0\);_(&quot;$&quot;* &quot;-&quot;??_);_(@_)"/>
    </dxf>
    <dxf>
      <alignment horizontal="general" vertical="bottom" wrapText="1"/>
    </dxf>
    <dxf>
      <numFmt numFmtId="2" formatCode="0.00"/>
    </dxf>
    <dxf>
      <numFmt numFmtId="2" formatCode="0.00"/>
    </dxf>
    <dxf>
      <numFmt numFmtId="1" formatCode="0"/>
    </dxf>
    <dxf>
      <numFmt numFmtId="2" formatCode="0.00"/>
    </dxf>
    <dxf>
      <numFmt numFmtId="1" formatCode="0"/>
    </dxf>
    <dxf>
      <numFmt numFmtId="2" formatCode="0.00"/>
    </dxf>
    <dxf>
      <numFmt numFmtId="2" formatCode="0.00"/>
    </dxf>
    <dxf>
      <numFmt numFmtId="2" formatCode="0.00"/>
    </dxf>
    <dxf>
      <numFmt numFmtId="2" formatCode="0.00"/>
    </dxf>
    <dxf>
      <numFmt numFmtId="2" formatCode="0.00"/>
    </dxf>
    <dxf>
      <numFmt numFmtId="2" formatCode="0.00"/>
    </dxf>
    <dxf>
      <numFmt numFmtId="0" formatCode="General"/>
      <alignment horizontal="center" vertical="bottom"/>
    </dxf>
    <dxf>
      <numFmt numFmtId="169" formatCode="_(&quot;$&quot;* #,##0_);_(&quot;$&quot;* \(#,##0\);_(&quot;$&quot;* &quot;-&quot;??_);_(@_)"/>
    </dxf>
    <dxf>
      <numFmt numFmtId="169" formatCode="_(&quot;$&quot;* #,##0_);_(&quot;$&quot;* \(#,##0\);_(&quot;$&quot;* &quot;-&quot;??_);_(@_)"/>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numFmt numFmtId="0" formatCode="Genera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alignment horizontal="center" vertical="bottom"/>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alignment horizontal="general" vertical="bottom" wrapText="1"/>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border outline="0">
        <top style="thin">
          <color rgb="FF000000"/>
        </top>
      </border>
    </dxf>
    <dxf>
      <border outline="0">
        <bottom style="thin">
          <color rgb="FF000000"/>
        </bottom>
      </border>
    </dxf>
    <dxf>
      <font>
        <b/>
        <strike val="0"/>
        <condense val="0"/>
        <extend val="0"/>
        <outline val="0"/>
        <shadow val="0"/>
        <vertAlign val="baseline"/>
        <sz val="11"/>
        <color theme="1"/>
        <name val="Aptos Narrow"/>
        <family val="2"/>
        <scheme val="minor"/>
      </font>
      <fill>
        <patternFill patternType="solid">
          <fgColor indexed="64"/>
          <bgColor theme="5" tint="0.79998168889431442"/>
        </patternFill>
      </fill>
      <alignment horizontal="center" vertical="center" textRotation="0" wrapText="1" indent="0" justifyLastLine="0" shrinkToFit="0" readingOrder="0"/>
      <border outline="0">
        <left style="thin">
          <color indexed="64"/>
        </left>
        <right style="thin">
          <color indexed="64"/>
        </right>
        <top/>
        <bottom/>
      </border>
    </dxf>
    <dxf>
      <alignment horizontal="center" vertical="bottom"/>
    </dxf>
    <dxf>
      <numFmt numFmtId="2" formatCode="0.00"/>
      <alignment horizontal="general" vertical="bottom" wrapText="1"/>
    </dxf>
    <dxf>
      <numFmt numFmtId="2" formatCode="0.00"/>
      <fill>
        <patternFill>
          <fgColor indexed="64"/>
          <bgColor indexed="65"/>
        </patternFill>
      </fill>
    </dxf>
    <dxf>
      <numFmt numFmtId="2" formatCode="0.00"/>
      <alignment horizontal="general" vertical="bottom" wrapText="1"/>
    </dxf>
    <dxf>
      <font>
        <strike val="0"/>
        <condense val="0"/>
        <extend val="0"/>
        <outline val="0"/>
        <shadow val="0"/>
        <vertAlign val="baseline"/>
        <sz val="11"/>
        <color theme="1"/>
        <name val="Aptos Narrow"/>
        <family val="2"/>
        <scheme val="minor"/>
      </font>
      <numFmt numFmtId="2" formatCode="0.00"/>
      <fill>
        <patternFill>
          <fgColor indexed="64"/>
          <bgColor indexed="65"/>
        </patternFill>
      </fill>
      <alignment horizontal="general" vertical="bottom" wrapText="1"/>
    </dxf>
    <dxf>
      <alignment horizontal="general" vertical="bottom" wrapText="1"/>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numFmt numFmtId="0" formatCode="Genera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alignment horizontal="general" vertical="bottom" wrapText="1"/>
    </dxf>
    <dxf>
      <font>
        <strike val="0"/>
        <condense val="0"/>
        <extend val="0"/>
        <outline val="0"/>
        <shadow val="0"/>
        <vertAlign val="baseline"/>
        <sz val="11"/>
        <color theme="1"/>
        <name val="Aptos Narrow"/>
        <family val="2"/>
        <scheme val="minor"/>
      </font>
      <fill>
        <patternFill>
          <fgColor indexed="64"/>
          <bgColor indexed="65"/>
        </patternFill>
      </fill>
    </dxf>
    <dxf>
      <font>
        <strike val="0"/>
        <condense val="0"/>
        <extend val="0"/>
        <outline val="0"/>
        <shadow val="0"/>
        <vertAlign val="baseline"/>
        <sz val="11"/>
        <color theme="1"/>
        <name val="Aptos Narrow"/>
        <family val="2"/>
        <scheme val="minor"/>
      </font>
      <fill>
        <patternFill>
          <fgColor indexed="64"/>
          <bgColor indexed="65"/>
        </patternFill>
      </fill>
    </dxf>
    <dxf>
      <border outline="0">
        <top style="thin">
          <color indexed="64"/>
        </top>
      </border>
    </dxf>
    <dxf>
      <border outline="0">
        <bottom style="thin">
          <color indexed="64"/>
        </bottom>
      </border>
    </dxf>
    <dxf>
      <font>
        <b/>
        <strike val="0"/>
        <condense val="0"/>
        <extend val="0"/>
        <outline val="0"/>
        <shadow val="0"/>
        <vertAlign val="baseline"/>
        <sz val="11"/>
        <color theme="1"/>
        <name val="Aptos Narrow"/>
        <family val="2"/>
        <scheme val="minor"/>
      </font>
      <fill>
        <patternFill patternType="solid">
          <fgColor indexed="64"/>
          <bgColor theme="5" tint="0.79998168889431442"/>
        </patternFill>
      </fill>
      <alignment horizontal="center" vertical="center" wrapText="1"/>
      <border outline="0">
        <left style="thin">
          <color indexed="64"/>
        </left>
        <right style="thin">
          <color indexed="64"/>
        </right>
        <top/>
        <bottom/>
      </border>
    </dxf>
    <dxf>
      <alignment horizontal="left" vertical="top" wrapText="1"/>
      <border>
        <left style="thin">
          <color indexed="64"/>
        </left>
        <right/>
        <top style="thin">
          <color indexed="64"/>
        </top>
        <bottom style="thin">
          <color indexed="64"/>
        </bottom>
        <vertical/>
        <horizontal/>
      </border>
    </dxf>
    <dxf>
      <fill>
        <patternFill>
          <fgColor indexed="64"/>
          <bgColor indexed="65"/>
        </patternFill>
      </fill>
      <border>
        <left style="thin">
          <color indexed="64"/>
        </left>
        <right style="thin">
          <color indexed="64"/>
        </right>
        <top style="thin">
          <color indexed="64"/>
        </top>
        <bottom/>
        <vertical/>
        <horizontal/>
      </border>
    </dxf>
    <dxf>
      <fill>
        <patternFill>
          <fgColor indexed="64"/>
          <bgColor indexed="65"/>
        </patternFill>
      </fill>
      <border>
        <left/>
        <right style="thin">
          <color indexed="64"/>
        </right>
        <top style="thin">
          <color indexed="64"/>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condense val="0"/>
        <extend val="0"/>
        <outline val="0"/>
        <shadow val="0"/>
        <vertAlign val="baseline"/>
        <sz val="11"/>
        <color auto="1"/>
        <name val="Aptos Narrow"/>
        <family val="2"/>
        <scheme val="minor"/>
      </font>
      <alignment horizontal="left" vertical="top"/>
    </dxf>
    <dxf>
      <alignment horizontal="left" vertical="top" wrapText="1"/>
      <border>
        <left style="thin">
          <color indexed="64"/>
        </left>
        <right/>
        <top style="thin">
          <color indexed="64"/>
        </top>
        <bottom style="thin">
          <color indexed="64"/>
        </bottom>
        <vertical/>
        <horizontal/>
      </border>
    </dxf>
    <dxf>
      <alignment horizontal="general" vertical="bottom"/>
      <border>
        <left style="thin">
          <color indexed="64"/>
        </left>
        <right style="thin">
          <color indexed="64"/>
        </right>
        <top style="thin">
          <color indexed="64"/>
        </top>
        <bottom style="thin">
          <color indexed="64"/>
        </bottom>
        <vertical/>
        <horizontal/>
      </border>
    </dxf>
    <dxf>
      <border outline="0">
        <right style="thin">
          <color indexed="64"/>
        </right>
        <top style="thin">
          <color indexed="64"/>
        </top>
        <bottom style="thin">
          <color indexed="64"/>
        </bottom>
      </border>
    </dxf>
    <dxf>
      <border outline="0">
        <bottom style="thin">
          <color indexed="64"/>
        </bottom>
      </border>
    </dxf>
    <dxf>
      <numFmt numFmtId="2" formatCode="0.00"/>
      <fill>
        <patternFill>
          <fgColor indexed="64"/>
          <bgColor indexed="65"/>
        </patternFill>
      </fill>
      <border outline="0">
        <left style="thin">
          <color indexed="64"/>
        </left>
        <right style="thin">
          <color indexed="64"/>
        </right>
        <top/>
        <bottom/>
      </border>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border outline="0">
        <left/>
        <right style="thin">
          <color indexed="64"/>
        </right>
        <top/>
        <bottom/>
      </border>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alignment horizontal="left" vertical="bottom" indent="2"/>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alignment horizontal="left" vertical="bottom" indent="2"/>
      <border outline="0">
        <left style="thin">
          <color indexed="64"/>
        </left>
        <right/>
        <top/>
        <bottom/>
      </border>
    </dxf>
    <dxf>
      <font>
        <strike val="0"/>
        <condense val="0"/>
        <extend val="0"/>
        <outline val="0"/>
        <shadow val="0"/>
        <vertAlign val="baseline"/>
        <sz val="11"/>
        <color theme="1"/>
        <name val="Aptos Narrow"/>
        <family val="2"/>
        <scheme val="minor"/>
      </font>
      <fill>
        <patternFill>
          <fgColor indexed="64"/>
          <bgColor indexed="65"/>
        </patternFill>
      </fill>
      <border>
        <left style="thin">
          <color indexed="64"/>
        </left>
        <right style="thin">
          <color indexed="64"/>
        </right>
        <top/>
        <bottom/>
        <vertical/>
        <horizontal/>
      </border>
    </dxf>
    <dxf>
      <font>
        <strike val="0"/>
        <condense val="0"/>
        <extend val="0"/>
        <outline val="0"/>
        <shadow val="0"/>
        <vertAlign val="baseline"/>
        <sz val="11"/>
        <color theme="1"/>
        <name val="Aptos Narrow"/>
        <family val="2"/>
        <scheme val="minor"/>
      </font>
      <border>
        <left/>
        <right style="thin">
          <color indexed="64"/>
        </right>
        <top/>
        <bottom/>
        <vertical/>
        <horizontal/>
      </border>
    </dxf>
    <dxf>
      <font>
        <strike val="0"/>
        <condense val="0"/>
        <extend val="0"/>
        <outline val="0"/>
        <shadow val="0"/>
        <vertAlign val="baseline"/>
        <sz val="11"/>
        <color theme="1"/>
        <name val="Aptos Narrow"/>
        <family val="2"/>
        <scheme val="minor"/>
      </font>
      <fill>
        <patternFill>
          <fgColor indexed="64"/>
          <bgColor indexed="65"/>
        </patternFill>
      </fill>
      <border>
        <left style="thin">
          <color indexed="64"/>
        </left>
        <right/>
        <top/>
        <bottom/>
        <vertical/>
        <horizontal/>
      </border>
    </dxf>
    <dxf>
      <numFmt numFmtId="164" formatCode="_-* #,##0_-;\-* #,##0_-;_-* &quot;-&quot;??_-;_-@_-"/>
      <border>
        <left style="thin">
          <color indexed="64"/>
        </left>
        <right style="thin">
          <color indexed="64"/>
        </right>
        <top/>
        <bottom/>
        <vertical/>
        <horizontal/>
      </border>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border>
        <left style="thin">
          <color indexed="64"/>
        </left>
        <right style="thin">
          <color indexed="64"/>
        </right>
        <top/>
        <bottom/>
        <vertical/>
        <horizontal/>
      </border>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dxf>
    <dxf>
      <numFmt numFmtId="164" formatCode="_-* #,##0_-;\-* #,##0_-;_-* &quot;-&quot;??_-;_-@_-"/>
    </dxf>
    <dxf>
      <numFmt numFmtId="164" formatCode="_-* #,##0_-;\-* #,##0_-;_-* &quot;-&quot;??_-;_-@_-"/>
    </dxf>
    <dxf>
      <numFmt numFmtId="164" formatCode="_-* #,##0_-;\-* #,##0_-;_-* &quot;-&quot;??_-;_-@_-"/>
      <border>
        <left style="thin">
          <color indexed="64"/>
        </left>
        <top/>
        <bottom/>
        <horizontal/>
      </border>
    </dxf>
    <dxf>
      <font>
        <strike val="0"/>
        <condense val="0"/>
        <extend val="0"/>
        <outline val="0"/>
        <shadow val="0"/>
        <vertAlign val="baseline"/>
        <sz val="11"/>
        <color theme="1"/>
        <name val="Aptos Narrow"/>
        <family val="2"/>
        <scheme val="minor"/>
      </font>
      <numFmt numFmtId="164" formatCode="_-* #,##0_-;\-* #,##0_-;_-* &quot;-&quot;??_-;_-@_-"/>
      <fill>
        <patternFill>
          <fgColor indexed="64"/>
          <bgColor indexed="65"/>
        </patternFill>
      </fill>
      <border>
        <left style="thin">
          <color indexed="64"/>
        </left>
        <right style="thin">
          <color indexed="64"/>
        </right>
        <top/>
        <bottom/>
        <vertical/>
        <horizontal/>
      </border>
    </dxf>
    <dxf>
      <font>
        <strike val="0"/>
        <condense val="0"/>
        <extend val="0"/>
        <outline val="0"/>
        <shadow val="0"/>
        <vertAlign val="baseline"/>
        <sz val="11"/>
        <color theme="1"/>
        <name val="Aptos Narrow"/>
        <family val="2"/>
        <scheme val="minor"/>
      </font>
      <numFmt numFmtId="164" formatCode="_-* #,##0_-;\-* #,##0_-;_-* &quot;-&quot;??_-;_-@_-"/>
      <border>
        <left/>
        <right style="thin">
          <color indexed="64"/>
        </right>
        <top/>
        <bottom/>
        <vertical/>
        <horizontal/>
      </border>
    </dxf>
    <dxf>
      <numFmt numFmtId="3" formatCode="#,##0"/>
      <border>
        <left style="thin">
          <color indexed="64"/>
        </left>
        <right/>
        <top/>
        <bottom/>
        <vertical/>
        <horizontal/>
      </border>
    </dxf>
    <dxf>
      <alignment horizontal="general" vertical="bottom" wrapText="1"/>
      <border>
        <left/>
        <right style="thin">
          <color indexed="64"/>
        </right>
        <top/>
        <bottom/>
        <vertical/>
        <horizontal/>
      </border>
    </dxf>
    <dxf>
      <numFmt numFmtId="2" formatCode="0.00"/>
      <fill>
        <patternFill>
          <fgColor indexed="64"/>
          <bgColor indexed="65"/>
        </patternFill>
      </fill>
      <border>
        <left style="thin">
          <color indexed="64"/>
        </left>
        <right/>
        <top/>
        <bottom/>
        <vertical/>
        <horizontal/>
      </border>
    </dxf>
    <dxf>
      <border>
        <left/>
        <right style="thin">
          <color indexed="64"/>
        </right>
        <top/>
        <bottom/>
        <vertical/>
        <horizontal/>
      </border>
    </dxf>
    <dxf>
      <numFmt numFmtId="0" formatCode="General"/>
    </dxf>
    <dxf>
      <border outline="0">
        <left style="thin">
          <color indexed="64"/>
        </left>
        <top/>
        <bottom/>
      </border>
    </dxf>
    <dxf>
      <numFmt numFmtId="0" formatCode="General"/>
      <alignment horizontal="center" vertical="bottom" textRotation="0" wrapText="0" indent="0" justifyLastLine="0" shrinkToFit="0" readingOrder="0"/>
      <border diagonalUp="0" diagonalDown="0">
        <left/>
        <right style="thin">
          <color indexed="64"/>
        </right>
        <top/>
        <bottom/>
        <vertical/>
        <horizontal/>
      </border>
    </dxf>
    <dxf>
      <alignment horizontal="general" vertical="bottom" wrapText="1"/>
      <border>
        <left style="thin">
          <color indexed="64"/>
        </left>
        <right/>
        <top/>
        <bottom/>
        <vertical/>
        <horizontal/>
      </border>
    </dxf>
    <dxf>
      <fill>
        <patternFill>
          <fgColor indexed="64"/>
          <bgColor indexed="65"/>
        </patternFill>
      </fill>
    </dxf>
    <dxf>
      <border outline="0">
        <top style="thin">
          <color rgb="FF000000"/>
        </top>
      </border>
    </dxf>
    <dxf>
      <border outline="0">
        <bottom style="thin">
          <color rgb="FF000000"/>
        </bottom>
      </border>
    </dxf>
    <dxf>
      <fill>
        <patternFill>
          <fgColor indexed="64"/>
          <bgColor rgb="FF1E2DBE"/>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microsoft.com/office/2017/06/relationships/rdSupportingPropertyBag" Target="richData/rdsupportingpropertybag.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microsoft.com/office/2017/06/relationships/rdSupportingPropertyBagStructure" Target="richData/rdsupportingpropertybagstructur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ichStyles" Target="richData/richStyles.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Array" Target="richData/rdarray.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sharedStrings" Target="sharedStrings.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 Id="rId27" Type="http://schemas.microsoft.com/office/2017/06/relationships/rdRichValueTypes" Target="richData/rdRichValueTypes.xml"/><Relationship Id="rId30"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mn-lt"/>
                <a:ea typeface="+mn-ea"/>
                <a:cs typeface="+mn-cs"/>
              </a:defRPr>
            </a:pPr>
            <a:r>
              <a:rPr lang="en-US"/>
              <a:t>Average of Grouping</a:t>
            </a:r>
          </a:p>
        </c:rich>
      </c:tx>
      <c:overlay val="0"/>
      <c:spPr>
        <a:noFill/>
        <a:ln>
          <a:noFill/>
          <a:prstDash val="solid"/>
        </a:ln>
      </c:spPr>
    </c:title>
    <c:autoTitleDeleted val="0"/>
    <c:plotArea>
      <c:layout/>
      <c:scatterChart>
        <c:scatterStyle val="lineMarker"/>
        <c:varyColors val="0"/>
        <c:ser>
          <c:idx val="0"/>
          <c:order val="0"/>
          <c:tx>
            <c:strRef>
              <c:f>'MSD Group List - Quintiles'!$AP$11</c:f>
              <c:strCache>
                <c:ptCount val="1"/>
                <c:pt idx="0">
                  <c:v>inflation</c:v>
                </c:pt>
              </c:strCache>
            </c:strRef>
          </c:tx>
          <c:spPr>
            <a:ln w="19050" cap="rnd">
              <a:noFill/>
              <a:prstDash val="solid"/>
              <a:round/>
            </a:ln>
          </c:spPr>
          <c:marker>
            <c:symbol val="circle"/>
            <c:size val="11"/>
            <c:spPr>
              <a:solidFill>
                <a:schemeClr val="accent1"/>
              </a:solidFill>
              <a:ln w="9525">
                <a:noFill/>
                <a:prstDash val="solid"/>
              </a:ln>
            </c:spPr>
          </c:marker>
          <c:dPt>
            <c:idx val="0"/>
            <c:marker>
              <c:symbol val="none"/>
            </c:marker>
            <c:bubble3D val="0"/>
            <c:spPr>
              <a:ln>
                <a:prstDash val="solid"/>
              </a:ln>
            </c:spPr>
            <c:extLst>
              <c:ext xmlns:c16="http://schemas.microsoft.com/office/drawing/2014/chart" uri="{C3380CC4-5D6E-409C-BE32-E72D297353CC}">
                <c16:uniqueId val="{00000001-351B-4CEE-B3E0-59D8C688F993}"/>
              </c:ext>
            </c:extLst>
          </c:dPt>
          <c:dPt>
            <c:idx val="1"/>
            <c:marker>
              <c:symbol val="none"/>
            </c:marker>
            <c:bubble3D val="0"/>
            <c:spPr>
              <a:ln>
                <a:prstDash val="solid"/>
              </a:ln>
            </c:spPr>
            <c:extLst>
              <c:ext xmlns:c16="http://schemas.microsoft.com/office/drawing/2014/chart" uri="{C3380CC4-5D6E-409C-BE32-E72D297353CC}">
                <c16:uniqueId val="{00000003-351B-4CEE-B3E0-59D8C688F993}"/>
              </c:ext>
            </c:extLst>
          </c:dPt>
          <c:dPt>
            <c:idx val="2"/>
            <c:marker>
              <c:symbol val="none"/>
            </c:marker>
            <c:bubble3D val="0"/>
            <c:spPr>
              <a:ln>
                <a:prstDash val="solid"/>
              </a:ln>
            </c:spPr>
            <c:extLst>
              <c:ext xmlns:c16="http://schemas.microsoft.com/office/drawing/2014/chart" uri="{C3380CC4-5D6E-409C-BE32-E72D297353CC}">
                <c16:uniqueId val="{00000005-351B-4CEE-B3E0-59D8C688F993}"/>
              </c:ext>
            </c:extLst>
          </c:dPt>
          <c:dPt>
            <c:idx val="3"/>
            <c:marker>
              <c:symbol val="none"/>
            </c:marker>
            <c:bubble3D val="0"/>
            <c:spPr>
              <a:ln>
                <a:prstDash val="solid"/>
              </a:ln>
            </c:spPr>
            <c:extLst>
              <c:ext xmlns:c16="http://schemas.microsoft.com/office/drawing/2014/chart" uri="{C3380CC4-5D6E-409C-BE32-E72D297353CC}">
                <c16:uniqueId val="{00000007-351B-4CEE-B3E0-59D8C688F993}"/>
              </c:ext>
            </c:extLst>
          </c:dPt>
          <c:dPt>
            <c:idx val="4"/>
            <c:marker>
              <c:symbol val="none"/>
            </c:marker>
            <c:bubble3D val="0"/>
            <c:spPr>
              <a:ln>
                <a:prstDash val="solid"/>
              </a:ln>
            </c:spPr>
            <c:extLst>
              <c:ext xmlns:c16="http://schemas.microsoft.com/office/drawing/2014/chart" uri="{C3380CC4-5D6E-409C-BE32-E72D297353CC}">
                <c16:uniqueId val="{00000009-351B-4CEE-B3E0-59D8C688F993}"/>
              </c:ext>
            </c:extLst>
          </c:dPt>
          <c:dPt>
            <c:idx val="5"/>
            <c:marker>
              <c:symbol val="none"/>
            </c:marker>
            <c:bubble3D val="0"/>
            <c:spPr>
              <a:ln>
                <a:prstDash val="solid"/>
              </a:ln>
            </c:spPr>
            <c:extLst>
              <c:ext xmlns:c16="http://schemas.microsoft.com/office/drawing/2014/chart" uri="{C3380CC4-5D6E-409C-BE32-E72D297353CC}">
                <c16:uniqueId val="{0000000B-351B-4CEE-B3E0-59D8C688F993}"/>
              </c:ext>
            </c:extLst>
          </c:dPt>
          <c:dLbls>
            <c:delete val="1"/>
          </c:dLbls>
          <c:xVal>
            <c:numRef>
              <c:f>'MSD Group List - Quintiles'!$AO$12:$AO$17</c:f>
              <c:numCache>
                <c:formatCode>0.00</c:formatCode>
                <c:ptCount val="6"/>
                <c:pt idx="0">
                  <c:v>-0.69581273587903503</c:v>
                </c:pt>
                <c:pt idx="1">
                  <c:v>-1.1007938060642177</c:v>
                </c:pt>
                <c:pt idx="2">
                  <c:v>-0.67620679829909014</c:v>
                </c:pt>
                <c:pt idx="3">
                  <c:v>-0.83663649304315713</c:v>
                </c:pt>
                <c:pt idx="4">
                  <c:v>-0.2185958216367769</c:v>
                </c:pt>
                <c:pt idx="5">
                  <c:v>-0.26011960980907528</c:v>
                </c:pt>
              </c:numCache>
            </c:numRef>
          </c:xVal>
          <c:yVal>
            <c:numRef>
              <c:f>'MSD Group List - Quintiles'!$AP$12:$AP$17</c:f>
              <c:numCache>
                <c:formatCode>0.00</c:formatCode>
                <c:ptCount val="6"/>
                <c:pt idx="0">
                  <c:v>13.549446599678852</c:v>
                </c:pt>
                <c:pt idx="1">
                  <c:v>15.897408099015852</c:v>
                </c:pt>
                <c:pt idx="2">
                  <c:v>5.5478211450432777</c:v>
                </c:pt>
                <c:pt idx="3">
                  <c:v>5.1147107389997393</c:v>
                </c:pt>
                <c:pt idx="4">
                  <c:v>2.9279470771272136</c:v>
                </c:pt>
                <c:pt idx="5">
                  <c:v>4.6600891780178886</c:v>
                </c:pt>
              </c:numCache>
            </c:numRef>
          </c:yVal>
          <c:smooth val="0"/>
          <c:extLst>
            <c:ext xmlns:c16="http://schemas.microsoft.com/office/drawing/2014/chart" uri="{C3380CC4-5D6E-409C-BE32-E72D297353CC}">
              <c16:uniqueId val="{0000000C-351B-4CEE-B3E0-59D8C688F993}"/>
            </c:ext>
          </c:extLst>
        </c:ser>
        <c:dLbls>
          <c:dLblPos val="t"/>
          <c:showLegendKey val="0"/>
          <c:showVal val="1"/>
          <c:showCatName val="0"/>
          <c:showSerName val="0"/>
          <c:showPercent val="0"/>
          <c:showBubbleSize val="0"/>
        </c:dLbls>
        <c:axId val="1011552032"/>
        <c:axId val="1011561632"/>
      </c:scatterChart>
      <c:valAx>
        <c:axId val="1011552032"/>
        <c:scaling>
          <c:orientation val="minMax"/>
        </c:scaling>
        <c:delete val="0"/>
        <c:axPos val="b"/>
        <c:majorGridlines>
          <c:spPr>
            <a:ln w="9525" cap="flat" cmpd="sng" algn="ctr">
              <a:solidFill>
                <a:schemeClr val="tx1">
                  <a:lumMod val="15000"/>
                  <a:lumOff val="85000"/>
                </a:schemeClr>
              </a:solidFill>
              <a:prstDash val="solid"/>
              <a:round/>
            </a:ln>
          </c:spPr>
        </c:majorGridlines>
        <c:title>
          <c:tx>
            <c:rich>
              <a:bodyPr rot="0" spcFirstLastPara="1" vertOverflow="ellipsis" vert="horz" wrap="square" anchor="ctr" anchorCtr="1"/>
              <a:lstStyle/>
              <a:p>
                <a:pPr>
                  <a:defRPr sz="1200" b="0" i="0" strike="noStrike" kern="1200" baseline="0">
                    <a:solidFill>
                      <a:schemeClr val="tx1">
                        <a:lumMod val="65000"/>
                        <a:lumOff val="35000"/>
                      </a:schemeClr>
                    </a:solidFill>
                    <a:latin typeface="+mn-lt"/>
                    <a:ea typeface="+mn-ea"/>
                    <a:cs typeface="+mn-cs"/>
                  </a:defRPr>
                </a:pPr>
                <a:r>
                  <a:rPr lang="en-US" sz="1200"/>
                  <a:t>Political Stability</a:t>
                </a:r>
              </a:p>
            </c:rich>
          </c:tx>
          <c:overlay val="0"/>
          <c:spPr>
            <a:noFill/>
            <a:ln>
              <a:noFill/>
              <a:prstDash val="solid"/>
            </a:ln>
          </c:spPr>
        </c:title>
        <c:numFmt formatCode="0.00" sourceLinked="1"/>
        <c:majorTickMark val="none"/>
        <c:minorTickMark val="none"/>
        <c:tickLblPos val="nextTo"/>
        <c:spPr>
          <a:noFill/>
          <a:ln w="9525" cap="flat" cmpd="sng" algn="ctr">
            <a:solidFill>
              <a:schemeClr val="tx1">
                <a:lumMod val="25000"/>
                <a:lumOff val="7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011561632"/>
        <c:crosses val="autoZero"/>
        <c:crossBetween val="midCat"/>
      </c:valAx>
      <c:valAx>
        <c:axId val="1011561632"/>
        <c:scaling>
          <c:orientation val="minMax"/>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0" i="0" strike="noStrike" kern="1200" baseline="0">
                    <a:solidFill>
                      <a:schemeClr val="tx1">
                        <a:lumMod val="65000"/>
                        <a:lumOff val="35000"/>
                      </a:schemeClr>
                    </a:solidFill>
                    <a:latin typeface="+mn-lt"/>
                    <a:ea typeface="+mn-ea"/>
                    <a:cs typeface="+mn-cs"/>
                  </a:defRPr>
                </a:pPr>
                <a:r>
                  <a:rPr lang="en-US" sz="1200"/>
                  <a:t>Inflation</a:t>
                </a:r>
              </a:p>
            </c:rich>
          </c:tx>
          <c:overlay val="0"/>
          <c:spPr>
            <a:noFill/>
            <a:ln>
              <a:noFill/>
              <a:prstDash val="solid"/>
            </a:ln>
          </c:spPr>
        </c:title>
        <c:numFmt formatCode="0.00" sourceLinked="1"/>
        <c:majorTickMark val="none"/>
        <c:minorTickMark val="none"/>
        <c:tickLblPos val="nextTo"/>
        <c:spPr>
          <a:noFill/>
          <a:ln w="9525" cap="flat" cmpd="sng" algn="ctr">
            <a:solidFill>
              <a:schemeClr val="tx1">
                <a:lumMod val="25000"/>
                <a:lumOff val="7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011552032"/>
        <c:crosses val="autoZero"/>
        <c:crossBetween val="midCat"/>
      </c:valAx>
    </c:plotArea>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r>
              <a:rPr lang="en-US">
                <a:solidFill>
                  <a:sysClr val="windowText" lastClr="000000"/>
                </a:solidFill>
              </a:rPr>
              <a:t>Normalised Income Impact Ratio</a:t>
            </a:r>
          </a:p>
        </c:rich>
      </c:tx>
      <c:overlay val="0"/>
      <c:spPr>
        <a:noFill/>
        <a:ln>
          <a:noFill/>
          <a:prstDash val="solid"/>
        </a:ln>
      </c:spPr>
    </c:title>
    <c:autoTitleDeleted val="0"/>
    <c:plotArea>
      <c:layout/>
      <c:barChart>
        <c:barDir val="col"/>
        <c:grouping val="clustered"/>
        <c:varyColors val="0"/>
        <c:ser>
          <c:idx val="0"/>
          <c:order val="0"/>
          <c:tx>
            <c:strRef>
              <c:f>'Summary &amp; Analysis - Quart New'!$D$109</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New'!$C$110:$C$112</c:f>
              <c:strCache>
                <c:ptCount val="3"/>
                <c:pt idx="0">
                  <c:v>Low-Income</c:v>
                </c:pt>
                <c:pt idx="1">
                  <c:v>Lower-Middle Income</c:v>
                </c:pt>
                <c:pt idx="2">
                  <c:v>Upper-Middle Income</c:v>
                </c:pt>
              </c:strCache>
            </c:strRef>
          </c:cat>
          <c:val>
            <c:numRef>
              <c:f>'Summary &amp; Analysis - Quart New'!$D$110:$D$112</c:f>
              <c:numCache>
                <c:formatCode>0.00</c:formatCode>
                <c:ptCount val="3"/>
                <c:pt idx="0">
                  <c:v>4.0204608987968862E-2</c:v>
                </c:pt>
                <c:pt idx="1">
                  <c:v>2.6493124495294999E-2</c:v>
                </c:pt>
                <c:pt idx="2">
                  <c:v>8.0074098435085287E-3</c:v>
                </c:pt>
              </c:numCache>
            </c:numRef>
          </c:val>
          <c:extLst>
            <c:ext xmlns:c16="http://schemas.microsoft.com/office/drawing/2014/chart" uri="{C3380CC4-5D6E-409C-BE32-E72D297353CC}">
              <c16:uniqueId val="{00000000-25DC-43DE-ACA6-295628637A99}"/>
            </c:ext>
          </c:extLst>
        </c:ser>
        <c:ser>
          <c:idx val="1"/>
          <c:order val="1"/>
          <c:tx>
            <c:strRef>
              <c:f>'Summary &amp; Analysis - Quart New'!$E$109</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New'!$C$110:$C$112</c:f>
              <c:strCache>
                <c:ptCount val="3"/>
                <c:pt idx="0">
                  <c:v>Low-Income</c:v>
                </c:pt>
                <c:pt idx="1">
                  <c:v>Lower-Middle Income</c:v>
                </c:pt>
                <c:pt idx="2">
                  <c:v>Upper-Middle Income</c:v>
                </c:pt>
              </c:strCache>
            </c:strRef>
          </c:cat>
          <c:val>
            <c:numRef>
              <c:f>'Summary &amp; Analysis - Quart New'!$E$110:$E$112</c:f>
              <c:numCache>
                <c:formatCode>0.00</c:formatCode>
                <c:ptCount val="3"/>
                <c:pt idx="0">
                  <c:v>2.6261486063480201E-2</c:v>
                </c:pt>
                <c:pt idx="1">
                  <c:v>2.3891690454265181E-2</c:v>
                </c:pt>
                <c:pt idx="2">
                  <c:v>5.3804514356055244E-3</c:v>
                </c:pt>
              </c:numCache>
            </c:numRef>
          </c:val>
          <c:extLst>
            <c:ext xmlns:c16="http://schemas.microsoft.com/office/drawing/2014/chart" uri="{C3380CC4-5D6E-409C-BE32-E72D297353CC}">
              <c16:uniqueId val="{00000001-25DC-43DE-ACA6-295628637A99}"/>
            </c:ext>
          </c:extLst>
        </c:ser>
        <c:dLbls>
          <c:showLegendKey val="0"/>
          <c:showVal val="0"/>
          <c:showCatName val="0"/>
          <c:showSerName val="0"/>
          <c:showPercent val="0"/>
          <c:showBubbleSize val="0"/>
        </c:dLbls>
        <c:gapWidth val="219"/>
        <c:overlap val="-27"/>
        <c:axId val="1558221184"/>
        <c:axId val="1558219264"/>
      </c:barChart>
      <c:catAx>
        <c:axId val="1558221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05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558219264"/>
        <c:crosses val="autoZero"/>
        <c:auto val="1"/>
        <c:lblAlgn val="ctr"/>
        <c:lblOffset val="100"/>
        <c:noMultiLvlLbl val="0"/>
      </c:catAx>
      <c:valAx>
        <c:axId val="1558219264"/>
        <c:scaling>
          <c:orientation val="minMax"/>
          <c:max val="5.000000000000001E-2"/>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55822118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200" b="0" i="0" strike="noStrike" kern="1200" spc="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r>
              <a:rPr lang="en-US" sz="1200">
                <a:solidFill>
                  <a:sysClr val="windowText" lastClr="000000"/>
                </a:solidFill>
              </a:rPr>
              <a:t>Number of jobs created per million dollars spent</a:t>
            </a:r>
          </a:p>
        </c:rich>
      </c:tx>
      <c:overlay val="0"/>
      <c:spPr>
        <a:noFill/>
        <a:ln>
          <a:noFill/>
          <a:prstDash val="solid"/>
        </a:ln>
      </c:spPr>
    </c:title>
    <c:autoTitleDeleted val="0"/>
    <c:plotArea>
      <c:layout/>
      <c:barChart>
        <c:barDir val="col"/>
        <c:grouping val="clustered"/>
        <c:varyColors val="0"/>
        <c:ser>
          <c:idx val="0"/>
          <c:order val="0"/>
          <c:tx>
            <c:strRef>
              <c:f>'Summary &amp; Analysis - Quart New'!$AV$73</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New'!$AU$74:$AU$76</c:f>
              <c:strCache>
                <c:ptCount val="3"/>
                <c:pt idx="0">
                  <c:v>Low-Income</c:v>
                </c:pt>
                <c:pt idx="1">
                  <c:v>Lower-Middle Income</c:v>
                </c:pt>
                <c:pt idx="2">
                  <c:v>Upper-Middle Income</c:v>
                </c:pt>
              </c:strCache>
            </c:strRef>
          </c:cat>
          <c:val>
            <c:numRef>
              <c:f>'Summary &amp; Analysis - Quart New'!$AV$74:$AV$76</c:f>
              <c:numCache>
                <c:formatCode>0</c:formatCode>
                <c:ptCount val="3"/>
                <c:pt idx="0">
                  <c:v>227.74559947095159</c:v>
                </c:pt>
                <c:pt idx="1">
                  <c:v>629.30083333333323</c:v>
                </c:pt>
                <c:pt idx="2">
                  <c:v>196.64</c:v>
                </c:pt>
              </c:numCache>
            </c:numRef>
          </c:val>
          <c:extLst>
            <c:ext xmlns:c16="http://schemas.microsoft.com/office/drawing/2014/chart" uri="{C3380CC4-5D6E-409C-BE32-E72D297353CC}">
              <c16:uniqueId val="{00000000-F008-40C8-97BD-3A77CCC603FD}"/>
            </c:ext>
          </c:extLst>
        </c:ser>
        <c:ser>
          <c:idx val="1"/>
          <c:order val="1"/>
          <c:tx>
            <c:strRef>
              <c:f>'Summary &amp; Analysis - Quart New'!$AW$73</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New'!$AU$74:$AU$76</c:f>
              <c:strCache>
                <c:ptCount val="3"/>
                <c:pt idx="0">
                  <c:v>Low-Income</c:v>
                </c:pt>
                <c:pt idx="1">
                  <c:v>Lower-Middle Income</c:v>
                </c:pt>
                <c:pt idx="2">
                  <c:v>Upper-Middle Income</c:v>
                </c:pt>
              </c:strCache>
            </c:strRef>
          </c:cat>
          <c:val>
            <c:numRef>
              <c:f>'Summary &amp; Analysis - Quart New'!$AW$74:$AW$76</c:f>
              <c:numCache>
                <c:formatCode>0</c:formatCode>
                <c:ptCount val="3"/>
                <c:pt idx="0">
                  <c:v>219.75291450667291</c:v>
                </c:pt>
                <c:pt idx="1">
                  <c:v>588.71523014841364</c:v>
                </c:pt>
                <c:pt idx="2">
                  <c:v>180.43696184074571</c:v>
                </c:pt>
              </c:numCache>
            </c:numRef>
          </c:val>
          <c:extLst>
            <c:ext xmlns:c16="http://schemas.microsoft.com/office/drawing/2014/chart" uri="{C3380CC4-5D6E-409C-BE32-E72D297353CC}">
              <c16:uniqueId val="{00000001-F008-40C8-97BD-3A77CCC603FD}"/>
            </c:ext>
          </c:extLst>
        </c:ser>
        <c:dLbls>
          <c:showLegendKey val="0"/>
          <c:showVal val="0"/>
          <c:showCatName val="0"/>
          <c:showSerName val="0"/>
          <c:showPercent val="0"/>
          <c:showBubbleSize val="0"/>
        </c:dLbls>
        <c:gapWidth val="219"/>
        <c:overlap val="-27"/>
        <c:axId val="1349195247"/>
        <c:axId val="1349189487"/>
      </c:barChart>
      <c:catAx>
        <c:axId val="1349195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49189487"/>
        <c:crosses val="autoZero"/>
        <c:auto val="1"/>
        <c:lblAlgn val="ctr"/>
        <c:lblOffset val="100"/>
        <c:noMultiLvlLbl val="0"/>
      </c:catAx>
      <c:valAx>
        <c:axId val="1349189487"/>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49195247"/>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200" b="0" i="0" strike="noStrike" kern="1200" spc="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r>
              <a:rPr lang="en-US"/>
              <a:t>Number of jobs created per million dollars spent</a:t>
            </a:r>
          </a:p>
        </c:rich>
      </c:tx>
      <c:overlay val="0"/>
      <c:spPr>
        <a:noFill/>
        <a:ln>
          <a:noFill/>
          <a:prstDash val="solid"/>
        </a:ln>
      </c:spPr>
    </c:title>
    <c:autoTitleDeleted val="0"/>
    <c:plotArea>
      <c:layout/>
      <c:barChart>
        <c:barDir val="col"/>
        <c:grouping val="clustered"/>
        <c:varyColors val="0"/>
        <c:ser>
          <c:idx val="0"/>
          <c:order val="0"/>
          <c:tx>
            <c:strRef>
              <c:f>'Summary &amp; Analysis - Quart New'!$AV$95</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New'!$AT$96:$AU$99</c:f>
              <c:strCache>
                <c:ptCount val="4"/>
                <c:pt idx="0">
                  <c:v>Small Programmes</c:v>
                </c:pt>
                <c:pt idx="1">
                  <c:v>Medium Programmes</c:v>
                </c:pt>
                <c:pt idx="2">
                  <c:v>Large Programmes</c:v>
                </c:pt>
                <c:pt idx="3">
                  <c:v>Very Large Programmes</c:v>
                </c:pt>
              </c:strCache>
            </c:strRef>
          </c:cat>
          <c:val>
            <c:numRef>
              <c:f>'Summary &amp; Analysis - Quart New'!$AV$96:$AV$99</c:f>
              <c:numCache>
                <c:formatCode>0</c:formatCode>
                <c:ptCount val="4"/>
                <c:pt idx="0">
                  <c:v>239.2858588012422</c:v>
                </c:pt>
                <c:pt idx="1">
                  <c:v>213.8674454037583</c:v>
                </c:pt>
                <c:pt idx="2">
                  <c:v>466.26765135529939</c:v>
                </c:pt>
                <c:pt idx="3">
                  <c:v>598.59825652691143</c:v>
                </c:pt>
              </c:numCache>
            </c:numRef>
          </c:val>
          <c:extLst>
            <c:ext xmlns:c16="http://schemas.microsoft.com/office/drawing/2014/chart" uri="{C3380CC4-5D6E-409C-BE32-E72D297353CC}">
              <c16:uniqueId val="{00000000-B67A-4DA3-AC11-CDB117813B3C}"/>
            </c:ext>
          </c:extLst>
        </c:ser>
        <c:ser>
          <c:idx val="1"/>
          <c:order val="1"/>
          <c:tx>
            <c:strRef>
              <c:f>'Summary &amp; Analysis - Quart New'!$AW$95</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New'!$AT$96:$AU$99</c:f>
              <c:strCache>
                <c:ptCount val="4"/>
                <c:pt idx="0">
                  <c:v>Small Programmes</c:v>
                </c:pt>
                <c:pt idx="1">
                  <c:v>Medium Programmes</c:v>
                </c:pt>
                <c:pt idx="2">
                  <c:v>Large Programmes</c:v>
                </c:pt>
                <c:pt idx="3">
                  <c:v>Very Large Programmes</c:v>
                </c:pt>
              </c:strCache>
            </c:strRef>
          </c:cat>
          <c:val>
            <c:numRef>
              <c:f>'Summary &amp; Analysis - Quart New'!$AW$96:$AW$99</c:f>
              <c:numCache>
                <c:formatCode>0</c:formatCode>
                <c:ptCount val="4"/>
                <c:pt idx="0">
                  <c:v>239.1227500095824</c:v>
                </c:pt>
                <c:pt idx="1">
                  <c:v>220.9140982994187</c:v>
                </c:pt>
                <c:pt idx="2">
                  <c:v>378.7091554993217</c:v>
                </c:pt>
                <c:pt idx="3">
                  <c:v>418.53926272690001</c:v>
                </c:pt>
              </c:numCache>
            </c:numRef>
          </c:val>
          <c:extLst>
            <c:ext xmlns:c16="http://schemas.microsoft.com/office/drawing/2014/chart" uri="{C3380CC4-5D6E-409C-BE32-E72D297353CC}">
              <c16:uniqueId val="{00000001-B67A-4DA3-AC11-CDB117813B3C}"/>
            </c:ext>
          </c:extLst>
        </c:ser>
        <c:dLbls>
          <c:showLegendKey val="0"/>
          <c:showVal val="0"/>
          <c:showCatName val="0"/>
          <c:showSerName val="0"/>
          <c:showPercent val="0"/>
          <c:showBubbleSize val="0"/>
        </c:dLbls>
        <c:gapWidth val="219"/>
        <c:overlap val="-27"/>
        <c:axId val="1522477056"/>
        <c:axId val="1522481376"/>
      </c:barChart>
      <c:catAx>
        <c:axId val="1522477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522481376"/>
        <c:crosses val="autoZero"/>
        <c:auto val="1"/>
        <c:lblAlgn val="ctr"/>
        <c:lblOffset val="100"/>
        <c:noMultiLvlLbl val="0"/>
      </c:catAx>
      <c:valAx>
        <c:axId val="1522481376"/>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52247705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200" b="0" i="0" strike="noStrike" kern="1200" spc="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r>
              <a:rPr lang="en-US" sz="1200">
                <a:solidFill>
                  <a:sysClr val="windowText" lastClr="000000"/>
                </a:solidFill>
              </a:rPr>
              <a:t>Number of jobs created per million dollars spent </a:t>
            </a:r>
          </a:p>
        </c:rich>
      </c:tx>
      <c:overlay val="0"/>
      <c:spPr>
        <a:noFill/>
        <a:ln>
          <a:noFill/>
          <a:prstDash val="solid"/>
        </a:ln>
      </c:spPr>
    </c:title>
    <c:autoTitleDeleted val="0"/>
    <c:plotArea>
      <c:layout/>
      <c:barChart>
        <c:barDir val="col"/>
        <c:grouping val="clustered"/>
        <c:varyColors val="0"/>
        <c:ser>
          <c:idx val="0"/>
          <c:order val="0"/>
          <c:tx>
            <c:strRef>
              <c:f>'Summary &amp; Analysis - Quart New'!$BE$73</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New'!$BD$74:$BD$76</c:f>
              <c:strCache>
                <c:ptCount val="3"/>
                <c:pt idx="0">
                  <c:v>Agriculture</c:v>
                </c:pt>
                <c:pt idx="1">
                  <c:v>Mixed</c:v>
                </c:pt>
                <c:pt idx="2">
                  <c:v>Non-Agriculture</c:v>
                </c:pt>
              </c:strCache>
            </c:strRef>
          </c:cat>
          <c:val>
            <c:numRef>
              <c:f>'Summary &amp; Analysis - Quart New'!$BE$74:$BE$76</c:f>
              <c:numCache>
                <c:formatCode>0</c:formatCode>
                <c:ptCount val="3"/>
                <c:pt idx="0">
                  <c:v>209.55307262569829</c:v>
                </c:pt>
                <c:pt idx="1">
                  <c:v>218.18181818181819</c:v>
                </c:pt>
                <c:pt idx="2">
                  <c:v>317.04961405231433</c:v>
                </c:pt>
              </c:numCache>
            </c:numRef>
          </c:val>
          <c:extLst>
            <c:ext xmlns:c16="http://schemas.microsoft.com/office/drawing/2014/chart" uri="{C3380CC4-5D6E-409C-BE32-E72D297353CC}">
              <c16:uniqueId val="{00000000-9B38-45F7-8636-D7D586B03A58}"/>
            </c:ext>
          </c:extLst>
        </c:ser>
        <c:ser>
          <c:idx val="1"/>
          <c:order val="1"/>
          <c:tx>
            <c:strRef>
              <c:f>'Summary &amp; Analysis - Quart New'!$BF$73</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New'!$BD$74:$BD$76</c:f>
              <c:strCache>
                <c:ptCount val="3"/>
                <c:pt idx="0">
                  <c:v>Agriculture</c:v>
                </c:pt>
                <c:pt idx="1">
                  <c:v>Mixed</c:v>
                </c:pt>
                <c:pt idx="2">
                  <c:v>Non-Agriculture</c:v>
                </c:pt>
              </c:strCache>
            </c:strRef>
          </c:cat>
          <c:val>
            <c:numRef>
              <c:f>'Summary &amp; Analysis - Quart New'!$BF$74:$BF$76</c:f>
              <c:numCache>
                <c:formatCode>0</c:formatCode>
                <c:ptCount val="3"/>
                <c:pt idx="0">
                  <c:v>216.14040688917041</c:v>
                </c:pt>
                <c:pt idx="1">
                  <c:v>219.2864206010332</c:v>
                </c:pt>
                <c:pt idx="2">
                  <c:v>298.98988035933718</c:v>
                </c:pt>
              </c:numCache>
            </c:numRef>
          </c:val>
          <c:extLst>
            <c:ext xmlns:c16="http://schemas.microsoft.com/office/drawing/2014/chart" uri="{C3380CC4-5D6E-409C-BE32-E72D297353CC}">
              <c16:uniqueId val="{00000001-9B38-45F7-8636-D7D586B03A58}"/>
            </c:ext>
          </c:extLst>
        </c:ser>
        <c:dLbls>
          <c:showLegendKey val="0"/>
          <c:showVal val="0"/>
          <c:showCatName val="0"/>
          <c:showSerName val="0"/>
          <c:showPercent val="0"/>
          <c:showBubbleSize val="0"/>
        </c:dLbls>
        <c:gapWidth val="219"/>
        <c:overlap val="-27"/>
        <c:axId val="1433822528"/>
        <c:axId val="1433820128"/>
      </c:barChart>
      <c:catAx>
        <c:axId val="143382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33820128"/>
        <c:crosses val="autoZero"/>
        <c:auto val="1"/>
        <c:lblAlgn val="ctr"/>
        <c:lblOffset val="100"/>
        <c:noMultiLvlLbl val="0"/>
      </c:catAx>
      <c:valAx>
        <c:axId val="1433820128"/>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33822528"/>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200" b="0" i="0" strike="noStrike" kern="1200" spc="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r>
              <a:rPr lang="en-US" sz="1200">
                <a:solidFill>
                  <a:sysClr val="windowText" lastClr="000000"/>
                </a:solidFill>
              </a:rPr>
              <a:t>Number of jobs improved per million dollars spent</a:t>
            </a:r>
          </a:p>
        </c:rich>
      </c:tx>
      <c:overlay val="0"/>
      <c:spPr>
        <a:noFill/>
        <a:ln>
          <a:noFill/>
          <a:prstDash val="solid"/>
        </a:ln>
      </c:spPr>
    </c:title>
    <c:autoTitleDeleted val="0"/>
    <c:plotArea>
      <c:layout/>
      <c:barChart>
        <c:barDir val="col"/>
        <c:grouping val="clustered"/>
        <c:varyColors val="0"/>
        <c:ser>
          <c:idx val="0"/>
          <c:order val="0"/>
          <c:tx>
            <c:strRef>
              <c:f>'Summary &amp; Analysis - Quart New'!$BE$114</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New'!$BD$115:$BD$117</c:f>
              <c:strCache>
                <c:ptCount val="3"/>
                <c:pt idx="0">
                  <c:v>Low-Income</c:v>
                </c:pt>
                <c:pt idx="1">
                  <c:v>Lower-Middle Income</c:v>
                </c:pt>
                <c:pt idx="2">
                  <c:v>Upper-Middle Income</c:v>
                </c:pt>
              </c:strCache>
            </c:strRef>
          </c:cat>
          <c:val>
            <c:numRef>
              <c:f>'Summary &amp; Analysis - Quart New'!$BE$115:$BE$117</c:f>
              <c:numCache>
                <c:formatCode>0</c:formatCode>
                <c:ptCount val="3"/>
                <c:pt idx="0">
                  <c:v>2386.5026995573412</c:v>
                </c:pt>
                <c:pt idx="1">
                  <c:v>3189.769846249128</c:v>
                </c:pt>
                <c:pt idx="2">
                  <c:v>1411.670967132399</c:v>
                </c:pt>
              </c:numCache>
            </c:numRef>
          </c:val>
          <c:extLst>
            <c:ext xmlns:c16="http://schemas.microsoft.com/office/drawing/2014/chart" uri="{C3380CC4-5D6E-409C-BE32-E72D297353CC}">
              <c16:uniqueId val="{00000000-FE43-45E1-9E0A-8541D5D5CD68}"/>
            </c:ext>
          </c:extLst>
        </c:ser>
        <c:ser>
          <c:idx val="1"/>
          <c:order val="1"/>
          <c:tx>
            <c:strRef>
              <c:f>'Summary &amp; Analysis - Quart New'!$BF$114</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New'!$BD$115:$BD$117</c:f>
              <c:strCache>
                <c:ptCount val="3"/>
                <c:pt idx="0">
                  <c:v>Low-Income</c:v>
                </c:pt>
                <c:pt idx="1">
                  <c:v>Lower-Middle Income</c:v>
                </c:pt>
                <c:pt idx="2">
                  <c:v>Upper-Middle Income</c:v>
                </c:pt>
              </c:strCache>
            </c:strRef>
          </c:cat>
          <c:val>
            <c:numRef>
              <c:f>'Summary &amp; Analysis - Quart New'!$BF$115:$BF$117</c:f>
              <c:numCache>
                <c:formatCode>0</c:formatCode>
                <c:ptCount val="3"/>
                <c:pt idx="0">
                  <c:v>2357.619210315198</c:v>
                </c:pt>
                <c:pt idx="1">
                  <c:v>2592.8889018296109</c:v>
                </c:pt>
                <c:pt idx="2">
                  <c:v>724.23056380779747</c:v>
                </c:pt>
              </c:numCache>
            </c:numRef>
          </c:val>
          <c:extLst>
            <c:ext xmlns:c16="http://schemas.microsoft.com/office/drawing/2014/chart" uri="{C3380CC4-5D6E-409C-BE32-E72D297353CC}">
              <c16:uniqueId val="{00000001-FE43-45E1-9E0A-8541D5D5CD68}"/>
            </c:ext>
          </c:extLst>
        </c:ser>
        <c:dLbls>
          <c:showLegendKey val="0"/>
          <c:showVal val="0"/>
          <c:showCatName val="0"/>
          <c:showSerName val="0"/>
          <c:showPercent val="0"/>
          <c:showBubbleSize val="0"/>
        </c:dLbls>
        <c:gapWidth val="219"/>
        <c:overlap val="-27"/>
        <c:axId val="1374262687"/>
        <c:axId val="1374263167"/>
      </c:barChart>
      <c:catAx>
        <c:axId val="1374262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74263167"/>
        <c:crosses val="autoZero"/>
        <c:auto val="1"/>
        <c:lblAlgn val="ctr"/>
        <c:lblOffset val="100"/>
        <c:noMultiLvlLbl val="0"/>
      </c:catAx>
      <c:valAx>
        <c:axId val="1374263167"/>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74262687"/>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200" b="0" i="0" strike="noStrike" kern="1200" spc="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r>
              <a:rPr lang="en-US" sz="1200">
                <a:solidFill>
                  <a:sysClr val="windowText" lastClr="000000"/>
                </a:solidFill>
              </a:rPr>
              <a:t>Number of jobs created per million dollars spent</a:t>
            </a:r>
          </a:p>
        </c:rich>
      </c:tx>
      <c:overlay val="0"/>
      <c:spPr>
        <a:noFill/>
        <a:ln>
          <a:noFill/>
          <a:prstDash val="solid"/>
        </a:ln>
      </c:spPr>
    </c:title>
    <c:autoTitleDeleted val="0"/>
    <c:plotArea>
      <c:layout/>
      <c:barChart>
        <c:barDir val="col"/>
        <c:grouping val="clustered"/>
        <c:varyColors val="0"/>
        <c:ser>
          <c:idx val="0"/>
          <c:order val="0"/>
          <c:tx>
            <c:strRef>
              <c:f>'Summary &amp; Analysis - Quart New'!$AV$123</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New'!$AU$124:$AU$127</c:f>
              <c:strCache>
                <c:ptCount val="4"/>
                <c:pt idx="0">
                  <c:v>Politically and Macro Constrained</c:v>
                </c:pt>
                <c:pt idx="1">
                  <c:v>Politically Constrained Only</c:v>
                </c:pt>
                <c:pt idx="2">
                  <c:v>Macroeconomically Constrained Only</c:v>
                </c:pt>
                <c:pt idx="3">
                  <c:v>Stable</c:v>
                </c:pt>
              </c:strCache>
            </c:strRef>
          </c:cat>
          <c:val>
            <c:numRef>
              <c:f>'Summary &amp; Analysis - Quart New'!$AV$124:$AV$127</c:f>
              <c:numCache>
                <c:formatCode>0</c:formatCode>
                <c:ptCount val="4"/>
                <c:pt idx="0">
                  <c:v>83.451118963486451</c:v>
                </c:pt>
                <c:pt idx="1">
                  <c:v>635.90163934426232</c:v>
                </c:pt>
                <c:pt idx="2">
                  <c:v>198.89429824764571</c:v>
                </c:pt>
                <c:pt idx="3">
                  <c:v>565.18920068027205</c:v>
                </c:pt>
              </c:numCache>
            </c:numRef>
          </c:val>
          <c:extLst>
            <c:ext xmlns:c16="http://schemas.microsoft.com/office/drawing/2014/chart" uri="{C3380CC4-5D6E-409C-BE32-E72D297353CC}">
              <c16:uniqueId val="{00000000-EB3E-4C31-ABF4-8367BAA5982E}"/>
            </c:ext>
          </c:extLst>
        </c:ser>
        <c:ser>
          <c:idx val="1"/>
          <c:order val="1"/>
          <c:tx>
            <c:strRef>
              <c:f>'Summary &amp; Analysis - Quart New'!$AW$123</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New'!$AU$124:$AU$127</c:f>
              <c:strCache>
                <c:ptCount val="4"/>
                <c:pt idx="0">
                  <c:v>Politically and Macro Constrained</c:v>
                </c:pt>
                <c:pt idx="1">
                  <c:v>Politically Constrained Only</c:v>
                </c:pt>
                <c:pt idx="2">
                  <c:v>Macroeconomically Constrained Only</c:v>
                </c:pt>
                <c:pt idx="3">
                  <c:v>Stable</c:v>
                </c:pt>
              </c:strCache>
            </c:strRef>
          </c:cat>
          <c:val>
            <c:numRef>
              <c:f>'Summary &amp; Analysis - Quart New'!$AW$124:$AW$127</c:f>
              <c:numCache>
                <c:formatCode>0</c:formatCode>
                <c:ptCount val="4"/>
                <c:pt idx="0">
                  <c:v>37.362166931668916</c:v>
                </c:pt>
                <c:pt idx="1">
                  <c:v>517.55639485739061</c:v>
                </c:pt>
                <c:pt idx="2">
                  <c:v>155.0288032138933</c:v>
                </c:pt>
                <c:pt idx="3">
                  <c:v>565.18920068027205</c:v>
                </c:pt>
              </c:numCache>
            </c:numRef>
          </c:val>
          <c:extLst>
            <c:ext xmlns:c16="http://schemas.microsoft.com/office/drawing/2014/chart" uri="{C3380CC4-5D6E-409C-BE32-E72D297353CC}">
              <c16:uniqueId val="{00000001-EB3E-4C31-ABF4-8367BAA5982E}"/>
            </c:ext>
          </c:extLst>
        </c:ser>
        <c:dLbls>
          <c:showLegendKey val="0"/>
          <c:showVal val="0"/>
          <c:showCatName val="0"/>
          <c:showSerName val="0"/>
          <c:showPercent val="0"/>
          <c:showBubbleSize val="0"/>
        </c:dLbls>
        <c:gapWidth val="219"/>
        <c:overlap val="-27"/>
        <c:axId val="1445272688"/>
        <c:axId val="1445265488"/>
      </c:barChart>
      <c:catAx>
        <c:axId val="144527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45265488"/>
        <c:crosses val="autoZero"/>
        <c:auto val="1"/>
        <c:lblAlgn val="ctr"/>
        <c:lblOffset val="100"/>
        <c:noMultiLvlLbl val="0"/>
      </c:catAx>
      <c:valAx>
        <c:axId val="1445265488"/>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45272688"/>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200" b="0" i="0" strike="noStrike" kern="1200" spc="0" baseline="0">
                <a:solidFill>
                  <a:schemeClr val="tx1">
                    <a:lumMod val="65000"/>
                    <a:lumOff val="35000"/>
                  </a:schemeClr>
                </a:solidFill>
                <a:latin typeface="Noto Sans" panose="020B0502040504020204" pitchFamily="34" charset="0"/>
                <a:ea typeface="Noto Sans" panose="020B0502040504020204" pitchFamily="34" charset="0"/>
                <a:cs typeface="Noto Sans" panose="020B0502040504020204" pitchFamily="34" charset="0"/>
              </a:defRPr>
            </a:pPr>
            <a:r>
              <a:rPr lang="en-US" sz="1200">
                <a:solidFill>
                  <a:sysClr val="windowText" lastClr="000000"/>
                </a:solidFill>
              </a:rPr>
              <a:t>Number of jobs improved per million dollars spent </a:t>
            </a:r>
          </a:p>
        </c:rich>
      </c:tx>
      <c:overlay val="0"/>
      <c:spPr>
        <a:noFill/>
        <a:ln>
          <a:noFill/>
          <a:prstDash val="solid"/>
        </a:ln>
      </c:spPr>
    </c:title>
    <c:autoTitleDeleted val="0"/>
    <c:plotArea>
      <c:layout/>
      <c:barChart>
        <c:barDir val="col"/>
        <c:grouping val="clustered"/>
        <c:varyColors val="0"/>
        <c:ser>
          <c:idx val="0"/>
          <c:order val="0"/>
          <c:tx>
            <c:strRef>
              <c:f>'Summary &amp; Analysis - Quart New'!$BE$77</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New'!$BD$78:$BD$80</c:f>
              <c:strCache>
                <c:ptCount val="3"/>
                <c:pt idx="0">
                  <c:v>Agriculture</c:v>
                </c:pt>
                <c:pt idx="1">
                  <c:v>Mixed</c:v>
                </c:pt>
                <c:pt idx="2">
                  <c:v>Non-Agriculture</c:v>
                </c:pt>
              </c:strCache>
            </c:strRef>
          </c:cat>
          <c:val>
            <c:numRef>
              <c:f>'Summary &amp; Analysis - Quart New'!$BE$78:$BE$80</c:f>
              <c:numCache>
                <c:formatCode>0</c:formatCode>
                <c:ptCount val="3"/>
                <c:pt idx="0">
                  <c:v>2386.5026995573412</c:v>
                </c:pt>
                <c:pt idx="1">
                  <c:v>2386.5026995573412</c:v>
                </c:pt>
                <c:pt idx="2">
                  <c:v>1007.907201839503</c:v>
                </c:pt>
              </c:numCache>
            </c:numRef>
          </c:val>
          <c:extLst>
            <c:ext xmlns:c16="http://schemas.microsoft.com/office/drawing/2014/chart" uri="{C3380CC4-5D6E-409C-BE32-E72D297353CC}">
              <c16:uniqueId val="{00000000-CFE6-4922-9369-1FF140E652D7}"/>
            </c:ext>
          </c:extLst>
        </c:ser>
        <c:ser>
          <c:idx val="1"/>
          <c:order val="1"/>
          <c:tx>
            <c:strRef>
              <c:f>'Summary &amp; Analysis - Quart New'!$BF$77</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New'!$BD$78:$BD$80</c:f>
              <c:strCache>
                <c:ptCount val="3"/>
                <c:pt idx="0">
                  <c:v>Agriculture</c:v>
                </c:pt>
                <c:pt idx="1">
                  <c:v>Mixed</c:v>
                </c:pt>
                <c:pt idx="2">
                  <c:v>Non-Agriculture</c:v>
                </c:pt>
              </c:strCache>
            </c:strRef>
          </c:cat>
          <c:val>
            <c:numRef>
              <c:f>'Summary &amp; Analysis - Quart New'!$BF$78:$BF$80</c:f>
              <c:numCache>
                <c:formatCode>0</c:formatCode>
                <c:ptCount val="3"/>
                <c:pt idx="0">
                  <c:v>2283.937366824412</c:v>
                </c:pt>
                <c:pt idx="1">
                  <c:v>2170.0089765458042</c:v>
                </c:pt>
                <c:pt idx="2">
                  <c:v>830.25888612600102</c:v>
                </c:pt>
              </c:numCache>
            </c:numRef>
          </c:val>
          <c:extLst>
            <c:ext xmlns:c16="http://schemas.microsoft.com/office/drawing/2014/chart" uri="{C3380CC4-5D6E-409C-BE32-E72D297353CC}">
              <c16:uniqueId val="{00000001-CFE6-4922-9369-1FF140E652D7}"/>
            </c:ext>
          </c:extLst>
        </c:ser>
        <c:dLbls>
          <c:showLegendKey val="0"/>
          <c:showVal val="0"/>
          <c:showCatName val="0"/>
          <c:showSerName val="0"/>
          <c:showPercent val="0"/>
          <c:showBubbleSize val="0"/>
        </c:dLbls>
        <c:gapWidth val="219"/>
        <c:overlap val="-27"/>
        <c:axId val="1119722432"/>
        <c:axId val="1119724352"/>
      </c:barChart>
      <c:catAx>
        <c:axId val="1119722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19724352"/>
        <c:crosses val="autoZero"/>
        <c:auto val="1"/>
        <c:lblAlgn val="ctr"/>
        <c:lblOffset val="100"/>
        <c:noMultiLvlLbl val="0"/>
      </c:catAx>
      <c:valAx>
        <c:axId val="1119724352"/>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19722432"/>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200" b="0" i="0" strike="noStrike" kern="1200" spc="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r>
              <a:rPr lang="en-US" sz="1200">
                <a:solidFill>
                  <a:sysClr val="windowText" lastClr="000000"/>
                </a:solidFill>
              </a:rPr>
              <a:t>Number of jobs improved per million dollars spent</a:t>
            </a:r>
          </a:p>
        </c:rich>
      </c:tx>
      <c:overlay val="0"/>
      <c:spPr>
        <a:noFill/>
        <a:ln>
          <a:noFill/>
          <a:prstDash val="solid"/>
        </a:ln>
      </c:spPr>
    </c:title>
    <c:autoTitleDeleted val="0"/>
    <c:plotArea>
      <c:layout/>
      <c:barChart>
        <c:barDir val="col"/>
        <c:grouping val="clustered"/>
        <c:varyColors val="0"/>
        <c:ser>
          <c:idx val="0"/>
          <c:order val="0"/>
          <c:tx>
            <c:strRef>
              <c:f>'Summary &amp; Analysis - Quart New'!$BE$119</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New'!$BD$120:$BD$121</c:f>
              <c:strCache>
                <c:ptCount val="2"/>
                <c:pt idx="0">
                  <c:v>Non-FCAS</c:v>
                </c:pt>
                <c:pt idx="1">
                  <c:v>FCAS</c:v>
                </c:pt>
              </c:strCache>
            </c:strRef>
          </c:cat>
          <c:val>
            <c:numRef>
              <c:f>'Summary &amp; Analysis - Quart New'!$BE$120:$BE$121</c:f>
              <c:numCache>
                <c:formatCode>0</c:formatCode>
                <c:ptCount val="2"/>
                <c:pt idx="0">
                  <c:v>2582.7247616241302</c:v>
                </c:pt>
                <c:pt idx="1">
                  <c:v>1482.8571428571429</c:v>
                </c:pt>
              </c:numCache>
            </c:numRef>
          </c:val>
          <c:extLst>
            <c:ext xmlns:c16="http://schemas.microsoft.com/office/drawing/2014/chart" uri="{C3380CC4-5D6E-409C-BE32-E72D297353CC}">
              <c16:uniqueId val="{00000000-69B8-42B6-B323-2FA554D936CA}"/>
            </c:ext>
          </c:extLst>
        </c:ser>
        <c:ser>
          <c:idx val="1"/>
          <c:order val="1"/>
          <c:tx>
            <c:strRef>
              <c:f>'Summary &amp; Analysis - Quart New'!$BF$119</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New'!$BD$120:$BD$121</c:f>
              <c:strCache>
                <c:ptCount val="2"/>
                <c:pt idx="0">
                  <c:v>Non-FCAS</c:v>
                </c:pt>
                <c:pt idx="1">
                  <c:v>FCAS</c:v>
                </c:pt>
              </c:strCache>
            </c:strRef>
          </c:cat>
          <c:val>
            <c:numRef>
              <c:f>'Summary &amp; Analysis - Quart New'!$BF$120:$BF$121</c:f>
              <c:numCache>
                <c:formatCode>0</c:formatCode>
                <c:ptCount val="2"/>
                <c:pt idx="0">
                  <c:v>2320.4492435811849</c:v>
                </c:pt>
                <c:pt idx="1">
                  <c:v>976.57252396659783</c:v>
                </c:pt>
              </c:numCache>
            </c:numRef>
          </c:val>
          <c:extLst>
            <c:ext xmlns:c16="http://schemas.microsoft.com/office/drawing/2014/chart" uri="{C3380CC4-5D6E-409C-BE32-E72D297353CC}">
              <c16:uniqueId val="{00000001-69B8-42B6-B323-2FA554D936CA}"/>
            </c:ext>
          </c:extLst>
        </c:ser>
        <c:dLbls>
          <c:showLegendKey val="0"/>
          <c:showVal val="0"/>
          <c:showCatName val="0"/>
          <c:showSerName val="0"/>
          <c:showPercent val="0"/>
          <c:showBubbleSize val="0"/>
        </c:dLbls>
        <c:gapWidth val="219"/>
        <c:overlap val="-27"/>
        <c:axId val="1119691712"/>
        <c:axId val="1119694112"/>
      </c:barChart>
      <c:catAx>
        <c:axId val="1119691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19694112"/>
        <c:crosses val="autoZero"/>
        <c:auto val="1"/>
        <c:lblAlgn val="ctr"/>
        <c:lblOffset val="100"/>
        <c:noMultiLvlLbl val="0"/>
      </c:catAx>
      <c:valAx>
        <c:axId val="1119694112"/>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19691712"/>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New'!$D$77</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New'!$B$78:$C$79</c:f>
              <c:strCache>
                <c:ptCount val="2"/>
                <c:pt idx="0">
                  <c:v>Non-FCAS</c:v>
                </c:pt>
                <c:pt idx="1">
                  <c:v>FCAS</c:v>
                </c:pt>
              </c:strCache>
            </c:strRef>
          </c:cat>
          <c:val>
            <c:numRef>
              <c:f>'Summary &amp; Analysis - Quart New'!$D$78:$D$79</c:f>
              <c:numCache>
                <c:formatCode>General</c:formatCode>
                <c:ptCount val="2"/>
                <c:pt idx="0">
                  <c:v>132</c:v>
                </c:pt>
                <c:pt idx="1">
                  <c:v>285</c:v>
                </c:pt>
              </c:numCache>
            </c:numRef>
          </c:val>
          <c:extLst>
            <c:ext xmlns:c16="http://schemas.microsoft.com/office/drawing/2014/chart" uri="{C3380CC4-5D6E-409C-BE32-E72D297353CC}">
              <c16:uniqueId val="{00000000-60BD-4193-8241-5344E6AA9D18}"/>
            </c:ext>
          </c:extLst>
        </c:ser>
        <c:ser>
          <c:idx val="1"/>
          <c:order val="1"/>
          <c:tx>
            <c:strRef>
              <c:f>'Summary &amp; Analysis - Quart New'!$E$77</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New'!$B$78:$C$79</c:f>
              <c:strCache>
                <c:ptCount val="2"/>
                <c:pt idx="0">
                  <c:v>Non-FCAS</c:v>
                </c:pt>
                <c:pt idx="1">
                  <c:v>FCAS</c:v>
                </c:pt>
              </c:strCache>
            </c:strRef>
          </c:cat>
          <c:val>
            <c:numRef>
              <c:f>'Summary &amp; Analysis - Quart New'!$E$78:$E$79</c:f>
              <c:numCache>
                <c:formatCode>General</c:formatCode>
                <c:ptCount val="2"/>
                <c:pt idx="0">
                  <c:v>93</c:v>
                </c:pt>
                <c:pt idx="1">
                  <c:v>241</c:v>
                </c:pt>
              </c:numCache>
            </c:numRef>
          </c:val>
          <c:extLst>
            <c:ext xmlns:c16="http://schemas.microsoft.com/office/drawing/2014/chart" uri="{C3380CC4-5D6E-409C-BE32-E72D297353CC}">
              <c16:uniqueId val="{00000001-60BD-4193-8241-5344E6AA9D18}"/>
            </c:ext>
          </c:extLst>
        </c:ser>
        <c:dLbls>
          <c:showLegendKey val="0"/>
          <c:showVal val="0"/>
          <c:showCatName val="0"/>
          <c:showSerName val="0"/>
          <c:showPercent val="0"/>
          <c:showBubbleSize val="0"/>
        </c:dLbls>
        <c:gapWidth val="219"/>
        <c:overlap val="-27"/>
        <c:axId val="1403555296"/>
        <c:axId val="1403562496"/>
      </c:barChart>
      <c:catAx>
        <c:axId val="140355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03562496"/>
        <c:crosses val="autoZero"/>
        <c:auto val="1"/>
        <c:lblAlgn val="ctr"/>
        <c:lblOffset val="100"/>
        <c:noMultiLvlLbl val="0"/>
      </c:catAx>
      <c:valAx>
        <c:axId val="1403562496"/>
        <c:scaling>
          <c:orientation val="minMax"/>
        </c:scaling>
        <c:delete val="0"/>
        <c:axPos val="l"/>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0355529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New'!$D$109</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New'!$C$110:$C$112</c:f>
              <c:strCache>
                <c:ptCount val="3"/>
                <c:pt idx="0">
                  <c:v>Low-Income</c:v>
                </c:pt>
                <c:pt idx="1">
                  <c:v>Lower-Middle Income</c:v>
                </c:pt>
                <c:pt idx="2">
                  <c:v>Upper-Middle Income</c:v>
                </c:pt>
              </c:strCache>
            </c:strRef>
          </c:cat>
          <c:val>
            <c:numRef>
              <c:f>'Summary &amp; Analysis - Quart New'!$D$110:$D$112</c:f>
              <c:numCache>
                <c:formatCode>0.00</c:formatCode>
                <c:ptCount val="3"/>
                <c:pt idx="0">
                  <c:v>4.0204608987968862E-2</c:v>
                </c:pt>
                <c:pt idx="1">
                  <c:v>2.6493124495294999E-2</c:v>
                </c:pt>
                <c:pt idx="2">
                  <c:v>8.0074098435085287E-3</c:v>
                </c:pt>
              </c:numCache>
            </c:numRef>
          </c:val>
          <c:extLst>
            <c:ext xmlns:c16="http://schemas.microsoft.com/office/drawing/2014/chart" uri="{C3380CC4-5D6E-409C-BE32-E72D297353CC}">
              <c16:uniqueId val="{00000000-50CE-44EA-89CB-4EEFB989CE42}"/>
            </c:ext>
          </c:extLst>
        </c:ser>
        <c:ser>
          <c:idx val="1"/>
          <c:order val="1"/>
          <c:tx>
            <c:strRef>
              <c:f>'Summary &amp; Analysis - Quart New'!$E$109</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New'!$C$110:$C$112</c:f>
              <c:strCache>
                <c:ptCount val="3"/>
                <c:pt idx="0">
                  <c:v>Low-Income</c:v>
                </c:pt>
                <c:pt idx="1">
                  <c:v>Lower-Middle Income</c:v>
                </c:pt>
                <c:pt idx="2">
                  <c:v>Upper-Middle Income</c:v>
                </c:pt>
              </c:strCache>
            </c:strRef>
          </c:cat>
          <c:val>
            <c:numRef>
              <c:f>'Summary &amp; Analysis - Quart New'!$E$110:$E$112</c:f>
              <c:numCache>
                <c:formatCode>0.00</c:formatCode>
                <c:ptCount val="3"/>
                <c:pt idx="0">
                  <c:v>2.6261486063480201E-2</c:v>
                </c:pt>
                <c:pt idx="1">
                  <c:v>2.3891690454265181E-2</c:v>
                </c:pt>
                <c:pt idx="2">
                  <c:v>5.3804514356055244E-3</c:v>
                </c:pt>
              </c:numCache>
            </c:numRef>
          </c:val>
          <c:extLst>
            <c:ext xmlns:c16="http://schemas.microsoft.com/office/drawing/2014/chart" uri="{C3380CC4-5D6E-409C-BE32-E72D297353CC}">
              <c16:uniqueId val="{00000001-50CE-44EA-89CB-4EEFB989CE42}"/>
            </c:ext>
          </c:extLst>
        </c:ser>
        <c:dLbls>
          <c:showLegendKey val="0"/>
          <c:showVal val="0"/>
          <c:showCatName val="0"/>
          <c:showSerName val="0"/>
          <c:showPercent val="0"/>
          <c:showBubbleSize val="0"/>
        </c:dLbls>
        <c:gapWidth val="219"/>
        <c:overlap val="-27"/>
        <c:axId val="1558221184"/>
        <c:axId val="1558219264"/>
      </c:barChart>
      <c:catAx>
        <c:axId val="1558221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05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558219264"/>
        <c:crosses val="autoZero"/>
        <c:auto val="1"/>
        <c:lblAlgn val="ctr"/>
        <c:lblOffset val="100"/>
        <c:noMultiLvlLbl val="0"/>
      </c:catAx>
      <c:valAx>
        <c:axId val="1558219264"/>
        <c:scaling>
          <c:orientation val="minMax"/>
          <c:max val="5.000000000000001E-2"/>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55822118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mn-lt"/>
                <a:ea typeface="+mn-ea"/>
                <a:cs typeface="+mn-cs"/>
              </a:defRPr>
            </a:pPr>
            <a:r>
              <a:rPr lang="en-US" b="1"/>
              <a:t>Income per Beneficiary (USD) Across MSD Programmes</a:t>
            </a:r>
          </a:p>
        </c:rich>
      </c:tx>
      <c:overlay val="0"/>
      <c:spPr>
        <a:noFill/>
        <a:ln>
          <a:noFill/>
          <a:prstDash val="solid"/>
        </a:ln>
      </c:spPr>
    </c:title>
    <c:autoTitleDeleted val="0"/>
    <c:plotArea>
      <c:layout/>
      <c:barChart>
        <c:barDir val="col"/>
        <c:grouping val="clustered"/>
        <c:varyColors val="0"/>
        <c:ser>
          <c:idx val="1"/>
          <c:order val="0"/>
          <c:tx>
            <c:strRef>
              <c:f>'Summary &amp; Analysis - Quintiles'!$D$32</c:f>
              <c:strCache>
                <c:ptCount val="1"/>
                <c:pt idx="0">
                  <c:v>Mean</c:v>
                </c:pt>
              </c:strCache>
            </c:strRef>
          </c:tx>
          <c:spPr>
            <a:solidFill>
              <a:srgbClr val="1E2DBE"/>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'Summary &amp; Analysis - Quintiles'!$A$33:$B$51</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Quintiles'!$D$33:$D$51</c:f>
              <c:numCache>
                <c:formatCode>0</c:formatCode>
                <c:ptCount val="19"/>
                <c:pt idx="0">
                  <c:v>446.14076697653496</c:v>
                </c:pt>
                <c:pt idx="1">
                  <c:v>282.55024083333819</c:v>
                </c:pt>
                <c:pt idx="2">
                  <c:v>1002.3485558634038</c:v>
                </c:pt>
                <c:pt idx="3">
                  <c:v>559.99148446210302</c:v>
                </c:pt>
                <c:pt idx="4">
                  <c:v>740.23248911842336</c:v>
                </c:pt>
                <c:pt idx="5">
                  <c:v>265.88889926621664</c:v>
                </c:pt>
                <c:pt idx="6">
                  <c:v>329.46566815345039</c:v>
                </c:pt>
                <c:pt idx="7">
                  <c:v>552.92800441850193</c:v>
                </c:pt>
                <c:pt idx="8">
                  <c:v>552.18683118344347</c:v>
                </c:pt>
                <c:pt idx="9">
                  <c:v>250.80971214545693</c:v>
                </c:pt>
                <c:pt idx="10">
                  <c:v>608.00698818317039</c:v>
                </c:pt>
                <c:pt idx="11">
                  <c:v>417.23937507792829</c:v>
                </c:pt>
                <c:pt idx="12">
                  <c:v>232.91370595749356</c:v>
                </c:pt>
                <c:pt idx="13">
                  <c:v>496.03924151166507</c:v>
                </c:pt>
                <c:pt idx="14">
                  <c:v>378.55591486987942</c:v>
                </c:pt>
                <c:pt idx="15">
                  <c:v>279.3977515521928</c:v>
                </c:pt>
                <c:pt idx="16">
                  <c:v>575.23285112772339</c:v>
                </c:pt>
                <c:pt idx="17">
                  <c:v>446.14076697653496</c:v>
                </c:pt>
                <c:pt idx="18">
                  <c:v>513.74298566480297</c:v>
                </c:pt>
              </c:numCache>
            </c:numRef>
          </c:val>
          <c:extLst>
            <c:ext xmlns:c16="http://schemas.microsoft.com/office/drawing/2014/chart" uri="{C3380CC4-5D6E-409C-BE32-E72D297353CC}">
              <c16:uniqueId val="{00000000-FED0-4983-8B3C-A8FE80E5822E}"/>
            </c:ext>
          </c:extLst>
        </c:ser>
        <c:dLbls>
          <c:showLegendKey val="0"/>
          <c:showVal val="0"/>
          <c:showCatName val="0"/>
          <c:showSerName val="0"/>
          <c:showPercent val="0"/>
          <c:showBubbleSize val="0"/>
        </c:dLbls>
        <c:gapWidth val="219"/>
        <c:overlap val="-27"/>
        <c:axId val="1306095152"/>
        <c:axId val="1306095632"/>
      </c:barChart>
      <c:lineChart>
        <c:grouping val="stacked"/>
        <c:varyColors val="0"/>
        <c:ser>
          <c:idx val="2"/>
          <c:order val="1"/>
          <c:tx>
            <c:strRef>
              <c:f>'Summary &amp; Analysis - Quintiles'!$C$32</c:f>
              <c:strCache>
                <c:ptCount val="1"/>
                <c:pt idx="0">
                  <c:v>Median</c:v>
                </c:pt>
              </c:strCache>
            </c:strRef>
          </c:tx>
          <c:spPr>
            <a:ln w="12700" cap="rnd">
              <a:solidFill>
                <a:schemeClr val="tx2">
                  <a:lumMod val="50000"/>
                  <a:lumOff val="50000"/>
                </a:schemeClr>
              </a:solidFill>
              <a:prstDash val="solid"/>
              <a:round/>
            </a:ln>
          </c:spPr>
          <c:marker>
            <c:symbol val="circle"/>
            <c:size val="5"/>
            <c:spPr>
              <a:solidFill>
                <a:schemeClr val="accent1"/>
              </a:solidFill>
              <a:ln w="12700">
                <a:solidFill>
                  <a:schemeClr val="tx2">
                    <a:lumMod val="50000"/>
                    <a:lumOff val="50000"/>
                  </a:schemeClr>
                </a:solidFill>
                <a:prstDash val="solid"/>
              </a:ln>
            </c:spPr>
          </c:marker>
          <c:cat>
            <c:multiLvlStrRef>
              <c:f>'Summary &amp; Analysis - Quintiles'!$A$33:$B$51</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Quintiles'!$C$33:$C$51</c:f>
              <c:numCache>
                <c:formatCode>0</c:formatCode>
                <c:ptCount val="19"/>
                <c:pt idx="0">
                  <c:v>189.99599231861066</c:v>
                </c:pt>
                <c:pt idx="1">
                  <c:v>125.03383604055691</c:v>
                </c:pt>
                <c:pt idx="2">
                  <c:v>508.48724598018771</c:v>
                </c:pt>
                <c:pt idx="3">
                  <c:v>340.53438867507401</c:v>
                </c:pt>
                <c:pt idx="4">
                  <c:v>132.465622476475</c:v>
                </c:pt>
                <c:pt idx="5">
                  <c:v>191.32203389830511</c:v>
                </c:pt>
                <c:pt idx="6">
                  <c:v>188.1985</c:v>
                </c:pt>
                <c:pt idx="7">
                  <c:v>208.85773458658599</c:v>
                </c:pt>
                <c:pt idx="8">
                  <c:v>114.26296688026085</c:v>
                </c:pt>
                <c:pt idx="9">
                  <c:v>154.28601015043586</c:v>
                </c:pt>
                <c:pt idx="10">
                  <c:v>191.32203389830511</c:v>
                </c:pt>
                <c:pt idx="11">
                  <c:v>116.634423977346</c:v>
                </c:pt>
                <c:pt idx="12">
                  <c:v>212.87799860937119</c:v>
                </c:pt>
                <c:pt idx="13">
                  <c:v>132.465622476475</c:v>
                </c:pt>
                <c:pt idx="14">
                  <c:v>285.22750050110238</c:v>
                </c:pt>
                <c:pt idx="15">
                  <c:v>279.39775155219274</c:v>
                </c:pt>
                <c:pt idx="16">
                  <c:v>285.22750050110238</c:v>
                </c:pt>
                <c:pt idx="17">
                  <c:v>189.99599231861066</c:v>
                </c:pt>
                <c:pt idx="18">
                  <c:v>191.32203389830511</c:v>
                </c:pt>
              </c:numCache>
            </c:numRef>
          </c:val>
          <c:smooth val="0"/>
          <c:extLst>
            <c:ext xmlns:c16="http://schemas.microsoft.com/office/drawing/2014/chart" uri="{C3380CC4-5D6E-409C-BE32-E72D297353CC}">
              <c16:uniqueId val="{00000001-FED0-4983-8B3C-A8FE80E5822E}"/>
            </c:ext>
          </c:extLst>
        </c:ser>
        <c:dLbls>
          <c:showLegendKey val="0"/>
          <c:showVal val="0"/>
          <c:showCatName val="0"/>
          <c:showSerName val="0"/>
          <c:showPercent val="0"/>
          <c:showBubbleSize val="0"/>
        </c:dLbls>
        <c:marker val="1"/>
        <c:smooth val="0"/>
        <c:axId val="1306095152"/>
        <c:axId val="1306095632"/>
      </c:lineChart>
      <c:catAx>
        <c:axId val="1306095152"/>
        <c:scaling>
          <c:orientation val="minMax"/>
        </c:scaling>
        <c:delete val="0"/>
        <c:axPos val="b"/>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306095632"/>
        <c:crosses val="autoZero"/>
        <c:auto val="1"/>
        <c:lblAlgn val="ctr"/>
        <c:lblOffset val="100"/>
        <c:noMultiLvlLbl val="0"/>
      </c:catAx>
      <c:valAx>
        <c:axId val="1306095632"/>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306095152"/>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New'!$AV$73</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New'!$AU$74:$AU$76</c:f>
              <c:strCache>
                <c:ptCount val="3"/>
                <c:pt idx="0">
                  <c:v>Low-Income</c:v>
                </c:pt>
                <c:pt idx="1">
                  <c:v>Lower-Middle Income</c:v>
                </c:pt>
                <c:pt idx="2">
                  <c:v>Upper-Middle Income</c:v>
                </c:pt>
              </c:strCache>
            </c:strRef>
          </c:cat>
          <c:val>
            <c:numRef>
              <c:f>'Summary &amp; Analysis - Quart New'!$AV$74:$AV$76</c:f>
              <c:numCache>
                <c:formatCode>0</c:formatCode>
                <c:ptCount val="3"/>
                <c:pt idx="0">
                  <c:v>227.74559947095159</c:v>
                </c:pt>
                <c:pt idx="1">
                  <c:v>629.30083333333323</c:v>
                </c:pt>
                <c:pt idx="2">
                  <c:v>196.64</c:v>
                </c:pt>
              </c:numCache>
            </c:numRef>
          </c:val>
          <c:extLst>
            <c:ext xmlns:c16="http://schemas.microsoft.com/office/drawing/2014/chart" uri="{C3380CC4-5D6E-409C-BE32-E72D297353CC}">
              <c16:uniqueId val="{00000000-7ECA-448E-A66A-469F17F9EDCF}"/>
            </c:ext>
          </c:extLst>
        </c:ser>
        <c:ser>
          <c:idx val="1"/>
          <c:order val="1"/>
          <c:tx>
            <c:strRef>
              <c:f>'Summary &amp; Analysis - Quart New'!$AW$73</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New'!$AU$74:$AU$76</c:f>
              <c:strCache>
                <c:ptCount val="3"/>
                <c:pt idx="0">
                  <c:v>Low-Income</c:v>
                </c:pt>
                <c:pt idx="1">
                  <c:v>Lower-Middle Income</c:v>
                </c:pt>
                <c:pt idx="2">
                  <c:v>Upper-Middle Income</c:v>
                </c:pt>
              </c:strCache>
            </c:strRef>
          </c:cat>
          <c:val>
            <c:numRef>
              <c:f>'Summary &amp; Analysis - Quart New'!$AW$74:$AW$76</c:f>
              <c:numCache>
                <c:formatCode>0</c:formatCode>
                <c:ptCount val="3"/>
                <c:pt idx="0">
                  <c:v>219.75291450667291</c:v>
                </c:pt>
                <c:pt idx="1">
                  <c:v>588.71523014841364</c:v>
                </c:pt>
                <c:pt idx="2">
                  <c:v>180.43696184074571</c:v>
                </c:pt>
              </c:numCache>
            </c:numRef>
          </c:val>
          <c:extLst>
            <c:ext xmlns:c16="http://schemas.microsoft.com/office/drawing/2014/chart" uri="{C3380CC4-5D6E-409C-BE32-E72D297353CC}">
              <c16:uniqueId val="{00000001-7ECA-448E-A66A-469F17F9EDCF}"/>
            </c:ext>
          </c:extLst>
        </c:ser>
        <c:dLbls>
          <c:showLegendKey val="0"/>
          <c:showVal val="0"/>
          <c:showCatName val="0"/>
          <c:showSerName val="0"/>
          <c:showPercent val="0"/>
          <c:showBubbleSize val="0"/>
        </c:dLbls>
        <c:gapWidth val="219"/>
        <c:overlap val="-27"/>
        <c:axId val="1349195247"/>
        <c:axId val="1349189487"/>
      </c:barChart>
      <c:catAx>
        <c:axId val="1349195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49189487"/>
        <c:crosses val="autoZero"/>
        <c:auto val="1"/>
        <c:lblAlgn val="ctr"/>
        <c:lblOffset val="100"/>
        <c:noMultiLvlLbl val="0"/>
      </c:catAx>
      <c:valAx>
        <c:axId val="1349189487"/>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49195247"/>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New'!$AV$123</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New'!$AU$124:$AU$127</c:f>
              <c:strCache>
                <c:ptCount val="4"/>
                <c:pt idx="0">
                  <c:v>Politically and Macro Constrained</c:v>
                </c:pt>
                <c:pt idx="1">
                  <c:v>Politically Constrained Only</c:v>
                </c:pt>
                <c:pt idx="2">
                  <c:v>Macroeconomically Constrained Only</c:v>
                </c:pt>
                <c:pt idx="3">
                  <c:v>Stable</c:v>
                </c:pt>
              </c:strCache>
            </c:strRef>
          </c:cat>
          <c:val>
            <c:numRef>
              <c:f>'Summary &amp; Analysis - Quart New'!$AV$124:$AV$127</c:f>
              <c:numCache>
                <c:formatCode>0</c:formatCode>
                <c:ptCount val="4"/>
                <c:pt idx="0">
                  <c:v>83.451118963486451</c:v>
                </c:pt>
                <c:pt idx="1">
                  <c:v>635.90163934426232</c:v>
                </c:pt>
                <c:pt idx="2">
                  <c:v>198.89429824764571</c:v>
                </c:pt>
                <c:pt idx="3">
                  <c:v>565.18920068027205</c:v>
                </c:pt>
              </c:numCache>
            </c:numRef>
          </c:val>
          <c:extLst>
            <c:ext xmlns:c16="http://schemas.microsoft.com/office/drawing/2014/chart" uri="{C3380CC4-5D6E-409C-BE32-E72D297353CC}">
              <c16:uniqueId val="{00000000-A9CB-411B-BE29-B51FD5B3F199}"/>
            </c:ext>
          </c:extLst>
        </c:ser>
        <c:ser>
          <c:idx val="1"/>
          <c:order val="1"/>
          <c:tx>
            <c:strRef>
              <c:f>'Summary &amp; Analysis - Quart New'!$AW$123</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New'!$AU$124:$AU$127</c:f>
              <c:strCache>
                <c:ptCount val="4"/>
                <c:pt idx="0">
                  <c:v>Politically and Macro Constrained</c:v>
                </c:pt>
                <c:pt idx="1">
                  <c:v>Politically Constrained Only</c:v>
                </c:pt>
                <c:pt idx="2">
                  <c:v>Macroeconomically Constrained Only</c:v>
                </c:pt>
                <c:pt idx="3">
                  <c:v>Stable</c:v>
                </c:pt>
              </c:strCache>
            </c:strRef>
          </c:cat>
          <c:val>
            <c:numRef>
              <c:f>'Summary &amp; Analysis - Quart New'!$AW$124:$AW$127</c:f>
              <c:numCache>
                <c:formatCode>0</c:formatCode>
                <c:ptCount val="4"/>
                <c:pt idx="0">
                  <c:v>37.362166931668916</c:v>
                </c:pt>
                <c:pt idx="1">
                  <c:v>517.55639485739061</c:v>
                </c:pt>
                <c:pt idx="2">
                  <c:v>155.0288032138933</c:v>
                </c:pt>
                <c:pt idx="3">
                  <c:v>565.18920068027205</c:v>
                </c:pt>
              </c:numCache>
            </c:numRef>
          </c:val>
          <c:extLst>
            <c:ext xmlns:c16="http://schemas.microsoft.com/office/drawing/2014/chart" uri="{C3380CC4-5D6E-409C-BE32-E72D297353CC}">
              <c16:uniqueId val="{00000001-A9CB-411B-BE29-B51FD5B3F199}"/>
            </c:ext>
          </c:extLst>
        </c:ser>
        <c:dLbls>
          <c:showLegendKey val="0"/>
          <c:showVal val="0"/>
          <c:showCatName val="0"/>
          <c:showSerName val="0"/>
          <c:showPercent val="0"/>
          <c:showBubbleSize val="0"/>
        </c:dLbls>
        <c:gapWidth val="219"/>
        <c:overlap val="-27"/>
        <c:axId val="1445272688"/>
        <c:axId val="1445265488"/>
      </c:barChart>
      <c:catAx>
        <c:axId val="144527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45265488"/>
        <c:crosses val="autoZero"/>
        <c:auto val="1"/>
        <c:lblAlgn val="ctr"/>
        <c:lblOffset val="100"/>
        <c:noMultiLvlLbl val="0"/>
      </c:catAx>
      <c:valAx>
        <c:axId val="1445265488"/>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45272688"/>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New'!$AV$95</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New'!$AT$96:$AU$99</c:f>
              <c:strCache>
                <c:ptCount val="4"/>
                <c:pt idx="0">
                  <c:v>Small Programmes</c:v>
                </c:pt>
                <c:pt idx="1">
                  <c:v>Medium Programmes</c:v>
                </c:pt>
                <c:pt idx="2">
                  <c:v>Large Programmes</c:v>
                </c:pt>
                <c:pt idx="3">
                  <c:v>Very Large Programmes</c:v>
                </c:pt>
              </c:strCache>
            </c:strRef>
          </c:cat>
          <c:val>
            <c:numRef>
              <c:f>'Summary &amp; Analysis - Quart New'!$AV$96:$AV$99</c:f>
              <c:numCache>
                <c:formatCode>0</c:formatCode>
                <c:ptCount val="4"/>
                <c:pt idx="0">
                  <c:v>239.2858588012422</c:v>
                </c:pt>
                <c:pt idx="1">
                  <c:v>213.8674454037583</c:v>
                </c:pt>
                <c:pt idx="2">
                  <c:v>466.26765135529939</c:v>
                </c:pt>
                <c:pt idx="3">
                  <c:v>598.59825652691143</c:v>
                </c:pt>
              </c:numCache>
            </c:numRef>
          </c:val>
          <c:extLst>
            <c:ext xmlns:c16="http://schemas.microsoft.com/office/drawing/2014/chart" uri="{C3380CC4-5D6E-409C-BE32-E72D297353CC}">
              <c16:uniqueId val="{00000000-D3F4-4B1D-9ED1-E0F50383EF0E}"/>
            </c:ext>
          </c:extLst>
        </c:ser>
        <c:ser>
          <c:idx val="1"/>
          <c:order val="1"/>
          <c:tx>
            <c:strRef>
              <c:f>'Summary &amp; Analysis - Quart New'!$AW$95</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New'!$AT$96:$AU$99</c:f>
              <c:strCache>
                <c:ptCount val="4"/>
                <c:pt idx="0">
                  <c:v>Small Programmes</c:v>
                </c:pt>
                <c:pt idx="1">
                  <c:v>Medium Programmes</c:v>
                </c:pt>
                <c:pt idx="2">
                  <c:v>Large Programmes</c:v>
                </c:pt>
                <c:pt idx="3">
                  <c:v>Very Large Programmes</c:v>
                </c:pt>
              </c:strCache>
            </c:strRef>
          </c:cat>
          <c:val>
            <c:numRef>
              <c:f>'Summary &amp; Analysis - Quart New'!$AW$96:$AW$99</c:f>
              <c:numCache>
                <c:formatCode>0</c:formatCode>
                <c:ptCount val="4"/>
                <c:pt idx="0">
                  <c:v>239.1227500095824</c:v>
                </c:pt>
                <c:pt idx="1">
                  <c:v>220.9140982994187</c:v>
                </c:pt>
                <c:pt idx="2">
                  <c:v>378.7091554993217</c:v>
                </c:pt>
                <c:pt idx="3">
                  <c:v>418.53926272690001</c:v>
                </c:pt>
              </c:numCache>
            </c:numRef>
          </c:val>
          <c:extLst>
            <c:ext xmlns:c16="http://schemas.microsoft.com/office/drawing/2014/chart" uri="{C3380CC4-5D6E-409C-BE32-E72D297353CC}">
              <c16:uniqueId val="{00000001-D3F4-4B1D-9ED1-E0F50383EF0E}"/>
            </c:ext>
          </c:extLst>
        </c:ser>
        <c:dLbls>
          <c:showLegendKey val="0"/>
          <c:showVal val="0"/>
          <c:showCatName val="0"/>
          <c:showSerName val="0"/>
          <c:showPercent val="0"/>
          <c:showBubbleSize val="0"/>
        </c:dLbls>
        <c:gapWidth val="219"/>
        <c:overlap val="-27"/>
        <c:axId val="1522477056"/>
        <c:axId val="1522481376"/>
      </c:barChart>
      <c:catAx>
        <c:axId val="1522477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522481376"/>
        <c:crosses val="autoZero"/>
        <c:auto val="1"/>
        <c:lblAlgn val="ctr"/>
        <c:lblOffset val="100"/>
        <c:noMultiLvlLbl val="0"/>
      </c:catAx>
      <c:valAx>
        <c:axId val="1522481376"/>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52247705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New'!$BE$73</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New'!$BD$74:$BD$76</c:f>
              <c:strCache>
                <c:ptCount val="3"/>
                <c:pt idx="0">
                  <c:v>Agriculture</c:v>
                </c:pt>
                <c:pt idx="1">
                  <c:v>Mixed</c:v>
                </c:pt>
                <c:pt idx="2">
                  <c:v>Non-Agriculture</c:v>
                </c:pt>
              </c:strCache>
            </c:strRef>
          </c:cat>
          <c:val>
            <c:numRef>
              <c:f>'Summary &amp; Analysis - Quart New'!$BE$74:$BE$76</c:f>
              <c:numCache>
                <c:formatCode>0</c:formatCode>
                <c:ptCount val="3"/>
                <c:pt idx="0">
                  <c:v>209.55307262569829</c:v>
                </c:pt>
                <c:pt idx="1">
                  <c:v>218.18181818181819</c:v>
                </c:pt>
                <c:pt idx="2">
                  <c:v>317.04961405231433</c:v>
                </c:pt>
              </c:numCache>
            </c:numRef>
          </c:val>
          <c:extLst>
            <c:ext xmlns:c16="http://schemas.microsoft.com/office/drawing/2014/chart" uri="{C3380CC4-5D6E-409C-BE32-E72D297353CC}">
              <c16:uniqueId val="{00000000-8423-468B-BC02-A6D447DCD629}"/>
            </c:ext>
          </c:extLst>
        </c:ser>
        <c:ser>
          <c:idx val="1"/>
          <c:order val="1"/>
          <c:tx>
            <c:strRef>
              <c:f>'Summary &amp; Analysis - Quart New'!$BF$73</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New'!$BD$74:$BD$76</c:f>
              <c:strCache>
                <c:ptCount val="3"/>
                <c:pt idx="0">
                  <c:v>Agriculture</c:v>
                </c:pt>
                <c:pt idx="1">
                  <c:v>Mixed</c:v>
                </c:pt>
                <c:pt idx="2">
                  <c:v>Non-Agriculture</c:v>
                </c:pt>
              </c:strCache>
            </c:strRef>
          </c:cat>
          <c:val>
            <c:numRef>
              <c:f>'Summary &amp; Analysis - Quart New'!$BF$74:$BF$76</c:f>
              <c:numCache>
                <c:formatCode>0</c:formatCode>
                <c:ptCount val="3"/>
                <c:pt idx="0">
                  <c:v>216.14040688917041</c:v>
                </c:pt>
                <c:pt idx="1">
                  <c:v>219.2864206010332</c:v>
                </c:pt>
                <c:pt idx="2">
                  <c:v>298.98988035933718</c:v>
                </c:pt>
              </c:numCache>
            </c:numRef>
          </c:val>
          <c:extLst>
            <c:ext xmlns:c16="http://schemas.microsoft.com/office/drawing/2014/chart" uri="{C3380CC4-5D6E-409C-BE32-E72D297353CC}">
              <c16:uniqueId val="{00000001-8423-468B-BC02-A6D447DCD629}"/>
            </c:ext>
          </c:extLst>
        </c:ser>
        <c:dLbls>
          <c:showLegendKey val="0"/>
          <c:showVal val="0"/>
          <c:showCatName val="0"/>
          <c:showSerName val="0"/>
          <c:showPercent val="0"/>
          <c:showBubbleSize val="0"/>
        </c:dLbls>
        <c:gapWidth val="219"/>
        <c:overlap val="-27"/>
        <c:axId val="1433822528"/>
        <c:axId val="1433820128"/>
      </c:barChart>
      <c:catAx>
        <c:axId val="143382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33820128"/>
        <c:crosses val="autoZero"/>
        <c:auto val="1"/>
        <c:lblAlgn val="ctr"/>
        <c:lblOffset val="100"/>
        <c:noMultiLvlLbl val="0"/>
      </c:catAx>
      <c:valAx>
        <c:axId val="1433820128"/>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33822528"/>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New'!$BE$77</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New'!$BD$78:$BD$80</c:f>
              <c:strCache>
                <c:ptCount val="3"/>
                <c:pt idx="0">
                  <c:v>Agriculture</c:v>
                </c:pt>
                <c:pt idx="1">
                  <c:v>Mixed</c:v>
                </c:pt>
                <c:pt idx="2">
                  <c:v>Non-Agriculture</c:v>
                </c:pt>
              </c:strCache>
            </c:strRef>
          </c:cat>
          <c:val>
            <c:numRef>
              <c:f>'Summary &amp; Analysis - Quart New'!$BE$78:$BE$80</c:f>
              <c:numCache>
                <c:formatCode>0</c:formatCode>
                <c:ptCount val="3"/>
                <c:pt idx="0">
                  <c:v>2386.5026995573412</c:v>
                </c:pt>
                <c:pt idx="1">
                  <c:v>2386.5026995573412</c:v>
                </c:pt>
                <c:pt idx="2">
                  <c:v>1007.907201839503</c:v>
                </c:pt>
              </c:numCache>
            </c:numRef>
          </c:val>
          <c:extLst>
            <c:ext xmlns:c16="http://schemas.microsoft.com/office/drawing/2014/chart" uri="{C3380CC4-5D6E-409C-BE32-E72D297353CC}">
              <c16:uniqueId val="{00000000-95D4-4D63-ADAD-37B26DF8B140}"/>
            </c:ext>
          </c:extLst>
        </c:ser>
        <c:ser>
          <c:idx val="1"/>
          <c:order val="1"/>
          <c:tx>
            <c:strRef>
              <c:f>'Summary &amp; Analysis - Quart New'!$BF$77</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New'!$BD$78:$BD$80</c:f>
              <c:strCache>
                <c:ptCount val="3"/>
                <c:pt idx="0">
                  <c:v>Agriculture</c:v>
                </c:pt>
                <c:pt idx="1">
                  <c:v>Mixed</c:v>
                </c:pt>
                <c:pt idx="2">
                  <c:v>Non-Agriculture</c:v>
                </c:pt>
              </c:strCache>
            </c:strRef>
          </c:cat>
          <c:val>
            <c:numRef>
              <c:f>'Summary &amp; Analysis - Quart New'!$BF$78:$BF$80</c:f>
              <c:numCache>
                <c:formatCode>0</c:formatCode>
                <c:ptCount val="3"/>
                <c:pt idx="0">
                  <c:v>2283.937366824412</c:v>
                </c:pt>
                <c:pt idx="1">
                  <c:v>2170.0089765458042</c:v>
                </c:pt>
                <c:pt idx="2">
                  <c:v>830.25888612600102</c:v>
                </c:pt>
              </c:numCache>
            </c:numRef>
          </c:val>
          <c:extLst>
            <c:ext xmlns:c16="http://schemas.microsoft.com/office/drawing/2014/chart" uri="{C3380CC4-5D6E-409C-BE32-E72D297353CC}">
              <c16:uniqueId val="{00000001-95D4-4D63-ADAD-37B26DF8B140}"/>
            </c:ext>
          </c:extLst>
        </c:ser>
        <c:dLbls>
          <c:showLegendKey val="0"/>
          <c:showVal val="0"/>
          <c:showCatName val="0"/>
          <c:showSerName val="0"/>
          <c:showPercent val="0"/>
          <c:showBubbleSize val="0"/>
        </c:dLbls>
        <c:gapWidth val="219"/>
        <c:overlap val="-27"/>
        <c:axId val="1119722432"/>
        <c:axId val="1119724352"/>
      </c:barChart>
      <c:catAx>
        <c:axId val="1119722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19724352"/>
        <c:crosses val="autoZero"/>
        <c:auto val="1"/>
        <c:lblAlgn val="ctr"/>
        <c:lblOffset val="100"/>
        <c:noMultiLvlLbl val="0"/>
      </c:catAx>
      <c:valAx>
        <c:axId val="1119724352"/>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19722432"/>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New'!$BE$114</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New'!$BD$115:$BD$117</c:f>
              <c:strCache>
                <c:ptCount val="3"/>
                <c:pt idx="0">
                  <c:v>Low-Income</c:v>
                </c:pt>
                <c:pt idx="1">
                  <c:v>Lower-Middle Income</c:v>
                </c:pt>
                <c:pt idx="2">
                  <c:v>Upper-Middle Income</c:v>
                </c:pt>
              </c:strCache>
            </c:strRef>
          </c:cat>
          <c:val>
            <c:numRef>
              <c:f>'Summary &amp; Analysis - Quart New'!$BE$115:$BE$117</c:f>
              <c:numCache>
                <c:formatCode>0</c:formatCode>
                <c:ptCount val="3"/>
                <c:pt idx="0">
                  <c:v>2386.5026995573412</c:v>
                </c:pt>
                <c:pt idx="1">
                  <c:v>3189.769846249128</c:v>
                </c:pt>
                <c:pt idx="2">
                  <c:v>1411.670967132399</c:v>
                </c:pt>
              </c:numCache>
            </c:numRef>
          </c:val>
          <c:extLst>
            <c:ext xmlns:c16="http://schemas.microsoft.com/office/drawing/2014/chart" uri="{C3380CC4-5D6E-409C-BE32-E72D297353CC}">
              <c16:uniqueId val="{00000000-A132-4847-AD29-0A18CC8C457F}"/>
            </c:ext>
          </c:extLst>
        </c:ser>
        <c:ser>
          <c:idx val="1"/>
          <c:order val="1"/>
          <c:tx>
            <c:strRef>
              <c:f>'Summary &amp; Analysis - Quart New'!$BF$114</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New'!$BD$115:$BD$117</c:f>
              <c:strCache>
                <c:ptCount val="3"/>
                <c:pt idx="0">
                  <c:v>Low-Income</c:v>
                </c:pt>
                <c:pt idx="1">
                  <c:v>Lower-Middle Income</c:v>
                </c:pt>
                <c:pt idx="2">
                  <c:v>Upper-Middle Income</c:v>
                </c:pt>
              </c:strCache>
            </c:strRef>
          </c:cat>
          <c:val>
            <c:numRef>
              <c:f>'Summary &amp; Analysis - Quart New'!$BF$115:$BF$117</c:f>
              <c:numCache>
                <c:formatCode>0</c:formatCode>
                <c:ptCount val="3"/>
                <c:pt idx="0">
                  <c:v>2357.619210315198</c:v>
                </c:pt>
                <c:pt idx="1">
                  <c:v>2592.8889018296109</c:v>
                </c:pt>
                <c:pt idx="2">
                  <c:v>724.23056380779747</c:v>
                </c:pt>
              </c:numCache>
            </c:numRef>
          </c:val>
          <c:extLst>
            <c:ext xmlns:c16="http://schemas.microsoft.com/office/drawing/2014/chart" uri="{C3380CC4-5D6E-409C-BE32-E72D297353CC}">
              <c16:uniqueId val="{00000001-A132-4847-AD29-0A18CC8C457F}"/>
            </c:ext>
          </c:extLst>
        </c:ser>
        <c:dLbls>
          <c:showLegendKey val="0"/>
          <c:showVal val="0"/>
          <c:showCatName val="0"/>
          <c:showSerName val="0"/>
          <c:showPercent val="0"/>
          <c:showBubbleSize val="0"/>
        </c:dLbls>
        <c:gapWidth val="219"/>
        <c:overlap val="-27"/>
        <c:axId val="1374262687"/>
        <c:axId val="1374263167"/>
      </c:barChart>
      <c:catAx>
        <c:axId val="1374262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74263167"/>
        <c:crosses val="autoZero"/>
        <c:auto val="1"/>
        <c:lblAlgn val="ctr"/>
        <c:lblOffset val="100"/>
        <c:noMultiLvlLbl val="0"/>
      </c:catAx>
      <c:valAx>
        <c:axId val="1374263167"/>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74262687"/>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New'!$BE$119</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New'!$BD$120:$BD$121</c:f>
              <c:strCache>
                <c:ptCount val="2"/>
                <c:pt idx="0">
                  <c:v>Non-FCAS</c:v>
                </c:pt>
                <c:pt idx="1">
                  <c:v>FCAS</c:v>
                </c:pt>
              </c:strCache>
            </c:strRef>
          </c:cat>
          <c:val>
            <c:numRef>
              <c:f>'Summary &amp; Analysis - Quart New'!$BE$120:$BE$121</c:f>
              <c:numCache>
                <c:formatCode>0</c:formatCode>
                <c:ptCount val="2"/>
                <c:pt idx="0">
                  <c:v>2582.7247616241302</c:v>
                </c:pt>
                <c:pt idx="1">
                  <c:v>1482.8571428571429</c:v>
                </c:pt>
              </c:numCache>
            </c:numRef>
          </c:val>
          <c:extLst>
            <c:ext xmlns:c16="http://schemas.microsoft.com/office/drawing/2014/chart" uri="{C3380CC4-5D6E-409C-BE32-E72D297353CC}">
              <c16:uniqueId val="{00000000-0FC6-4409-98F0-5470889DD426}"/>
            </c:ext>
          </c:extLst>
        </c:ser>
        <c:ser>
          <c:idx val="1"/>
          <c:order val="1"/>
          <c:tx>
            <c:strRef>
              <c:f>'Summary &amp; Analysis - Quart New'!$BF$119</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New'!$BD$120:$BD$121</c:f>
              <c:strCache>
                <c:ptCount val="2"/>
                <c:pt idx="0">
                  <c:v>Non-FCAS</c:v>
                </c:pt>
                <c:pt idx="1">
                  <c:v>FCAS</c:v>
                </c:pt>
              </c:strCache>
            </c:strRef>
          </c:cat>
          <c:val>
            <c:numRef>
              <c:f>'Summary &amp; Analysis - Quart New'!$BF$120:$BF$121</c:f>
              <c:numCache>
                <c:formatCode>0</c:formatCode>
                <c:ptCount val="2"/>
                <c:pt idx="0">
                  <c:v>2320.4492435811849</c:v>
                </c:pt>
                <c:pt idx="1">
                  <c:v>976.57252396659783</c:v>
                </c:pt>
              </c:numCache>
            </c:numRef>
          </c:val>
          <c:extLst>
            <c:ext xmlns:c16="http://schemas.microsoft.com/office/drawing/2014/chart" uri="{C3380CC4-5D6E-409C-BE32-E72D297353CC}">
              <c16:uniqueId val="{00000001-0FC6-4409-98F0-5470889DD426}"/>
            </c:ext>
          </c:extLst>
        </c:ser>
        <c:dLbls>
          <c:showLegendKey val="0"/>
          <c:showVal val="0"/>
          <c:showCatName val="0"/>
          <c:showSerName val="0"/>
          <c:showPercent val="0"/>
          <c:showBubbleSize val="0"/>
        </c:dLbls>
        <c:gapWidth val="219"/>
        <c:overlap val="-27"/>
        <c:axId val="1119691712"/>
        <c:axId val="1119694112"/>
      </c:barChart>
      <c:catAx>
        <c:axId val="1119691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19694112"/>
        <c:crosses val="autoZero"/>
        <c:auto val="1"/>
        <c:lblAlgn val="ctr"/>
        <c:lblOffset val="100"/>
        <c:noMultiLvlLbl val="0"/>
      </c:catAx>
      <c:valAx>
        <c:axId val="1119694112"/>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19691712"/>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r>
              <a:rPr lang="en-US">
                <a:solidFill>
                  <a:sysClr val="windowText" lastClr="000000"/>
                </a:solidFill>
              </a:rPr>
              <a:t>Private Sector Investment (USD) / Budget </a:t>
            </a:r>
          </a:p>
        </c:rich>
      </c:tx>
      <c:overlay val="0"/>
      <c:spPr>
        <a:noFill/>
        <a:ln>
          <a:noFill/>
          <a:prstDash val="solid"/>
        </a:ln>
      </c:spPr>
    </c:title>
    <c:autoTitleDeleted val="0"/>
    <c:plotArea>
      <c:layout/>
      <c:barChart>
        <c:barDir val="col"/>
        <c:grouping val="clustered"/>
        <c:varyColors val="0"/>
        <c:ser>
          <c:idx val="0"/>
          <c:order val="0"/>
          <c:tx>
            <c:strRef>
              <c:f>'Summary &amp; Analysis - Quart New'!$U$73</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New'!$T$74:$T$77</c:f>
              <c:strCache>
                <c:ptCount val="4"/>
                <c:pt idx="0">
                  <c:v>Politically and Macro Constrained</c:v>
                </c:pt>
                <c:pt idx="1">
                  <c:v>Politically Constrained Only</c:v>
                </c:pt>
                <c:pt idx="2">
                  <c:v>Macroeconomically Constrained Only</c:v>
                </c:pt>
                <c:pt idx="3">
                  <c:v>Stable</c:v>
                </c:pt>
              </c:strCache>
            </c:strRef>
          </c:cat>
          <c:val>
            <c:numRef>
              <c:f>'Summary &amp; Analysis - Quart New'!$U$74:$U$77</c:f>
              <c:numCache>
                <c:formatCode>0.00</c:formatCode>
                <c:ptCount val="4"/>
                <c:pt idx="0">
                  <c:v>0.2697065081379364</c:v>
                </c:pt>
                <c:pt idx="1">
                  <c:v>0.31970482897384311</c:v>
                </c:pt>
                <c:pt idx="2">
                  <c:v>0.52782178217821785</c:v>
                </c:pt>
                <c:pt idx="3">
                  <c:v>1.133113833333333</c:v>
                </c:pt>
              </c:numCache>
            </c:numRef>
          </c:val>
          <c:extLst>
            <c:ext xmlns:c16="http://schemas.microsoft.com/office/drawing/2014/chart" uri="{C3380CC4-5D6E-409C-BE32-E72D297353CC}">
              <c16:uniqueId val="{00000000-97A3-4A68-95DE-AD25B893FBA8}"/>
            </c:ext>
          </c:extLst>
        </c:ser>
        <c:ser>
          <c:idx val="1"/>
          <c:order val="1"/>
          <c:tx>
            <c:strRef>
              <c:f>'Summary &amp; Analysis - Quart New'!$V$73</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New'!$T$74:$T$77</c:f>
              <c:strCache>
                <c:ptCount val="4"/>
                <c:pt idx="0">
                  <c:v>Politically and Macro Constrained</c:v>
                </c:pt>
                <c:pt idx="1">
                  <c:v>Politically Constrained Only</c:v>
                </c:pt>
                <c:pt idx="2">
                  <c:v>Macroeconomically Constrained Only</c:v>
                </c:pt>
                <c:pt idx="3">
                  <c:v>Stable</c:v>
                </c:pt>
              </c:strCache>
            </c:strRef>
          </c:cat>
          <c:val>
            <c:numRef>
              <c:f>'Summary &amp; Analysis - Quart New'!$V$74:$V$77</c:f>
              <c:numCache>
                <c:formatCode>0.00</c:formatCode>
                <c:ptCount val="4"/>
                <c:pt idx="0">
                  <c:v>0.1883853400912508</c:v>
                </c:pt>
                <c:pt idx="1">
                  <c:v>0.27223122273315842</c:v>
                </c:pt>
                <c:pt idx="2">
                  <c:v>0.48740605038359769</c:v>
                </c:pt>
                <c:pt idx="3">
                  <c:v>0.64346491666666661</c:v>
                </c:pt>
              </c:numCache>
            </c:numRef>
          </c:val>
          <c:extLst>
            <c:ext xmlns:c16="http://schemas.microsoft.com/office/drawing/2014/chart" uri="{C3380CC4-5D6E-409C-BE32-E72D297353CC}">
              <c16:uniqueId val="{00000001-97A3-4A68-95DE-AD25B893FBA8}"/>
            </c:ext>
          </c:extLst>
        </c:ser>
        <c:dLbls>
          <c:showLegendKey val="0"/>
          <c:showVal val="0"/>
          <c:showCatName val="0"/>
          <c:showSerName val="0"/>
          <c:showPercent val="0"/>
          <c:showBubbleSize val="0"/>
        </c:dLbls>
        <c:gapWidth val="219"/>
        <c:overlap val="-27"/>
        <c:axId val="1122392048"/>
        <c:axId val="1122379088"/>
      </c:barChart>
      <c:catAx>
        <c:axId val="112239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22379088"/>
        <c:crosses val="autoZero"/>
        <c:auto val="1"/>
        <c:lblAlgn val="ctr"/>
        <c:lblOffset val="100"/>
        <c:noMultiLvlLbl val="0"/>
      </c:catAx>
      <c:valAx>
        <c:axId val="1122379088"/>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22392048"/>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New'!$U$73</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New'!$T$74:$T$77</c:f>
              <c:strCache>
                <c:ptCount val="4"/>
                <c:pt idx="0">
                  <c:v>Politically and Macro Constrained</c:v>
                </c:pt>
                <c:pt idx="1">
                  <c:v>Politically Constrained Only</c:v>
                </c:pt>
                <c:pt idx="2">
                  <c:v>Macroeconomically Constrained Only</c:v>
                </c:pt>
                <c:pt idx="3">
                  <c:v>Stable</c:v>
                </c:pt>
              </c:strCache>
            </c:strRef>
          </c:cat>
          <c:val>
            <c:numRef>
              <c:f>'Summary &amp; Analysis - Quart New'!$U$74:$U$77</c:f>
              <c:numCache>
                <c:formatCode>0.00</c:formatCode>
                <c:ptCount val="4"/>
                <c:pt idx="0">
                  <c:v>0.2697065081379364</c:v>
                </c:pt>
                <c:pt idx="1">
                  <c:v>0.31970482897384311</c:v>
                </c:pt>
                <c:pt idx="2">
                  <c:v>0.52782178217821785</c:v>
                </c:pt>
                <c:pt idx="3">
                  <c:v>1.133113833333333</c:v>
                </c:pt>
              </c:numCache>
            </c:numRef>
          </c:val>
          <c:extLst>
            <c:ext xmlns:c16="http://schemas.microsoft.com/office/drawing/2014/chart" uri="{C3380CC4-5D6E-409C-BE32-E72D297353CC}">
              <c16:uniqueId val="{00000000-105A-4454-955A-47F0912B32B5}"/>
            </c:ext>
          </c:extLst>
        </c:ser>
        <c:ser>
          <c:idx val="1"/>
          <c:order val="1"/>
          <c:tx>
            <c:strRef>
              <c:f>'Summary &amp; Analysis - Quart New'!$V$73</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New'!$T$74:$T$77</c:f>
              <c:strCache>
                <c:ptCount val="4"/>
                <c:pt idx="0">
                  <c:v>Politically and Macro Constrained</c:v>
                </c:pt>
                <c:pt idx="1">
                  <c:v>Politically Constrained Only</c:v>
                </c:pt>
                <c:pt idx="2">
                  <c:v>Macroeconomically Constrained Only</c:v>
                </c:pt>
                <c:pt idx="3">
                  <c:v>Stable</c:v>
                </c:pt>
              </c:strCache>
            </c:strRef>
          </c:cat>
          <c:val>
            <c:numRef>
              <c:f>'Summary &amp; Analysis - Quart New'!$V$74:$V$77</c:f>
              <c:numCache>
                <c:formatCode>0.00</c:formatCode>
                <c:ptCount val="4"/>
                <c:pt idx="0">
                  <c:v>0.1883853400912508</c:v>
                </c:pt>
                <c:pt idx="1">
                  <c:v>0.27223122273315842</c:v>
                </c:pt>
                <c:pt idx="2">
                  <c:v>0.48740605038359769</c:v>
                </c:pt>
                <c:pt idx="3">
                  <c:v>0.64346491666666661</c:v>
                </c:pt>
              </c:numCache>
            </c:numRef>
          </c:val>
          <c:extLst>
            <c:ext xmlns:c16="http://schemas.microsoft.com/office/drawing/2014/chart" uri="{C3380CC4-5D6E-409C-BE32-E72D297353CC}">
              <c16:uniqueId val="{00000001-105A-4454-955A-47F0912B32B5}"/>
            </c:ext>
          </c:extLst>
        </c:ser>
        <c:dLbls>
          <c:showLegendKey val="0"/>
          <c:showVal val="0"/>
          <c:showCatName val="0"/>
          <c:showSerName val="0"/>
          <c:showPercent val="0"/>
          <c:showBubbleSize val="0"/>
        </c:dLbls>
        <c:gapWidth val="219"/>
        <c:overlap val="-27"/>
        <c:axId val="1122392048"/>
        <c:axId val="1122379088"/>
      </c:barChart>
      <c:catAx>
        <c:axId val="112239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22379088"/>
        <c:crosses val="autoZero"/>
        <c:auto val="1"/>
        <c:lblAlgn val="ctr"/>
        <c:lblOffset val="100"/>
        <c:noMultiLvlLbl val="0"/>
      </c:catAx>
      <c:valAx>
        <c:axId val="1122379088"/>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122392048"/>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lang="en-US" sz="1400" b="0" i="0"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en-US">
                <a:solidFill>
                  <a:sysClr val="windowText" lastClr="000000"/>
                </a:solidFill>
              </a:rPr>
              <a:t>Private Sector Investment (USD) / Budget </a:t>
            </a:r>
          </a:p>
        </c:rich>
      </c:tx>
      <c:overlay val="0"/>
      <c:spPr>
        <a:noFill/>
        <a:ln>
          <a:noFill/>
          <a:prstDash val="solid"/>
        </a:ln>
      </c:spPr>
    </c:title>
    <c:autoTitleDeleted val="0"/>
    <c:plotArea>
      <c:layout/>
      <c:barChart>
        <c:barDir val="col"/>
        <c:grouping val="clustered"/>
        <c:varyColors val="0"/>
        <c:ser>
          <c:idx val="0"/>
          <c:order val="0"/>
          <c:tx>
            <c:strRef>
              <c:f>'Summary &amp; Analysis - Quart New'!$U$95</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New'!$T$96:$T$97</c:f>
              <c:strCache>
                <c:ptCount val="2"/>
                <c:pt idx="0">
                  <c:v>Non-FCAS</c:v>
                </c:pt>
                <c:pt idx="1">
                  <c:v>FCAS</c:v>
                </c:pt>
              </c:strCache>
            </c:strRef>
          </c:cat>
          <c:val>
            <c:numRef>
              <c:f>'Summary &amp; Analysis - Quart New'!$U$96:$U$97</c:f>
              <c:numCache>
                <c:formatCode>0.00</c:formatCode>
                <c:ptCount val="2"/>
                <c:pt idx="0">
                  <c:v>0.5274942244224422</c:v>
                </c:pt>
                <c:pt idx="1">
                  <c:v>0.26501766784452302</c:v>
                </c:pt>
              </c:numCache>
            </c:numRef>
          </c:val>
          <c:extLst>
            <c:ext xmlns:c16="http://schemas.microsoft.com/office/drawing/2014/chart" uri="{C3380CC4-5D6E-409C-BE32-E72D297353CC}">
              <c16:uniqueId val="{00000000-2000-45AB-AA77-F6535AD906A8}"/>
            </c:ext>
          </c:extLst>
        </c:ser>
        <c:ser>
          <c:idx val="1"/>
          <c:order val="1"/>
          <c:tx>
            <c:strRef>
              <c:f>'Summary &amp; Analysis - Quart New'!$V$95</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New'!$T$96:$T$97</c:f>
              <c:strCache>
                <c:ptCount val="2"/>
                <c:pt idx="0">
                  <c:v>Non-FCAS</c:v>
                </c:pt>
                <c:pt idx="1">
                  <c:v>FCAS</c:v>
                </c:pt>
              </c:strCache>
            </c:strRef>
          </c:cat>
          <c:val>
            <c:numRef>
              <c:f>'Summary &amp; Analysis - Quart New'!$V$96:$V$97</c:f>
              <c:numCache>
                <c:formatCode>0.00</c:formatCode>
                <c:ptCount val="2"/>
                <c:pt idx="0">
                  <c:v>0.50910058153198756</c:v>
                </c:pt>
                <c:pt idx="1">
                  <c:v>0.15455596198954849</c:v>
                </c:pt>
              </c:numCache>
            </c:numRef>
          </c:val>
          <c:extLst>
            <c:ext xmlns:c16="http://schemas.microsoft.com/office/drawing/2014/chart" uri="{C3380CC4-5D6E-409C-BE32-E72D297353CC}">
              <c16:uniqueId val="{00000001-2000-45AB-AA77-F6535AD906A8}"/>
            </c:ext>
          </c:extLst>
        </c:ser>
        <c:dLbls>
          <c:showLegendKey val="0"/>
          <c:showVal val="0"/>
          <c:showCatName val="0"/>
          <c:showSerName val="0"/>
          <c:showPercent val="0"/>
          <c:showBubbleSize val="0"/>
        </c:dLbls>
        <c:gapWidth val="219"/>
        <c:overlap val="-27"/>
        <c:axId val="1650928655"/>
        <c:axId val="1650927695"/>
      </c:barChart>
      <c:catAx>
        <c:axId val="1650928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en-US"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650927695"/>
        <c:crosses val="autoZero"/>
        <c:auto val="1"/>
        <c:lblAlgn val="ctr"/>
        <c:lblOffset val="100"/>
        <c:noMultiLvlLbl val="0"/>
      </c:catAx>
      <c:valAx>
        <c:axId val="1650927695"/>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650928655"/>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lang="en-US"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mn-lt"/>
                <a:ea typeface="+mn-ea"/>
                <a:cs typeface="+mn-cs"/>
              </a:defRPr>
            </a:pPr>
            <a:r>
              <a:rPr lang="en-US" b="1"/>
              <a:t>Private Sector Investment (USD) / Project Cost  Across MSD Programmes</a:t>
            </a:r>
          </a:p>
        </c:rich>
      </c:tx>
      <c:overlay val="0"/>
      <c:spPr>
        <a:noFill/>
        <a:ln>
          <a:noFill/>
          <a:prstDash val="solid"/>
        </a:ln>
      </c:spPr>
    </c:title>
    <c:autoTitleDeleted val="0"/>
    <c:plotArea>
      <c:layout/>
      <c:barChart>
        <c:barDir val="col"/>
        <c:grouping val="clustered"/>
        <c:varyColors val="0"/>
        <c:ser>
          <c:idx val="1"/>
          <c:order val="0"/>
          <c:tx>
            <c:strRef>
              <c:f>'Summary &amp; Analysis - Quintiles'!$D$54</c:f>
              <c:strCache>
                <c:ptCount val="1"/>
                <c:pt idx="0">
                  <c:v>Mean</c:v>
                </c:pt>
              </c:strCache>
            </c:strRef>
          </c:tx>
          <c:spPr>
            <a:solidFill>
              <a:srgbClr val="025454"/>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'Summary &amp; Analysis - Quintiles'!$A$55:$B$73</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Quintiles'!$D$55:$D$73</c:f>
              <c:numCache>
                <c:formatCode>0.00</c:formatCode>
                <c:ptCount val="19"/>
                <c:pt idx="0">
                  <c:v>1.5120664697120858</c:v>
                </c:pt>
                <c:pt idx="1">
                  <c:v>0.89839690131901773</c:v>
                </c:pt>
                <c:pt idx="2">
                  <c:v>3.4407422560902985</c:v>
                </c:pt>
                <c:pt idx="3">
                  <c:v>0.59209484509801702</c:v>
                </c:pt>
                <c:pt idx="4">
                  <c:v>2.9879622746895333</c:v>
                </c:pt>
                <c:pt idx="5">
                  <c:v>0.98747577547043053</c:v>
                </c:pt>
                <c:pt idx="6">
                  <c:v>1.9964904774229342</c:v>
                </c:pt>
                <c:pt idx="7">
                  <c:v>0.81137468241791821</c:v>
                </c:pt>
                <c:pt idx="8">
                  <c:v>1.3340218164109394</c:v>
                </c:pt>
                <c:pt idx="9">
                  <c:v>0.87104922300326204</c:v>
                </c:pt>
                <c:pt idx="10">
                  <c:v>2.2333842092802936</c:v>
                </c:pt>
                <c:pt idx="11">
                  <c:v>0.89403108386060415</c:v>
                </c:pt>
                <c:pt idx="12">
                  <c:v>2.2666116234919924</c:v>
                </c:pt>
                <c:pt idx="13">
                  <c:v>1.8287024355835411</c:v>
                </c:pt>
                <c:pt idx="14">
                  <c:v>0.73616143607680229</c:v>
                </c:pt>
                <c:pt idx="15">
                  <c:v>0</c:v>
                </c:pt>
                <c:pt idx="16">
                  <c:v>2.3058583342713224</c:v>
                </c:pt>
                <c:pt idx="17">
                  <c:v>1.6060820741413953</c:v>
                </c:pt>
                <c:pt idx="18">
                  <c:v>0.81522216417355942</c:v>
                </c:pt>
              </c:numCache>
            </c:numRef>
          </c:val>
          <c:extLst>
            <c:ext xmlns:c16="http://schemas.microsoft.com/office/drawing/2014/chart" uri="{C3380CC4-5D6E-409C-BE32-E72D297353CC}">
              <c16:uniqueId val="{00000000-4117-4398-838A-C5ECE9454F17}"/>
            </c:ext>
          </c:extLst>
        </c:ser>
        <c:dLbls>
          <c:showLegendKey val="0"/>
          <c:showVal val="0"/>
          <c:showCatName val="0"/>
          <c:showSerName val="0"/>
          <c:showPercent val="0"/>
          <c:showBubbleSize val="0"/>
        </c:dLbls>
        <c:gapWidth val="219"/>
        <c:overlap val="-27"/>
        <c:axId val="1576592576"/>
        <c:axId val="1576578176"/>
      </c:barChart>
      <c:lineChart>
        <c:grouping val="stacked"/>
        <c:varyColors val="0"/>
        <c:ser>
          <c:idx val="2"/>
          <c:order val="1"/>
          <c:tx>
            <c:strRef>
              <c:f>'Summary &amp; Analysis - Quintiles'!$C$54</c:f>
              <c:strCache>
                <c:ptCount val="1"/>
                <c:pt idx="0">
                  <c:v>Median</c:v>
                </c:pt>
              </c:strCache>
            </c:strRef>
          </c:tx>
          <c:spPr>
            <a:ln w="12700" cap="rnd">
              <a:solidFill>
                <a:srgbClr val="5A87CD"/>
              </a:solidFill>
              <a:prstDash val="solid"/>
              <a:round/>
            </a:ln>
          </c:spPr>
          <c:marker>
            <c:symbol val="circle"/>
            <c:size val="5"/>
            <c:spPr>
              <a:solidFill>
                <a:schemeClr val="accent1"/>
              </a:solidFill>
              <a:ln w="12700">
                <a:solidFill>
                  <a:srgbClr val="5A87CD"/>
                </a:solidFill>
                <a:prstDash val="solid"/>
              </a:ln>
            </c:spPr>
          </c:marker>
          <c:cat>
            <c:multiLvlStrRef>
              <c:f>'Summary &amp; Analysis - Quintiles'!$A$55:$B$73</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Quintiles'!$C$55:$C$73</c:f>
              <c:numCache>
                <c:formatCode>0.00</c:formatCode>
                <c:ptCount val="19"/>
                <c:pt idx="0">
                  <c:v>0.46099320159229623</c:v>
                </c:pt>
                <c:pt idx="1">
                  <c:v>0.30848466448692158</c:v>
                </c:pt>
                <c:pt idx="2">
                  <c:v>0.75111177682539676</c:v>
                </c:pt>
                <c:pt idx="3">
                  <c:v>0.50501613647702559</c:v>
                </c:pt>
                <c:pt idx="4">
                  <c:v>0.75111177682539676</c:v>
                </c:pt>
                <c:pt idx="5">
                  <c:v>0.30848466448692158</c:v>
                </c:pt>
                <c:pt idx="6">
                  <c:v>0.39100000000000001</c:v>
                </c:pt>
                <c:pt idx="7">
                  <c:v>0.48221049077583339</c:v>
                </c:pt>
                <c:pt idx="8">
                  <c:v>0.66073628791450578</c:v>
                </c:pt>
                <c:pt idx="9">
                  <c:v>0.31970482897384311</c:v>
                </c:pt>
                <c:pt idx="10">
                  <c:v>0.48347128953771279</c:v>
                </c:pt>
                <c:pt idx="11">
                  <c:v>0.97482539682539682</c:v>
                </c:pt>
                <c:pt idx="12">
                  <c:v>0.48221049077583339</c:v>
                </c:pt>
                <c:pt idx="13">
                  <c:v>0.52975289108910895</c:v>
                </c:pt>
                <c:pt idx="14">
                  <c:v>0.2811410839222615</c:v>
                </c:pt>
                <c:pt idx="15">
                  <c:v>0.29404642185850494</c:v>
                </c:pt>
                <c:pt idx="16">
                  <c:v>0.81891687625434328</c:v>
                </c:pt>
                <c:pt idx="17">
                  <c:v>0.48221049077583339</c:v>
                </c:pt>
                <c:pt idx="18">
                  <c:v>0.28582992421567488</c:v>
                </c:pt>
              </c:numCache>
            </c:numRef>
          </c:val>
          <c:smooth val="0"/>
          <c:extLst>
            <c:ext xmlns:c16="http://schemas.microsoft.com/office/drawing/2014/chart" uri="{C3380CC4-5D6E-409C-BE32-E72D297353CC}">
              <c16:uniqueId val="{00000001-4117-4398-838A-C5ECE9454F17}"/>
            </c:ext>
          </c:extLst>
        </c:ser>
        <c:dLbls>
          <c:showLegendKey val="0"/>
          <c:showVal val="0"/>
          <c:showCatName val="0"/>
          <c:showSerName val="0"/>
          <c:showPercent val="0"/>
          <c:showBubbleSize val="0"/>
        </c:dLbls>
        <c:marker val="1"/>
        <c:smooth val="0"/>
        <c:axId val="1576592576"/>
        <c:axId val="1576578176"/>
      </c:lineChart>
      <c:catAx>
        <c:axId val="1576592576"/>
        <c:scaling>
          <c:orientation val="minMax"/>
        </c:scaling>
        <c:delete val="0"/>
        <c:axPos val="b"/>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576578176"/>
        <c:crosses val="autoZero"/>
        <c:auto val="1"/>
        <c:lblAlgn val="ctr"/>
        <c:lblOffset val="100"/>
        <c:noMultiLvlLbl val="0"/>
      </c:catAx>
      <c:valAx>
        <c:axId val="1576578176"/>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57659257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New'!$U$95</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New'!$T$96:$T$97</c:f>
              <c:strCache>
                <c:ptCount val="2"/>
                <c:pt idx="0">
                  <c:v>Non-FCAS</c:v>
                </c:pt>
                <c:pt idx="1">
                  <c:v>FCAS</c:v>
                </c:pt>
              </c:strCache>
            </c:strRef>
          </c:cat>
          <c:val>
            <c:numRef>
              <c:f>'Summary &amp; Analysis - Quart New'!$U$96:$U$97</c:f>
              <c:numCache>
                <c:formatCode>0.00</c:formatCode>
                <c:ptCount val="2"/>
                <c:pt idx="0">
                  <c:v>0.5274942244224422</c:v>
                </c:pt>
                <c:pt idx="1">
                  <c:v>0.26501766784452302</c:v>
                </c:pt>
              </c:numCache>
            </c:numRef>
          </c:val>
          <c:extLst>
            <c:ext xmlns:c16="http://schemas.microsoft.com/office/drawing/2014/chart" uri="{C3380CC4-5D6E-409C-BE32-E72D297353CC}">
              <c16:uniqueId val="{00000000-B4B5-43B1-A123-B50AAC9D6A76}"/>
            </c:ext>
          </c:extLst>
        </c:ser>
        <c:ser>
          <c:idx val="1"/>
          <c:order val="1"/>
          <c:tx>
            <c:strRef>
              <c:f>'Summary &amp; Analysis - Quart New'!$V$95</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New'!$T$96:$T$97</c:f>
              <c:strCache>
                <c:ptCount val="2"/>
                <c:pt idx="0">
                  <c:v>Non-FCAS</c:v>
                </c:pt>
                <c:pt idx="1">
                  <c:v>FCAS</c:v>
                </c:pt>
              </c:strCache>
            </c:strRef>
          </c:cat>
          <c:val>
            <c:numRef>
              <c:f>'Summary &amp; Analysis - Quart New'!$V$96:$V$97</c:f>
              <c:numCache>
                <c:formatCode>0.00</c:formatCode>
                <c:ptCount val="2"/>
                <c:pt idx="0">
                  <c:v>0.50910058153198756</c:v>
                </c:pt>
                <c:pt idx="1">
                  <c:v>0.15455596198954849</c:v>
                </c:pt>
              </c:numCache>
            </c:numRef>
          </c:val>
          <c:extLst>
            <c:ext xmlns:c16="http://schemas.microsoft.com/office/drawing/2014/chart" uri="{C3380CC4-5D6E-409C-BE32-E72D297353CC}">
              <c16:uniqueId val="{00000001-B4B5-43B1-A123-B50AAC9D6A76}"/>
            </c:ext>
          </c:extLst>
        </c:ser>
        <c:dLbls>
          <c:showLegendKey val="0"/>
          <c:showVal val="0"/>
          <c:showCatName val="0"/>
          <c:showSerName val="0"/>
          <c:showPercent val="0"/>
          <c:showBubbleSize val="0"/>
        </c:dLbls>
        <c:gapWidth val="219"/>
        <c:overlap val="-27"/>
        <c:axId val="1650928655"/>
        <c:axId val="1650927695"/>
      </c:barChart>
      <c:catAx>
        <c:axId val="1650928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en-US"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650927695"/>
        <c:crosses val="autoZero"/>
        <c:auto val="1"/>
        <c:lblAlgn val="ctr"/>
        <c:lblOffset val="100"/>
        <c:noMultiLvlLbl val="0"/>
      </c:catAx>
      <c:valAx>
        <c:axId val="1650927695"/>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650928655"/>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lang="en-US"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lang="en-US" sz="1400" b="0" i="0"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en-US" sz="1400"/>
              <a:t>Private Sector Revenues (USD) / Budget </a:t>
            </a:r>
          </a:p>
        </c:rich>
      </c:tx>
      <c:overlay val="0"/>
      <c:spPr>
        <a:noFill/>
        <a:ln>
          <a:noFill/>
          <a:prstDash val="solid"/>
        </a:ln>
      </c:spPr>
    </c:title>
    <c:autoTitleDeleted val="0"/>
    <c:plotArea>
      <c:layout/>
      <c:barChart>
        <c:barDir val="col"/>
        <c:grouping val="clustered"/>
        <c:varyColors val="0"/>
        <c:ser>
          <c:idx val="0"/>
          <c:order val="0"/>
          <c:tx>
            <c:strRef>
              <c:f>'Summary &amp; Analysis - Quart New'!$AD$73</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New'!$AC$74:$AC$77</c:f>
              <c:strCache>
                <c:ptCount val="4"/>
                <c:pt idx="0">
                  <c:v>Politically and Macro Constrained</c:v>
                </c:pt>
                <c:pt idx="1">
                  <c:v>Politically Constrained Only</c:v>
                </c:pt>
                <c:pt idx="2">
                  <c:v>Macroeconomically Constrained Only</c:v>
                </c:pt>
                <c:pt idx="3">
                  <c:v>Stable</c:v>
                </c:pt>
              </c:strCache>
            </c:strRef>
          </c:cat>
          <c:val>
            <c:numRef>
              <c:f>'Summary &amp; Analysis - Quart New'!$AD$74:$AD$77</c:f>
              <c:numCache>
                <c:formatCode>0.00</c:formatCode>
                <c:ptCount val="4"/>
                <c:pt idx="0">
                  <c:v>0.68604651162790697</c:v>
                </c:pt>
                <c:pt idx="1">
                  <c:v>1.9327001256074461</c:v>
                </c:pt>
                <c:pt idx="2">
                  <c:v>1.2038596491228071</c:v>
                </c:pt>
                <c:pt idx="3">
                  <c:v>0.53767324166666675</c:v>
                </c:pt>
              </c:numCache>
            </c:numRef>
          </c:val>
          <c:extLst>
            <c:ext xmlns:c16="http://schemas.microsoft.com/office/drawing/2014/chart" uri="{C3380CC4-5D6E-409C-BE32-E72D297353CC}">
              <c16:uniqueId val="{00000000-FF36-46D6-8603-BB02965BE356}"/>
            </c:ext>
          </c:extLst>
        </c:ser>
        <c:ser>
          <c:idx val="1"/>
          <c:order val="1"/>
          <c:tx>
            <c:strRef>
              <c:f>'Summary &amp; Analysis - Quart New'!$AE$73</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New'!$AC$74:$AC$77</c:f>
              <c:strCache>
                <c:ptCount val="4"/>
                <c:pt idx="0">
                  <c:v>Politically and Macro Constrained</c:v>
                </c:pt>
                <c:pt idx="1">
                  <c:v>Politically Constrained Only</c:v>
                </c:pt>
                <c:pt idx="2">
                  <c:v>Macroeconomically Constrained Only</c:v>
                </c:pt>
                <c:pt idx="3">
                  <c:v>Stable</c:v>
                </c:pt>
              </c:strCache>
            </c:strRef>
          </c:cat>
          <c:val>
            <c:numRef>
              <c:f>'Summary &amp; Analysis - Quart New'!$AE$74:$AE$77</c:f>
              <c:numCache>
                <c:formatCode>0.00</c:formatCode>
                <c:ptCount val="4"/>
                <c:pt idx="0">
                  <c:v>0.79243985376346826</c:v>
                </c:pt>
                <c:pt idx="1">
                  <c:v>1.4361326190379069</c:v>
                </c:pt>
                <c:pt idx="2">
                  <c:v>0.97906527533860199</c:v>
                </c:pt>
                <c:pt idx="3">
                  <c:v>0.53767324166666675</c:v>
                </c:pt>
              </c:numCache>
            </c:numRef>
          </c:val>
          <c:extLst>
            <c:ext xmlns:c16="http://schemas.microsoft.com/office/drawing/2014/chart" uri="{C3380CC4-5D6E-409C-BE32-E72D297353CC}">
              <c16:uniqueId val="{00000001-FF36-46D6-8603-BB02965BE356}"/>
            </c:ext>
          </c:extLst>
        </c:ser>
        <c:dLbls>
          <c:showLegendKey val="0"/>
          <c:showVal val="0"/>
          <c:showCatName val="0"/>
          <c:showSerName val="0"/>
          <c:showPercent val="0"/>
          <c:showBubbleSize val="0"/>
        </c:dLbls>
        <c:gapWidth val="219"/>
        <c:overlap val="-27"/>
        <c:axId val="1312433152"/>
        <c:axId val="1312439392"/>
      </c:barChart>
      <c:catAx>
        <c:axId val="131243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en-US"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12439392"/>
        <c:crosses val="autoZero"/>
        <c:auto val="1"/>
        <c:lblAlgn val="ctr"/>
        <c:lblOffset val="100"/>
        <c:noMultiLvlLbl val="0"/>
      </c:catAx>
      <c:valAx>
        <c:axId val="1312439392"/>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12433152"/>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lang="en-US"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New'!$AD$73</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New'!$AC$74:$AC$77</c:f>
              <c:strCache>
                <c:ptCount val="4"/>
                <c:pt idx="0">
                  <c:v>Politically and Macro Constrained</c:v>
                </c:pt>
                <c:pt idx="1">
                  <c:v>Politically Constrained Only</c:v>
                </c:pt>
                <c:pt idx="2">
                  <c:v>Macroeconomically Constrained Only</c:v>
                </c:pt>
                <c:pt idx="3">
                  <c:v>Stable</c:v>
                </c:pt>
              </c:strCache>
            </c:strRef>
          </c:cat>
          <c:val>
            <c:numRef>
              <c:f>'Summary &amp; Analysis - Quart New'!$AD$74:$AD$77</c:f>
              <c:numCache>
                <c:formatCode>0.00</c:formatCode>
                <c:ptCount val="4"/>
                <c:pt idx="0">
                  <c:v>0.68604651162790697</c:v>
                </c:pt>
                <c:pt idx="1">
                  <c:v>1.9327001256074461</c:v>
                </c:pt>
                <c:pt idx="2">
                  <c:v>1.2038596491228071</c:v>
                </c:pt>
                <c:pt idx="3">
                  <c:v>0.53767324166666675</c:v>
                </c:pt>
              </c:numCache>
            </c:numRef>
          </c:val>
          <c:extLst>
            <c:ext xmlns:c16="http://schemas.microsoft.com/office/drawing/2014/chart" uri="{C3380CC4-5D6E-409C-BE32-E72D297353CC}">
              <c16:uniqueId val="{00000000-6715-4861-ACAB-1D293899CA6E}"/>
            </c:ext>
          </c:extLst>
        </c:ser>
        <c:ser>
          <c:idx val="1"/>
          <c:order val="1"/>
          <c:tx>
            <c:strRef>
              <c:f>'Summary &amp; Analysis - Quart New'!$AE$73</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New'!$AC$74:$AC$77</c:f>
              <c:strCache>
                <c:ptCount val="4"/>
                <c:pt idx="0">
                  <c:v>Politically and Macro Constrained</c:v>
                </c:pt>
                <c:pt idx="1">
                  <c:v>Politically Constrained Only</c:v>
                </c:pt>
                <c:pt idx="2">
                  <c:v>Macroeconomically Constrained Only</c:v>
                </c:pt>
                <c:pt idx="3">
                  <c:v>Stable</c:v>
                </c:pt>
              </c:strCache>
            </c:strRef>
          </c:cat>
          <c:val>
            <c:numRef>
              <c:f>'Summary &amp; Analysis - Quart New'!$AE$74:$AE$77</c:f>
              <c:numCache>
                <c:formatCode>0.00</c:formatCode>
                <c:ptCount val="4"/>
                <c:pt idx="0">
                  <c:v>0.79243985376346826</c:v>
                </c:pt>
                <c:pt idx="1">
                  <c:v>1.4361326190379069</c:v>
                </c:pt>
                <c:pt idx="2">
                  <c:v>0.97906527533860199</c:v>
                </c:pt>
                <c:pt idx="3">
                  <c:v>0.53767324166666675</c:v>
                </c:pt>
              </c:numCache>
            </c:numRef>
          </c:val>
          <c:extLst>
            <c:ext xmlns:c16="http://schemas.microsoft.com/office/drawing/2014/chart" uri="{C3380CC4-5D6E-409C-BE32-E72D297353CC}">
              <c16:uniqueId val="{00000001-6715-4861-ACAB-1D293899CA6E}"/>
            </c:ext>
          </c:extLst>
        </c:ser>
        <c:dLbls>
          <c:showLegendKey val="0"/>
          <c:showVal val="0"/>
          <c:showCatName val="0"/>
          <c:showSerName val="0"/>
          <c:showPercent val="0"/>
          <c:showBubbleSize val="0"/>
        </c:dLbls>
        <c:gapWidth val="219"/>
        <c:overlap val="-27"/>
        <c:axId val="1312433152"/>
        <c:axId val="1312439392"/>
      </c:barChart>
      <c:catAx>
        <c:axId val="131243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en-US"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12439392"/>
        <c:crosses val="autoZero"/>
        <c:auto val="1"/>
        <c:lblAlgn val="ctr"/>
        <c:lblOffset val="100"/>
        <c:noMultiLvlLbl val="0"/>
      </c:catAx>
      <c:valAx>
        <c:axId val="1312439392"/>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312433152"/>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lang="en-US"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lang="en-US" sz="1400" b="0" i="0"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en-US" sz="1400"/>
              <a:t>Private Sector Revenues (USD) / Budget </a:t>
            </a:r>
          </a:p>
        </c:rich>
      </c:tx>
      <c:overlay val="0"/>
      <c:spPr>
        <a:noFill/>
        <a:ln>
          <a:noFill/>
          <a:prstDash val="solid"/>
        </a:ln>
      </c:spPr>
    </c:title>
    <c:autoTitleDeleted val="0"/>
    <c:plotArea>
      <c:layout/>
      <c:barChart>
        <c:barDir val="col"/>
        <c:grouping val="clustered"/>
        <c:varyColors val="0"/>
        <c:ser>
          <c:idx val="0"/>
          <c:order val="0"/>
          <c:tx>
            <c:strRef>
              <c:f>'Summary &amp; Analysis - Quart New'!$AD$95</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New'!$AC$96:$AC$97</c:f>
              <c:strCache>
                <c:ptCount val="2"/>
                <c:pt idx="0">
                  <c:v>Non-FCAS</c:v>
                </c:pt>
                <c:pt idx="1">
                  <c:v>FCAS</c:v>
                </c:pt>
              </c:strCache>
            </c:strRef>
          </c:cat>
          <c:val>
            <c:numRef>
              <c:f>'Summary &amp; Analysis - Quart New'!$AD$96:$AD$97</c:f>
              <c:numCache>
                <c:formatCode>0.00</c:formatCode>
                <c:ptCount val="2"/>
                <c:pt idx="0">
                  <c:v>1.6775150232509579</c:v>
                </c:pt>
                <c:pt idx="1">
                  <c:v>0.48617511520737328</c:v>
                </c:pt>
              </c:numCache>
            </c:numRef>
          </c:val>
          <c:extLst>
            <c:ext xmlns:c16="http://schemas.microsoft.com/office/drawing/2014/chart" uri="{C3380CC4-5D6E-409C-BE32-E72D297353CC}">
              <c16:uniqueId val="{00000000-ABCE-4F19-BF5B-BD1814B766D1}"/>
            </c:ext>
          </c:extLst>
        </c:ser>
        <c:ser>
          <c:idx val="1"/>
          <c:order val="1"/>
          <c:tx>
            <c:strRef>
              <c:f>'Summary &amp; Analysis - Quart New'!$AE$95</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New'!$AC$96:$AC$97</c:f>
              <c:strCache>
                <c:ptCount val="2"/>
                <c:pt idx="0">
                  <c:v>Non-FCAS</c:v>
                </c:pt>
                <c:pt idx="1">
                  <c:v>FCAS</c:v>
                </c:pt>
              </c:strCache>
            </c:strRef>
          </c:cat>
          <c:val>
            <c:numRef>
              <c:f>'Summary &amp; Analysis - Quart New'!$AE$96:$AE$97</c:f>
              <c:numCache>
                <c:formatCode>0.00</c:formatCode>
                <c:ptCount val="2"/>
                <c:pt idx="0">
                  <c:v>1.2682050206300459</c:v>
                </c:pt>
                <c:pt idx="1">
                  <c:v>0.48707640707608268</c:v>
                </c:pt>
              </c:numCache>
            </c:numRef>
          </c:val>
          <c:extLst>
            <c:ext xmlns:c16="http://schemas.microsoft.com/office/drawing/2014/chart" uri="{C3380CC4-5D6E-409C-BE32-E72D297353CC}">
              <c16:uniqueId val="{00000001-ABCE-4F19-BF5B-BD1814B766D1}"/>
            </c:ext>
          </c:extLst>
        </c:ser>
        <c:dLbls>
          <c:showLegendKey val="0"/>
          <c:showVal val="0"/>
          <c:showCatName val="0"/>
          <c:showSerName val="0"/>
          <c:showPercent val="0"/>
          <c:showBubbleSize val="0"/>
        </c:dLbls>
        <c:gapWidth val="219"/>
        <c:overlap val="-27"/>
        <c:axId val="1675621551"/>
        <c:axId val="1675617231"/>
      </c:barChart>
      <c:catAx>
        <c:axId val="1675621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en-US" sz="11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675617231"/>
        <c:crosses val="autoZero"/>
        <c:auto val="1"/>
        <c:lblAlgn val="ctr"/>
        <c:lblOffset val="100"/>
        <c:noMultiLvlLbl val="0"/>
      </c:catAx>
      <c:valAx>
        <c:axId val="1675617231"/>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675621551"/>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New'!$AD$95</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New'!$AC$96:$AC$97</c:f>
              <c:strCache>
                <c:ptCount val="2"/>
                <c:pt idx="0">
                  <c:v>Non-FCAS</c:v>
                </c:pt>
                <c:pt idx="1">
                  <c:v>FCAS</c:v>
                </c:pt>
              </c:strCache>
            </c:strRef>
          </c:cat>
          <c:val>
            <c:numRef>
              <c:f>'Summary &amp; Analysis - Quart New'!$AD$96:$AD$97</c:f>
              <c:numCache>
                <c:formatCode>0.00</c:formatCode>
                <c:ptCount val="2"/>
                <c:pt idx="0">
                  <c:v>1.6775150232509579</c:v>
                </c:pt>
                <c:pt idx="1">
                  <c:v>0.48617511520737328</c:v>
                </c:pt>
              </c:numCache>
            </c:numRef>
          </c:val>
          <c:extLst>
            <c:ext xmlns:c16="http://schemas.microsoft.com/office/drawing/2014/chart" uri="{C3380CC4-5D6E-409C-BE32-E72D297353CC}">
              <c16:uniqueId val="{00000000-DD89-4507-BFE0-E8C11AFCEF49}"/>
            </c:ext>
          </c:extLst>
        </c:ser>
        <c:ser>
          <c:idx val="1"/>
          <c:order val="1"/>
          <c:tx>
            <c:strRef>
              <c:f>'Summary &amp; Analysis - Quart New'!$AE$95</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New'!$AC$96:$AC$97</c:f>
              <c:strCache>
                <c:ptCount val="2"/>
                <c:pt idx="0">
                  <c:v>Non-FCAS</c:v>
                </c:pt>
                <c:pt idx="1">
                  <c:v>FCAS</c:v>
                </c:pt>
              </c:strCache>
            </c:strRef>
          </c:cat>
          <c:val>
            <c:numRef>
              <c:f>'Summary &amp; Analysis - Quart New'!$AE$96:$AE$97</c:f>
              <c:numCache>
                <c:formatCode>0.00</c:formatCode>
                <c:ptCount val="2"/>
                <c:pt idx="0">
                  <c:v>1.2682050206300459</c:v>
                </c:pt>
                <c:pt idx="1">
                  <c:v>0.48707640707608268</c:v>
                </c:pt>
              </c:numCache>
            </c:numRef>
          </c:val>
          <c:extLst>
            <c:ext xmlns:c16="http://schemas.microsoft.com/office/drawing/2014/chart" uri="{C3380CC4-5D6E-409C-BE32-E72D297353CC}">
              <c16:uniqueId val="{00000001-DD89-4507-BFE0-E8C11AFCEF49}"/>
            </c:ext>
          </c:extLst>
        </c:ser>
        <c:dLbls>
          <c:showLegendKey val="0"/>
          <c:showVal val="0"/>
          <c:showCatName val="0"/>
          <c:showSerName val="0"/>
          <c:showPercent val="0"/>
          <c:showBubbleSize val="0"/>
        </c:dLbls>
        <c:gapWidth val="219"/>
        <c:overlap val="-27"/>
        <c:axId val="1675621551"/>
        <c:axId val="1675617231"/>
      </c:barChart>
      <c:catAx>
        <c:axId val="1675621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en-US" sz="11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675617231"/>
        <c:crosses val="autoZero"/>
        <c:auto val="1"/>
        <c:lblAlgn val="ctr"/>
        <c:lblOffset val="100"/>
        <c:noMultiLvlLbl val="0"/>
      </c:catAx>
      <c:valAx>
        <c:axId val="1675617231"/>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675621551"/>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lang="en-US" sz="1400" b="0" i="0"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en-US" sz="1400"/>
              <a:t>Private Sector Revenues (USD) / Budget </a:t>
            </a:r>
          </a:p>
        </c:rich>
      </c:tx>
      <c:overlay val="0"/>
      <c:spPr>
        <a:noFill/>
        <a:ln>
          <a:noFill/>
          <a:prstDash val="solid"/>
        </a:ln>
      </c:spPr>
    </c:title>
    <c:autoTitleDeleted val="0"/>
    <c:plotArea>
      <c:layout/>
      <c:barChart>
        <c:barDir val="col"/>
        <c:grouping val="clustered"/>
        <c:varyColors val="0"/>
        <c:ser>
          <c:idx val="0"/>
          <c:order val="0"/>
          <c:tx>
            <c:strRef>
              <c:f>'Summary &amp; Analysis - Quart New'!$AD$116</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New'!$AC$117:$AC$120</c:f>
              <c:strCache>
                <c:ptCount val="4"/>
                <c:pt idx="0">
                  <c:v>Overall</c:v>
                </c:pt>
                <c:pt idx="1">
                  <c:v>Job Creation</c:v>
                </c:pt>
                <c:pt idx="2">
                  <c:v>Income Improvement</c:v>
                </c:pt>
                <c:pt idx="3">
                  <c:v>Food Security &amp; Resilience</c:v>
                </c:pt>
              </c:strCache>
            </c:strRef>
          </c:cat>
          <c:val>
            <c:numRef>
              <c:f>'Summary &amp; Analysis - Quart New'!$AD$117:$AD$120</c:f>
              <c:numCache>
                <c:formatCode>0.00</c:formatCode>
                <c:ptCount val="4"/>
                <c:pt idx="0">
                  <c:v>1.33125</c:v>
                </c:pt>
                <c:pt idx="1">
                  <c:v>1.9212935826045361</c:v>
                </c:pt>
                <c:pt idx="2">
                  <c:v>1.5105740181268881</c:v>
                </c:pt>
                <c:pt idx="3">
                  <c:v>1.33125</c:v>
                </c:pt>
              </c:numCache>
            </c:numRef>
          </c:val>
          <c:extLst>
            <c:ext xmlns:c16="http://schemas.microsoft.com/office/drawing/2014/chart" uri="{C3380CC4-5D6E-409C-BE32-E72D297353CC}">
              <c16:uniqueId val="{00000000-D379-4EF1-AB8F-65AA251F89E3}"/>
            </c:ext>
          </c:extLst>
        </c:ser>
        <c:ser>
          <c:idx val="1"/>
          <c:order val="1"/>
          <c:tx>
            <c:strRef>
              <c:f>'Summary &amp; Analysis - Quart New'!$AE$116</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New'!$AC$117:$AC$120</c:f>
              <c:strCache>
                <c:ptCount val="4"/>
                <c:pt idx="0">
                  <c:v>Overall</c:v>
                </c:pt>
                <c:pt idx="1">
                  <c:v>Job Creation</c:v>
                </c:pt>
                <c:pt idx="2">
                  <c:v>Income Improvement</c:v>
                </c:pt>
                <c:pt idx="3">
                  <c:v>Food Security &amp; Resilience</c:v>
                </c:pt>
              </c:strCache>
            </c:strRef>
          </c:cat>
          <c:val>
            <c:numRef>
              <c:f>'Summary &amp; Analysis - Quart New'!$AE$117:$AE$120</c:f>
              <c:numCache>
                <c:formatCode>0.00</c:formatCode>
                <c:ptCount val="4"/>
                <c:pt idx="0">
                  <c:v>1.0470640789475101</c:v>
                </c:pt>
                <c:pt idx="1">
                  <c:v>1.320044741198358</c:v>
                </c:pt>
                <c:pt idx="2">
                  <c:v>1.157324491120906</c:v>
                </c:pt>
                <c:pt idx="3">
                  <c:v>0.96437710193991266</c:v>
                </c:pt>
              </c:numCache>
            </c:numRef>
          </c:val>
          <c:extLst>
            <c:ext xmlns:c16="http://schemas.microsoft.com/office/drawing/2014/chart" uri="{C3380CC4-5D6E-409C-BE32-E72D297353CC}">
              <c16:uniqueId val="{00000001-D379-4EF1-AB8F-65AA251F89E3}"/>
            </c:ext>
          </c:extLst>
        </c:ser>
        <c:dLbls>
          <c:showLegendKey val="0"/>
          <c:showVal val="0"/>
          <c:showCatName val="0"/>
          <c:showSerName val="0"/>
          <c:showPercent val="0"/>
          <c:showBubbleSize val="0"/>
        </c:dLbls>
        <c:gapWidth val="219"/>
        <c:overlap val="-27"/>
        <c:axId val="1966919983"/>
        <c:axId val="1966916623"/>
      </c:barChart>
      <c:catAx>
        <c:axId val="1966919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en-US" sz="11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966916623"/>
        <c:crosses val="autoZero"/>
        <c:auto val="1"/>
        <c:lblAlgn val="ctr"/>
        <c:lblOffset val="100"/>
        <c:noMultiLvlLbl val="0"/>
      </c:catAx>
      <c:valAx>
        <c:axId val="1966916623"/>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966919983"/>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New'!$AD$116</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New'!$AC$117:$AC$120</c:f>
              <c:strCache>
                <c:ptCount val="4"/>
                <c:pt idx="0">
                  <c:v>Overall</c:v>
                </c:pt>
                <c:pt idx="1">
                  <c:v>Job Creation</c:v>
                </c:pt>
                <c:pt idx="2">
                  <c:v>Income Improvement</c:v>
                </c:pt>
                <c:pt idx="3">
                  <c:v>Food Security &amp; Resilience</c:v>
                </c:pt>
              </c:strCache>
            </c:strRef>
          </c:cat>
          <c:val>
            <c:numRef>
              <c:f>'Summary &amp; Analysis - Quart New'!$AD$117:$AD$120</c:f>
              <c:numCache>
                <c:formatCode>0.00</c:formatCode>
                <c:ptCount val="4"/>
                <c:pt idx="0">
                  <c:v>1.33125</c:v>
                </c:pt>
                <c:pt idx="1">
                  <c:v>1.9212935826045361</c:v>
                </c:pt>
                <c:pt idx="2">
                  <c:v>1.5105740181268881</c:v>
                </c:pt>
                <c:pt idx="3">
                  <c:v>1.33125</c:v>
                </c:pt>
              </c:numCache>
            </c:numRef>
          </c:val>
          <c:extLst>
            <c:ext xmlns:c16="http://schemas.microsoft.com/office/drawing/2014/chart" uri="{C3380CC4-5D6E-409C-BE32-E72D297353CC}">
              <c16:uniqueId val="{00000000-F209-4728-96A5-EC6D32015933}"/>
            </c:ext>
          </c:extLst>
        </c:ser>
        <c:ser>
          <c:idx val="1"/>
          <c:order val="1"/>
          <c:tx>
            <c:strRef>
              <c:f>'Summary &amp; Analysis - Quart New'!$AE$116</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New'!$AC$117:$AC$120</c:f>
              <c:strCache>
                <c:ptCount val="4"/>
                <c:pt idx="0">
                  <c:v>Overall</c:v>
                </c:pt>
                <c:pt idx="1">
                  <c:v>Job Creation</c:v>
                </c:pt>
                <c:pt idx="2">
                  <c:v>Income Improvement</c:v>
                </c:pt>
                <c:pt idx="3">
                  <c:v>Food Security &amp; Resilience</c:v>
                </c:pt>
              </c:strCache>
            </c:strRef>
          </c:cat>
          <c:val>
            <c:numRef>
              <c:f>'Summary &amp; Analysis - Quart New'!$AE$117:$AE$120</c:f>
              <c:numCache>
                <c:formatCode>0.00</c:formatCode>
                <c:ptCount val="4"/>
                <c:pt idx="0">
                  <c:v>1.0470640789475101</c:v>
                </c:pt>
                <c:pt idx="1">
                  <c:v>1.320044741198358</c:v>
                </c:pt>
                <c:pt idx="2">
                  <c:v>1.157324491120906</c:v>
                </c:pt>
                <c:pt idx="3">
                  <c:v>0.96437710193991266</c:v>
                </c:pt>
              </c:numCache>
            </c:numRef>
          </c:val>
          <c:extLst>
            <c:ext xmlns:c16="http://schemas.microsoft.com/office/drawing/2014/chart" uri="{C3380CC4-5D6E-409C-BE32-E72D297353CC}">
              <c16:uniqueId val="{00000001-F209-4728-96A5-EC6D32015933}"/>
            </c:ext>
          </c:extLst>
        </c:ser>
        <c:dLbls>
          <c:showLegendKey val="0"/>
          <c:showVal val="0"/>
          <c:showCatName val="0"/>
          <c:showSerName val="0"/>
          <c:showPercent val="0"/>
          <c:showBubbleSize val="0"/>
        </c:dLbls>
        <c:gapWidth val="219"/>
        <c:overlap val="-27"/>
        <c:axId val="1966919983"/>
        <c:axId val="1966916623"/>
      </c:barChart>
      <c:catAx>
        <c:axId val="1966919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en-US" sz="11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966916623"/>
        <c:crosses val="autoZero"/>
        <c:auto val="1"/>
        <c:lblAlgn val="ctr"/>
        <c:lblOffset val="100"/>
        <c:noMultiLvlLbl val="0"/>
      </c:catAx>
      <c:valAx>
        <c:axId val="1966916623"/>
        <c:scaling>
          <c:orientation val="minMax"/>
          <c:max val="2"/>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966919983"/>
        <c:crosses val="autoZero"/>
        <c:crossBetween val="between"/>
        <c:minorUnit val="5.000000000000001E-2"/>
      </c:valAx>
    </c:plotArea>
    <c:legend>
      <c:legendPos val="b"/>
      <c:overlay val="0"/>
      <c:spPr>
        <a:noFill/>
        <a:ln>
          <a:noFill/>
          <a:prstDash val="solid"/>
        </a:ln>
      </c:spPr>
      <c:txPr>
        <a:bodyPr rot="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lang="en-US" sz="1400" b="0" i="0"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en-US" sz="1400"/>
              <a:t>Private Sector Investment (USD) / Budget </a:t>
            </a:r>
          </a:p>
        </c:rich>
      </c:tx>
      <c:overlay val="0"/>
      <c:spPr>
        <a:noFill/>
        <a:ln>
          <a:noFill/>
          <a:prstDash val="solid"/>
        </a:ln>
      </c:spPr>
    </c:title>
    <c:autoTitleDeleted val="0"/>
    <c:plotArea>
      <c:layout/>
      <c:barChart>
        <c:barDir val="col"/>
        <c:grouping val="clustered"/>
        <c:varyColors val="0"/>
        <c:ser>
          <c:idx val="0"/>
          <c:order val="0"/>
          <c:tx>
            <c:strRef>
              <c:f>'Summary &amp; Analysis - Quart New'!$U$116</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New'!$T$117:$T$120</c:f>
              <c:strCache>
                <c:ptCount val="4"/>
                <c:pt idx="0">
                  <c:v>Overall</c:v>
                </c:pt>
                <c:pt idx="1">
                  <c:v>Job Creation</c:v>
                </c:pt>
                <c:pt idx="2">
                  <c:v>Income Improvement</c:v>
                </c:pt>
                <c:pt idx="3">
                  <c:v>Food Security &amp; Resilience</c:v>
                </c:pt>
              </c:strCache>
            </c:strRef>
          </c:cat>
          <c:val>
            <c:numRef>
              <c:f>'Summary &amp; Analysis - Quart New'!$U$117:$U$120</c:f>
              <c:numCache>
                <c:formatCode>0.00</c:formatCode>
                <c:ptCount val="4"/>
                <c:pt idx="0">
                  <c:v>0.43977591240875907</c:v>
                </c:pt>
                <c:pt idx="1">
                  <c:v>0.81891687625434328</c:v>
                </c:pt>
                <c:pt idx="2">
                  <c:v>0.48221049077583339</c:v>
                </c:pt>
                <c:pt idx="3">
                  <c:v>0.28582992421567488</c:v>
                </c:pt>
              </c:numCache>
            </c:numRef>
          </c:val>
          <c:extLst>
            <c:ext xmlns:c16="http://schemas.microsoft.com/office/drawing/2014/chart" uri="{C3380CC4-5D6E-409C-BE32-E72D297353CC}">
              <c16:uniqueId val="{00000000-6B08-4866-AB19-B7B14B0A6660}"/>
            </c:ext>
          </c:extLst>
        </c:ser>
        <c:ser>
          <c:idx val="1"/>
          <c:order val="1"/>
          <c:tx>
            <c:strRef>
              <c:f>'Summary &amp; Analysis - Quart New'!$V$116</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New'!$T$117:$T$120</c:f>
              <c:strCache>
                <c:ptCount val="4"/>
                <c:pt idx="0">
                  <c:v>Overall</c:v>
                </c:pt>
                <c:pt idx="1">
                  <c:v>Job Creation</c:v>
                </c:pt>
                <c:pt idx="2">
                  <c:v>Income Improvement</c:v>
                </c:pt>
                <c:pt idx="3">
                  <c:v>Food Security &amp; Resilience</c:v>
                </c:pt>
              </c:strCache>
            </c:strRef>
          </c:cat>
          <c:val>
            <c:numRef>
              <c:f>'Summary &amp; Analysis - Quart New'!$V$117:$V$120</c:f>
              <c:numCache>
                <c:formatCode>0.00</c:formatCode>
                <c:ptCount val="4"/>
                <c:pt idx="0">
                  <c:v>0.42706102368504928</c:v>
                </c:pt>
                <c:pt idx="1">
                  <c:v>0.70459181377280466</c:v>
                </c:pt>
                <c:pt idx="2">
                  <c:v>0.47142979802855778</c:v>
                </c:pt>
                <c:pt idx="3">
                  <c:v>0.27556891442119158</c:v>
                </c:pt>
              </c:numCache>
            </c:numRef>
          </c:val>
          <c:extLst>
            <c:ext xmlns:c16="http://schemas.microsoft.com/office/drawing/2014/chart" uri="{C3380CC4-5D6E-409C-BE32-E72D297353CC}">
              <c16:uniqueId val="{00000001-6B08-4866-AB19-B7B14B0A6660}"/>
            </c:ext>
          </c:extLst>
        </c:ser>
        <c:dLbls>
          <c:showLegendKey val="0"/>
          <c:showVal val="0"/>
          <c:showCatName val="0"/>
          <c:showSerName val="0"/>
          <c:showPercent val="0"/>
          <c:showBubbleSize val="0"/>
        </c:dLbls>
        <c:gapWidth val="219"/>
        <c:overlap val="-27"/>
        <c:axId val="1966921423"/>
        <c:axId val="1966917103"/>
      </c:barChart>
      <c:catAx>
        <c:axId val="1966921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en-US" sz="105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966917103"/>
        <c:crosses val="autoZero"/>
        <c:auto val="1"/>
        <c:lblAlgn val="ctr"/>
        <c:lblOffset val="100"/>
        <c:noMultiLvlLbl val="0"/>
      </c:catAx>
      <c:valAx>
        <c:axId val="1966917103"/>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966921423"/>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0"/>
        <c:ser>
          <c:idx val="0"/>
          <c:order val="0"/>
          <c:tx>
            <c:strRef>
              <c:f>'Summary &amp; Analysis - Quart New'!$U$116</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New'!$T$117:$T$120</c:f>
              <c:strCache>
                <c:ptCount val="4"/>
                <c:pt idx="0">
                  <c:v>Overall</c:v>
                </c:pt>
                <c:pt idx="1">
                  <c:v>Job Creation</c:v>
                </c:pt>
                <c:pt idx="2">
                  <c:v>Income Improvement</c:v>
                </c:pt>
                <c:pt idx="3">
                  <c:v>Food Security &amp; Resilience</c:v>
                </c:pt>
              </c:strCache>
            </c:strRef>
          </c:cat>
          <c:val>
            <c:numRef>
              <c:f>'Summary &amp; Analysis - Quart New'!$U$117:$U$120</c:f>
              <c:numCache>
                <c:formatCode>0.00</c:formatCode>
                <c:ptCount val="4"/>
                <c:pt idx="0">
                  <c:v>0.43977591240875907</c:v>
                </c:pt>
                <c:pt idx="1">
                  <c:v>0.81891687625434328</c:v>
                </c:pt>
                <c:pt idx="2">
                  <c:v>0.48221049077583339</c:v>
                </c:pt>
                <c:pt idx="3">
                  <c:v>0.28582992421567488</c:v>
                </c:pt>
              </c:numCache>
            </c:numRef>
          </c:val>
          <c:extLst>
            <c:ext xmlns:c16="http://schemas.microsoft.com/office/drawing/2014/chart" uri="{C3380CC4-5D6E-409C-BE32-E72D297353CC}">
              <c16:uniqueId val="{00000000-A665-4EE5-AEBD-86EF27E04DCB}"/>
            </c:ext>
          </c:extLst>
        </c:ser>
        <c:ser>
          <c:idx val="1"/>
          <c:order val="1"/>
          <c:tx>
            <c:strRef>
              <c:f>'Summary &amp; Analysis - Quart New'!$V$116</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New'!$T$117:$T$120</c:f>
              <c:strCache>
                <c:ptCount val="4"/>
                <c:pt idx="0">
                  <c:v>Overall</c:v>
                </c:pt>
                <c:pt idx="1">
                  <c:v>Job Creation</c:v>
                </c:pt>
                <c:pt idx="2">
                  <c:v>Income Improvement</c:v>
                </c:pt>
                <c:pt idx="3">
                  <c:v>Food Security &amp; Resilience</c:v>
                </c:pt>
              </c:strCache>
            </c:strRef>
          </c:cat>
          <c:val>
            <c:numRef>
              <c:f>'Summary &amp; Analysis - Quart New'!$V$117:$V$120</c:f>
              <c:numCache>
                <c:formatCode>0.00</c:formatCode>
                <c:ptCount val="4"/>
                <c:pt idx="0">
                  <c:v>0.42706102368504928</c:v>
                </c:pt>
                <c:pt idx="1">
                  <c:v>0.70459181377280466</c:v>
                </c:pt>
                <c:pt idx="2">
                  <c:v>0.47142979802855778</c:v>
                </c:pt>
                <c:pt idx="3">
                  <c:v>0.27556891442119158</c:v>
                </c:pt>
              </c:numCache>
            </c:numRef>
          </c:val>
          <c:extLst>
            <c:ext xmlns:c16="http://schemas.microsoft.com/office/drawing/2014/chart" uri="{C3380CC4-5D6E-409C-BE32-E72D297353CC}">
              <c16:uniqueId val="{00000001-A665-4EE5-AEBD-86EF27E04DCB}"/>
            </c:ext>
          </c:extLst>
        </c:ser>
        <c:dLbls>
          <c:showLegendKey val="0"/>
          <c:showVal val="0"/>
          <c:showCatName val="0"/>
          <c:showSerName val="0"/>
          <c:showPercent val="0"/>
          <c:showBubbleSize val="0"/>
        </c:dLbls>
        <c:gapWidth val="219"/>
        <c:overlap val="-27"/>
        <c:axId val="1966921423"/>
        <c:axId val="1966917103"/>
      </c:barChart>
      <c:catAx>
        <c:axId val="1966921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en-US" sz="105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966917103"/>
        <c:crosses val="autoZero"/>
        <c:auto val="1"/>
        <c:lblAlgn val="ctr"/>
        <c:lblOffset val="100"/>
        <c:noMultiLvlLbl val="0"/>
      </c:catAx>
      <c:valAx>
        <c:axId val="1966917103"/>
        <c:scaling>
          <c:orientation val="minMax"/>
          <c:max val="1"/>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966921423"/>
        <c:crosses val="autoZero"/>
        <c:crossBetween val="between"/>
        <c:majorUnit val="0.2"/>
      </c:valAx>
    </c:plotArea>
    <c:legend>
      <c:legendPos val="b"/>
      <c:overlay val="0"/>
      <c:spPr>
        <a:noFill/>
        <a:ln>
          <a:noFill/>
          <a:prstDash val="solid"/>
        </a:ln>
      </c:spPr>
      <c:txPr>
        <a:bodyPr rot="0" spcFirstLastPara="1" vertOverflow="ellipsis" vert="horz" wrap="square" anchor="ctr" anchorCtr="1"/>
        <a:lstStyle/>
        <a:p>
          <a:pPr>
            <a:defRPr lang="en-US" sz="1000" b="0" i="0" strike="noStrike" kern="120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sz="1200"/>
              <a:t>Median and mean by category in selected variable group</a:t>
            </a:r>
          </a:p>
        </c:rich>
      </c:tx>
      <c:overlay val="0"/>
    </c:title>
    <c:autoTitleDeleted val="0"/>
    <c:plotArea>
      <c:layout/>
      <c:barChart>
        <c:barDir val="bar"/>
        <c:grouping val="clustered"/>
        <c:varyColors val="0"/>
        <c:ser>
          <c:idx val="0"/>
          <c:order val="0"/>
          <c:tx>
            <c:strRef>
              <c:f>'VfM Calculator'!$M$5</c:f>
              <c:strCache>
                <c:ptCount val="1"/>
                <c:pt idx="0">
                  <c:v>Median</c:v>
                </c:pt>
              </c:strCache>
            </c:strRef>
          </c:tx>
          <c:spPr>
            <a:ln>
              <a:prstDash val="solid"/>
            </a:ln>
          </c:spPr>
          <c:invertIfNegative val="1"/>
          <c:dLbls>
            <c:spPr>
              <a:noFill/>
              <a:ln>
                <a:noFill/>
                <a:prstDash val="solid"/>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'VfM Calculator'!$L$6:$L$9</c:f>
              <c:strCache>
                <c:ptCount val="3"/>
                <c:pt idx="0">
                  <c:v>&gt;=10 years</c:v>
                </c:pt>
                <c:pt idx="1">
                  <c:v>5-9 years</c:v>
                </c:pt>
                <c:pt idx="2">
                  <c:v>&lt;=5 years</c:v>
                </c:pt>
              </c:strCache>
            </c:strRef>
          </c:cat>
          <c:val>
            <c:numRef>
              <c:f>'VfM Calculator'!$M$6:$M$9</c:f>
              <c:numCache>
                <c:formatCode>#,##0.00</c:formatCode>
                <c:ptCount val="4"/>
                <c:pt idx="0">
                  <c:v>3167.2134274270461</c:v>
                </c:pt>
                <c:pt idx="1">
                  <c:v>2789.1035859721469</c:v>
                </c:pt>
                <c:pt idx="2">
                  <c:v>3575.547866205306</c:v>
                </c:pt>
                <c:pt idx="3">
                  <c:v>#N/A</c:v>
                </c:pt>
              </c:numCache>
            </c:numRef>
          </c:val>
          <c:extLst>
            <c:ext xmlns:c16="http://schemas.microsoft.com/office/drawing/2014/chart" uri="{C3380CC4-5D6E-409C-BE32-E72D297353CC}">
              <c16:uniqueId val="{00000000-BD52-4736-B0D9-77C0D853286E}"/>
            </c:ext>
          </c:extLst>
        </c:ser>
        <c:ser>
          <c:idx val="1"/>
          <c:order val="1"/>
          <c:tx>
            <c:strRef>
              <c:f>'VfM Calculator'!$N$5</c:f>
              <c:strCache>
                <c:ptCount val="1"/>
                <c:pt idx="0">
                  <c:v>Mean</c:v>
                </c:pt>
              </c:strCache>
            </c:strRef>
          </c:tx>
          <c:spPr>
            <a:ln>
              <a:prstDash val="solid"/>
            </a:ln>
          </c:spPr>
          <c:invertIfNegative val="1"/>
          <c:dLbls>
            <c:spPr>
              <a:noFill/>
              <a:ln>
                <a:noFill/>
                <a:prstDash val="solid"/>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'VfM Calculator'!$L$6:$L$9</c:f>
              <c:strCache>
                <c:ptCount val="3"/>
                <c:pt idx="0">
                  <c:v>&gt;=10 years</c:v>
                </c:pt>
                <c:pt idx="1">
                  <c:v>5-9 years</c:v>
                </c:pt>
                <c:pt idx="2">
                  <c:v>&lt;=5 years</c:v>
                </c:pt>
              </c:strCache>
            </c:strRef>
          </c:cat>
          <c:val>
            <c:numRef>
              <c:f>'VfM Calculator'!$N$6:$N$9</c:f>
              <c:numCache>
                <c:formatCode>#,##0.00</c:formatCode>
                <c:ptCount val="4"/>
                <c:pt idx="0">
                  <c:v>4091.356402727783</c:v>
                </c:pt>
                <c:pt idx="1">
                  <c:v>4534.6455255609926</c:v>
                </c:pt>
                <c:pt idx="2">
                  <c:v>19681.402824600551</c:v>
                </c:pt>
                <c:pt idx="3">
                  <c:v>#N/A</c:v>
                </c:pt>
              </c:numCache>
            </c:numRef>
          </c:val>
          <c:extLst>
            <c:ext xmlns:c16="http://schemas.microsoft.com/office/drawing/2014/chart" uri="{C3380CC4-5D6E-409C-BE32-E72D297353CC}">
              <c16:uniqueId val="{00000001-BD52-4736-B0D9-77C0D853286E}"/>
            </c:ext>
          </c:extLst>
        </c:ser>
        <c:dLbls>
          <c:showLegendKey val="0"/>
          <c:showVal val="0"/>
          <c:showCatName val="0"/>
          <c:showSerName val="0"/>
          <c:showPercent val="0"/>
          <c:showBubbleSize val="0"/>
        </c:dLbls>
        <c:gapWidth val="75"/>
        <c:axId val="10"/>
        <c:axId val="100"/>
      </c:barChart>
      <c:catAx>
        <c:axId val="10"/>
        <c:scaling>
          <c:orientation val="minMax"/>
        </c:scaling>
        <c:delete val="1"/>
        <c:axPos val="l"/>
        <c:title>
          <c:tx>
            <c:rich>
              <a:bodyPr/>
              <a:lstStyle/>
              <a:p>
                <a:pPr>
                  <a:defRPr/>
                </a:pPr>
                <a:r>
                  <a:rPr lang="en-US"/>
                  <a:t>Benchmark value</a:t>
                </a:r>
              </a:p>
            </c:rich>
          </c:tx>
          <c:overlay val="1"/>
        </c:title>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b"/>
        <c:majorGridlines/>
        <c:title>
          <c:tx>
            <c:rich>
              <a:bodyPr/>
              <a:lstStyle/>
              <a:p>
                <a:pPr>
                  <a:defRPr/>
                </a:pPr>
                <a:r>
                  <a:rPr lang="en-US"/>
                  <a:t>Category</a:t>
                </a:r>
              </a:p>
            </c:rich>
          </c:tx>
          <c:overlay val="1"/>
        </c:title>
        <c:numFmt formatCode="#,##0.00" sourceLinked="1"/>
        <c:majorTickMark val="none"/>
        <c:minorTickMark val="none"/>
        <c:tickLblPos val="nextTo"/>
        <c:crossAx val="10"/>
        <c:crosses val="autoZero"/>
        <c:crossBetween val="between"/>
      </c:valAx>
    </c:plotArea>
    <c:legend>
      <c:legendPos val="r"/>
      <c:overlay val="1"/>
    </c:legend>
    <c:plotVisOnly val="1"/>
    <c:dispBlanksAs val="gap"/>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mn-lt"/>
                <a:ea typeface="+mn-ea"/>
                <a:cs typeface="+mn-cs"/>
              </a:defRPr>
            </a:pPr>
            <a:r>
              <a:rPr lang="en-US" b="1"/>
              <a:t>Private Sector Revenues Generated (USD) / Project Cost Across</a:t>
            </a:r>
            <a:r>
              <a:rPr lang="en-US" b="1" baseline="0"/>
              <a:t> MSD Programmes</a:t>
            </a:r>
            <a:endParaRPr lang="en-US" b="1"/>
          </a:p>
        </c:rich>
      </c:tx>
      <c:overlay val="0"/>
      <c:spPr>
        <a:noFill/>
        <a:ln>
          <a:noFill/>
          <a:prstDash val="solid"/>
        </a:ln>
      </c:spPr>
    </c:title>
    <c:autoTitleDeleted val="0"/>
    <c:plotArea>
      <c:layout/>
      <c:barChart>
        <c:barDir val="col"/>
        <c:grouping val="clustered"/>
        <c:varyColors val="0"/>
        <c:ser>
          <c:idx val="1"/>
          <c:order val="0"/>
          <c:tx>
            <c:strRef>
              <c:f>'Summary &amp; Analysis - Quintiles'!$D$75</c:f>
              <c:strCache>
                <c:ptCount val="1"/>
                <c:pt idx="0">
                  <c:v>Mean</c:v>
                </c:pt>
              </c:strCache>
            </c:strRef>
          </c:tx>
          <c:spPr>
            <a:solidFill>
              <a:srgbClr val="025454"/>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'Summary &amp; Analysis - Quintiles'!$A$76:$B$94</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Quintiles'!$D$76:$D$94</c:f>
              <c:numCache>
                <c:formatCode>0.00</c:formatCode>
                <c:ptCount val="19"/>
                <c:pt idx="0">
                  <c:v>2.9160040193751291</c:v>
                </c:pt>
                <c:pt idx="1">
                  <c:v>2.9498192735519142</c:v>
                </c:pt>
                <c:pt idx="2">
                  <c:v>2.8173761946928422</c:v>
                </c:pt>
                <c:pt idx="3">
                  <c:v>1.1663914250924978</c:v>
                </c:pt>
                <c:pt idx="4">
                  <c:v>3.1690620584901197</c:v>
                </c:pt>
                <c:pt idx="5">
                  <c:v>3.1084048110250744</c:v>
                </c:pt>
                <c:pt idx="6">
                  <c:v>2.7839469573987272</c:v>
                </c:pt>
                <c:pt idx="7">
                  <c:v>3.1817045129057768</c:v>
                </c:pt>
                <c:pt idx="8">
                  <c:v>2.7046331672945958</c:v>
                </c:pt>
                <c:pt idx="9">
                  <c:v>2.3332542906804634</c:v>
                </c:pt>
                <c:pt idx="10">
                  <c:v>4.1551942776728099</c:v>
                </c:pt>
                <c:pt idx="11">
                  <c:v>0.93151765706417311</c:v>
                </c:pt>
                <c:pt idx="12">
                  <c:v>1.8035812692425066</c:v>
                </c:pt>
                <c:pt idx="13">
                  <c:v>3.5851001252465831</c:v>
                </c:pt>
                <c:pt idx="14">
                  <c:v>0.75760848986506124</c:v>
                </c:pt>
                <c:pt idx="15">
                  <c:v>3.2399911384850131</c:v>
                </c:pt>
                <c:pt idx="16">
                  <c:v>3.9556704207931435</c:v>
                </c:pt>
                <c:pt idx="17">
                  <c:v>3.0204195685875219</c:v>
                </c:pt>
                <c:pt idx="18">
                  <c:v>3.2104940965352342</c:v>
                </c:pt>
              </c:numCache>
            </c:numRef>
          </c:val>
          <c:extLst>
            <c:ext xmlns:c16="http://schemas.microsoft.com/office/drawing/2014/chart" uri="{C3380CC4-5D6E-409C-BE32-E72D297353CC}">
              <c16:uniqueId val="{00000000-18DF-4F80-A70A-DA99C6BB4300}"/>
            </c:ext>
          </c:extLst>
        </c:ser>
        <c:dLbls>
          <c:showLegendKey val="0"/>
          <c:showVal val="0"/>
          <c:showCatName val="0"/>
          <c:showSerName val="0"/>
          <c:showPercent val="0"/>
          <c:showBubbleSize val="0"/>
        </c:dLbls>
        <c:gapWidth val="219"/>
        <c:overlap val="-27"/>
        <c:axId val="436247536"/>
        <c:axId val="436242256"/>
      </c:barChart>
      <c:lineChart>
        <c:grouping val="stacked"/>
        <c:varyColors val="0"/>
        <c:ser>
          <c:idx val="2"/>
          <c:order val="1"/>
          <c:tx>
            <c:strRef>
              <c:f>'Summary &amp; Analysis - Quintiles'!$C$75</c:f>
              <c:strCache>
                <c:ptCount val="1"/>
                <c:pt idx="0">
                  <c:v>Median</c:v>
                </c:pt>
              </c:strCache>
            </c:strRef>
          </c:tx>
          <c:spPr>
            <a:ln w="12700" cap="rnd">
              <a:solidFill>
                <a:srgbClr val="05D2D2"/>
              </a:solidFill>
              <a:prstDash val="solid"/>
              <a:round/>
            </a:ln>
          </c:spPr>
          <c:marker>
            <c:symbol val="circle"/>
            <c:size val="5"/>
            <c:spPr>
              <a:solidFill>
                <a:schemeClr val="accent1"/>
              </a:solidFill>
              <a:ln w="12700">
                <a:solidFill>
                  <a:srgbClr val="05D2D2"/>
                </a:solidFill>
                <a:prstDash val="solid"/>
              </a:ln>
            </c:spPr>
          </c:marker>
          <c:dPt>
            <c:idx val="4"/>
            <c:marker>
              <c:symbol val="none"/>
            </c:marker>
            <c:bubble3D val="0"/>
            <c:spPr>
              <a:ln>
                <a:prstDash val="solid"/>
              </a:ln>
            </c:spPr>
            <c:extLst>
              <c:ext xmlns:c16="http://schemas.microsoft.com/office/drawing/2014/chart" uri="{C3380CC4-5D6E-409C-BE32-E72D297353CC}">
                <c16:uniqueId val="{00000002-18DF-4F80-A70A-DA99C6BB4300}"/>
              </c:ext>
            </c:extLst>
          </c:dPt>
          <c:cat>
            <c:multiLvlStrRef>
              <c:f>'Summary &amp; Analysis - Quintiles'!$A$76:$B$94</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Quintiles'!$C$76:$C$94</c:f>
              <c:numCache>
                <c:formatCode>0.00</c:formatCode>
                <c:ptCount val="19"/>
                <c:pt idx="0">
                  <c:v>1.33125</c:v>
                </c:pt>
                <c:pt idx="1">
                  <c:v>1.33125</c:v>
                </c:pt>
                <c:pt idx="2">
                  <c:v>1.40305444</c:v>
                </c:pt>
                <c:pt idx="3">
                  <c:v>0.48617511520737328</c:v>
                </c:pt>
                <c:pt idx="4">
                  <c:v>1.93865246449457</c:v>
                </c:pt>
                <c:pt idx="5">
                  <c:v>1.0723423999999999</c:v>
                </c:pt>
                <c:pt idx="6">
                  <c:v>1.1209320865687951</c:v>
                </c:pt>
                <c:pt idx="7">
                  <c:v>1.5929824561403509</c:v>
                </c:pt>
                <c:pt idx="8">
                  <c:v>1.0723423999999999</c:v>
                </c:pt>
                <c:pt idx="9">
                  <c:v>1.1209320865687951</c:v>
                </c:pt>
                <c:pt idx="10">
                  <c:v>1.959925063457816</c:v>
                </c:pt>
                <c:pt idx="11">
                  <c:v>0.8147368421052632</c:v>
                </c:pt>
                <c:pt idx="12">
                  <c:v>1.8035812692425064</c:v>
                </c:pt>
                <c:pt idx="13">
                  <c:v>1.6212635665019151</c:v>
                </c:pt>
                <c:pt idx="14">
                  <c:v>0.48617511520737328</c:v>
                </c:pt>
                <c:pt idx="15">
                  <c:v>3.2399911384850131</c:v>
                </c:pt>
                <c:pt idx="16">
                  <c:v>1.9212935826045361</c:v>
                </c:pt>
                <c:pt idx="17">
                  <c:v>1.5105740181268881</c:v>
                </c:pt>
                <c:pt idx="18">
                  <c:v>1.33125</c:v>
                </c:pt>
              </c:numCache>
            </c:numRef>
          </c:val>
          <c:smooth val="0"/>
          <c:extLst>
            <c:ext xmlns:c16="http://schemas.microsoft.com/office/drawing/2014/chart" uri="{C3380CC4-5D6E-409C-BE32-E72D297353CC}">
              <c16:uniqueId val="{00000003-18DF-4F80-A70A-DA99C6BB4300}"/>
            </c:ext>
          </c:extLst>
        </c:ser>
        <c:dLbls>
          <c:showLegendKey val="0"/>
          <c:showVal val="0"/>
          <c:showCatName val="0"/>
          <c:showSerName val="0"/>
          <c:showPercent val="0"/>
          <c:showBubbleSize val="0"/>
        </c:dLbls>
        <c:marker val="1"/>
        <c:smooth val="0"/>
        <c:axId val="436247536"/>
        <c:axId val="436242256"/>
      </c:lineChart>
      <c:catAx>
        <c:axId val="436247536"/>
        <c:scaling>
          <c:orientation val="minMax"/>
        </c:scaling>
        <c:delete val="0"/>
        <c:axPos val="b"/>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436242256"/>
        <c:crosses val="autoZero"/>
        <c:auto val="1"/>
        <c:lblAlgn val="ctr"/>
        <c:lblOffset val="100"/>
        <c:noMultiLvlLbl val="0"/>
      </c:catAx>
      <c:valAx>
        <c:axId val="436242256"/>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43624753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mn-lt"/>
                <a:ea typeface="+mn-ea"/>
                <a:cs typeface="+mn-cs"/>
              </a:defRPr>
            </a:pPr>
            <a:r>
              <a:rPr lang="en-US" b="1"/>
              <a:t>Export Revenue Generated/Project Cost Across MSD Programmes</a:t>
            </a:r>
          </a:p>
        </c:rich>
      </c:tx>
      <c:overlay val="0"/>
      <c:spPr>
        <a:noFill/>
        <a:ln>
          <a:noFill/>
          <a:prstDash val="solid"/>
        </a:ln>
      </c:spPr>
    </c:title>
    <c:autoTitleDeleted val="0"/>
    <c:plotArea>
      <c:layout/>
      <c:barChart>
        <c:barDir val="col"/>
        <c:grouping val="clustered"/>
        <c:varyColors val="0"/>
        <c:ser>
          <c:idx val="1"/>
          <c:order val="0"/>
          <c:tx>
            <c:strRef>
              <c:f>'Summary &amp; Analysis - Quintiles'!$D$96</c:f>
              <c:strCache>
                <c:ptCount val="1"/>
                <c:pt idx="0">
                  <c:v>Mean</c:v>
                </c:pt>
              </c:strCache>
            </c:strRef>
          </c:tx>
          <c:spPr>
            <a:solidFill>
              <a:srgbClr val="230050"/>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'Summary &amp; Analysis - Quintiles'!$A$97:$B$115</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Quintiles'!$D$97:$D$115</c:f>
              <c:numCache>
                <c:formatCode>0.00</c:formatCode>
                <c:ptCount val="19"/>
                <c:pt idx="0">
                  <c:v>7.0871542427435754</c:v>
                </c:pt>
                <c:pt idx="1">
                  <c:v>1.4136142423389</c:v>
                </c:pt>
                <c:pt idx="2">
                  <c:v>41.128394245171627</c:v>
                </c:pt>
                <c:pt idx="3">
                  <c:v>0.24083813614185787</c:v>
                </c:pt>
                <c:pt idx="4">
                  <c:v>0.12625825324675324</c:v>
                </c:pt>
                <c:pt idx="5">
                  <c:v>9.848596661963283</c:v>
                </c:pt>
                <c:pt idx="6">
                  <c:v>0.42616527021431283</c:v>
                </c:pt>
                <c:pt idx="7">
                  <c:v>3.9121679916203091</c:v>
                </c:pt>
                <c:pt idx="8">
                  <c:v>79.736000000000004</c:v>
                </c:pt>
                <c:pt idx="9">
                  <c:v>0.13440879336257158</c:v>
                </c:pt>
                <c:pt idx="10">
                  <c:v>3.1060050609918175</c:v>
                </c:pt>
                <c:pt idx="11">
                  <c:v>39.888838136141857</c:v>
                </c:pt>
                <c:pt idx="12">
                  <c:v>0</c:v>
                </c:pt>
                <c:pt idx="13">
                  <c:v>10.999669240271373</c:v>
                </c:pt>
                <c:pt idx="14">
                  <c:v>4.4627247193539825E-2</c:v>
                </c:pt>
                <c:pt idx="15">
                  <c:v>0</c:v>
                </c:pt>
                <c:pt idx="16">
                  <c:v>8.3217404856190882</c:v>
                </c:pt>
                <c:pt idx="17">
                  <c:v>7.6253269467308433</c:v>
                </c:pt>
                <c:pt idx="18">
                  <c:v>9.864328057889761</c:v>
                </c:pt>
              </c:numCache>
            </c:numRef>
          </c:val>
          <c:extLst>
            <c:ext xmlns:c16="http://schemas.microsoft.com/office/drawing/2014/chart" uri="{C3380CC4-5D6E-409C-BE32-E72D297353CC}">
              <c16:uniqueId val="{00000000-E8D3-4E31-AADB-5F89CC227CA4}"/>
            </c:ext>
          </c:extLst>
        </c:ser>
        <c:dLbls>
          <c:showLegendKey val="0"/>
          <c:showVal val="0"/>
          <c:showCatName val="0"/>
          <c:showSerName val="0"/>
          <c:showPercent val="0"/>
          <c:showBubbleSize val="0"/>
        </c:dLbls>
        <c:gapWidth val="219"/>
        <c:overlap val="-27"/>
        <c:axId val="1396796336"/>
        <c:axId val="1396792496"/>
      </c:barChart>
      <c:lineChart>
        <c:grouping val="stacked"/>
        <c:varyColors val="0"/>
        <c:ser>
          <c:idx val="2"/>
          <c:order val="1"/>
          <c:tx>
            <c:strRef>
              <c:f>'Summary &amp; Analysis - Quintiles'!$C$96</c:f>
              <c:strCache>
                <c:ptCount val="1"/>
                <c:pt idx="0">
                  <c:v>Median</c:v>
                </c:pt>
              </c:strCache>
            </c:strRef>
          </c:tx>
          <c:spPr>
            <a:ln w="12700" cap="rnd">
              <a:solidFill>
                <a:srgbClr val="5A87CD"/>
              </a:solidFill>
              <a:prstDash val="solid"/>
              <a:round/>
            </a:ln>
          </c:spPr>
          <c:marker>
            <c:symbol val="circle"/>
            <c:size val="5"/>
            <c:spPr>
              <a:solidFill>
                <a:schemeClr val="accent1"/>
              </a:solidFill>
              <a:ln w="12700">
                <a:solidFill>
                  <a:srgbClr val="5A87CD"/>
                </a:solidFill>
                <a:prstDash val="solid"/>
              </a:ln>
            </c:spPr>
          </c:marker>
          <c:cat>
            <c:multiLvlStrRef>
              <c:f>'Summary &amp; Analysis - Quintiles'!$A$97:$B$115</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Quintiles'!$C$97:$C$115</c:f>
              <c:numCache>
                <c:formatCode>0.00</c:formatCode>
                <c:ptCount val="19"/>
                <c:pt idx="0">
                  <c:v>0.12824730379810756</c:v>
                </c:pt>
                <c:pt idx="1">
                  <c:v>0.10208563993256134</c:v>
                </c:pt>
                <c:pt idx="2">
                  <c:v>41.128394245171627</c:v>
                </c:pt>
                <c:pt idx="3">
                  <c:v>0.24083813614185784</c:v>
                </c:pt>
                <c:pt idx="4">
                  <c:v>0.12625825324675324</c:v>
                </c:pt>
                <c:pt idx="5">
                  <c:v>0.12824730379810756</c:v>
                </c:pt>
                <c:pt idx="6">
                  <c:v>0.14420347058823529</c:v>
                </c:pt>
                <c:pt idx="7">
                  <c:v>7.698370464584775E-2</c:v>
                </c:pt>
                <c:pt idx="8">
                  <c:v>79.736000000000004</c:v>
                </c:pt>
                <c:pt idx="9">
                  <c:v>0.10208563993256134</c:v>
                </c:pt>
                <c:pt idx="10">
                  <c:v>0.29210173529411765</c:v>
                </c:pt>
                <c:pt idx="11">
                  <c:v>39.888838136141864</c:v>
                </c:pt>
                <c:pt idx="12">
                  <c:v>0</c:v>
                </c:pt>
                <c:pt idx="13">
                  <c:v>0.34741362139326759</c:v>
                </c:pt>
                <c:pt idx="14">
                  <c:v>3.6333847829880667E-2</c:v>
                </c:pt>
                <c:pt idx="15">
                  <c:v>0</c:v>
                </c:pt>
                <c:pt idx="16">
                  <c:v>0.10208563993256134</c:v>
                </c:pt>
                <c:pt idx="17">
                  <c:v>0.14420347058823529</c:v>
                </c:pt>
                <c:pt idx="18">
                  <c:v>0.15241991711229946</c:v>
                </c:pt>
              </c:numCache>
            </c:numRef>
          </c:val>
          <c:smooth val="0"/>
          <c:extLst>
            <c:ext xmlns:c16="http://schemas.microsoft.com/office/drawing/2014/chart" uri="{C3380CC4-5D6E-409C-BE32-E72D297353CC}">
              <c16:uniqueId val="{00000001-E8D3-4E31-AADB-5F89CC227CA4}"/>
            </c:ext>
          </c:extLst>
        </c:ser>
        <c:dLbls>
          <c:showLegendKey val="0"/>
          <c:showVal val="0"/>
          <c:showCatName val="0"/>
          <c:showSerName val="0"/>
          <c:showPercent val="0"/>
          <c:showBubbleSize val="0"/>
        </c:dLbls>
        <c:marker val="1"/>
        <c:smooth val="0"/>
        <c:axId val="1396796336"/>
        <c:axId val="1396792496"/>
      </c:lineChart>
      <c:catAx>
        <c:axId val="1396796336"/>
        <c:scaling>
          <c:orientation val="minMax"/>
        </c:scaling>
        <c:delete val="0"/>
        <c:axPos val="b"/>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396792496"/>
        <c:crosses val="autoZero"/>
        <c:auto val="1"/>
        <c:lblAlgn val="ctr"/>
        <c:lblOffset val="100"/>
        <c:noMultiLvlLbl val="0"/>
      </c:catAx>
      <c:valAx>
        <c:axId val="1396792496"/>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39679633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mn-lt"/>
                <a:ea typeface="+mn-ea"/>
                <a:cs typeface="+mn-cs"/>
              </a:defRPr>
            </a:pPr>
            <a:r>
              <a:rPr lang="en-US" b="1"/>
              <a:t>Cost (USD)/Job Created Across</a:t>
            </a:r>
            <a:r>
              <a:rPr lang="en-US" b="1" baseline="0"/>
              <a:t> MSD Programmes</a:t>
            </a:r>
            <a:endParaRPr lang="en-US" b="1"/>
          </a:p>
        </c:rich>
      </c:tx>
      <c:overlay val="0"/>
      <c:spPr>
        <a:noFill/>
        <a:ln>
          <a:noFill/>
          <a:prstDash val="solid"/>
        </a:ln>
      </c:spPr>
    </c:title>
    <c:autoTitleDeleted val="0"/>
    <c:plotArea>
      <c:layout/>
      <c:barChart>
        <c:barDir val="col"/>
        <c:grouping val="clustered"/>
        <c:varyColors val="0"/>
        <c:ser>
          <c:idx val="1"/>
          <c:order val="0"/>
          <c:tx>
            <c:strRef>
              <c:f>'Summary &amp; Analysis - Quintiles'!$D$117</c:f>
              <c:strCache>
                <c:ptCount val="1"/>
                <c:pt idx="0">
                  <c:v>Mean</c:v>
                </c:pt>
              </c:strCache>
            </c:strRef>
          </c:tx>
          <c:spPr>
            <a:solidFill>
              <a:srgbClr val="960A55"/>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'Summary &amp; Analysis - Quintiles'!$A$118:$B$136</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Quintiles'!$D$118:$D$136</c:f>
              <c:numCache>
                <c:formatCode>_("$"* #,##0_);_("$"* \(#,##0\);_("$"* "-"??_);_(@_)</c:formatCode>
                <c:ptCount val="19"/>
                <c:pt idx="0">
                  <c:v>18181.973900985908</c:v>
                </c:pt>
                <c:pt idx="1">
                  <c:v>13943.408795133497</c:v>
                </c:pt>
                <c:pt idx="2">
                  <c:v>24804.731878880313</c:v>
                </c:pt>
                <c:pt idx="3">
                  <c:v>36331.653461280948</c:v>
                </c:pt>
                <c:pt idx="4">
                  <c:v>4097.3014501022735</c:v>
                </c:pt>
                <c:pt idx="5">
                  <c:v>20100.028884233816</c:v>
                </c:pt>
                <c:pt idx="6">
                  <c:v>23732.517733253324</c:v>
                </c:pt>
                <c:pt idx="7">
                  <c:v>11652.741877938273</c:v>
                </c:pt>
                <c:pt idx="8">
                  <c:v>11895.672393941024</c:v>
                </c:pt>
                <c:pt idx="9">
                  <c:v>22812.508835932505</c:v>
                </c:pt>
                <c:pt idx="10">
                  <c:v>14051.963482091023</c:v>
                </c:pt>
                <c:pt idx="11">
                  <c:v>21211.601371006032</c:v>
                </c:pt>
                <c:pt idx="12">
                  <c:v>5174.9890924283609</c:v>
                </c:pt>
                <c:pt idx="13">
                  <c:v>9021.0432726001363</c:v>
                </c:pt>
                <c:pt idx="14">
                  <c:v>40961.898616280167</c:v>
                </c:pt>
                <c:pt idx="15">
                  <c:v>5174.9890924283609</c:v>
                </c:pt>
                <c:pt idx="16">
                  <c:v>19439.379459524262</c:v>
                </c:pt>
                <c:pt idx="17">
                  <c:v>17315.660285867452</c:v>
                </c:pt>
                <c:pt idx="18">
                  <c:v>16532.316168688722</c:v>
                </c:pt>
              </c:numCache>
            </c:numRef>
          </c:val>
          <c:extLst>
            <c:ext xmlns:c16="http://schemas.microsoft.com/office/drawing/2014/chart" uri="{C3380CC4-5D6E-409C-BE32-E72D297353CC}">
              <c16:uniqueId val="{00000000-DD4A-4D0D-99FD-D1BD34BCD89B}"/>
            </c:ext>
          </c:extLst>
        </c:ser>
        <c:dLbls>
          <c:showLegendKey val="0"/>
          <c:showVal val="0"/>
          <c:showCatName val="0"/>
          <c:showSerName val="0"/>
          <c:showPercent val="0"/>
          <c:showBubbleSize val="0"/>
        </c:dLbls>
        <c:gapWidth val="219"/>
        <c:overlap val="-27"/>
        <c:axId val="1611463296"/>
        <c:axId val="1611453216"/>
      </c:barChart>
      <c:lineChart>
        <c:grouping val="stacked"/>
        <c:varyColors val="0"/>
        <c:ser>
          <c:idx val="2"/>
          <c:order val="1"/>
          <c:tx>
            <c:strRef>
              <c:f>'Summary &amp; Analysis - Quintiles'!$C$117</c:f>
              <c:strCache>
                <c:ptCount val="1"/>
                <c:pt idx="0">
                  <c:v>Median</c:v>
                </c:pt>
              </c:strCache>
            </c:strRef>
          </c:tx>
          <c:spPr>
            <a:ln w="12700" cap="rnd">
              <a:solidFill>
                <a:srgbClr val="CB85AA"/>
              </a:solidFill>
              <a:prstDash val="solid"/>
              <a:round/>
            </a:ln>
          </c:spPr>
          <c:marker>
            <c:symbol val="circle"/>
            <c:size val="5"/>
            <c:spPr>
              <a:solidFill>
                <a:srgbClr val="CB85AA"/>
              </a:solidFill>
              <a:ln w="12700">
                <a:solidFill>
                  <a:srgbClr val="CB85AA"/>
                </a:solidFill>
                <a:prstDash val="solid"/>
              </a:ln>
            </c:spPr>
          </c:marker>
          <c:cat>
            <c:multiLvlStrRef>
              <c:f>'Summary &amp; Analysis - Quintiles'!$A$118:$B$136</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Quintiles'!$C$118:$C$136</c:f>
              <c:numCache>
                <c:formatCode>_("$"* #,##0_);_("$"* \(#,##0\);_("$"* "-"??_);_(@_)</c:formatCode>
                <c:ptCount val="19"/>
                <c:pt idx="0">
                  <c:v>3575.547866205306</c:v>
                </c:pt>
                <c:pt idx="1">
                  <c:v>4772.0607837909893</c:v>
                </c:pt>
                <c:pt idx="2">
                  <c:v>2523.6537486719762</c:v>
                </c:pt>
                <c:pt idx="3">
                  <c:v>6496.080152394341</c:v>
                </c:pt>
                <c:pt idx="4">
                  <c:v>1670.5695165268869</c:v>
                </c:pt>
                <c:pt idx="5">
                  <c:v>4079.4405997693193</c:v>
                </c:pt>
                <c:pt idx="6">
                  <c:v>1689.8302128088981</c:v>
                </c:pt>
                <c:pt idx="7">
                  <c:v>5285.393258426966</c:v>
                </c:pt>
                <c:pt idx="8">
                  <c:v>4071.6111662613157</c:v>
                </c:pt>
                <c:pt idx="9">
                  <c:v>4459.0534147579474</c:v>
                </c:pt>
                <c:pt idx="10">
                  <c:v>1590.8775516151345</c:v>
                </c:pt>
                <c:pt idx="11">
                  <c:v>5697.0610399397137</c:v>
                </c:pt>
                <c:pt idx="12">
                  <c:v>5174.98909242836</c:v>
                </c:pt>
                <c:pt idx="13">
                  <c:v>2963.2653061224491</c:v>
                </c:pt>
                <c:pt idx="14">
                  <c:v>5147.9312162627266</c:v>
                </c:pt>
                <c:pt idx="15">
                  <c:v>5174.98909242836</c:v>
                </c:pt>
                <c:pt idx="16">
                  <c:v>2963.2653061224491</c:v>
                </c:pt>
                <c:pt idx="17">
                  <c:v>3435.4514807699279</c:v>
                </c:pt>
                <c:pt idx="18">
                  <c:v>4245.4854943753699</c:v>
                </c:pt>
              </c:numCache>
            </c:numRef>
          </c:val>
          <c:smooth val="0"/>
          <c:extLst>
            <c:ext xmlns:c16="http://schemas.microsoft.com/office/drawing/2014/chart" uri="{C3380CC4-5D6E-409C-BE32-E72D297353CC}">
              <c16:uniqueId val="{00000001-DD4A-4D0D-99FD-D1BD34BCD89B}"/>
            </c:ext>
          </c:extLst>
        </c:ser>
        <c:dLbls>
          <c:showLegendKey val="0"/>
          <c:showVal val="0"/>
          <c:showCatName val="0"/>
          <c:showSerName val="0"/>
          <c:showPercent val="0"/>
          <c:showBubbleSize val="0"/>
        </c:dLbls>
        <c:marker val="1"/>
        <c:smooth val="0"/>
        <c:axId val="1611463296"/>
        <c:axId val="1611453216"/>
      </c:lineChart>
      <c:catAx>
        <c:axId val="1611463296"/>
        <c:scaling>
          <c:orientation val="minMax"/>
        </c:scaling>
        <c:delete val="0"/>
        <c:axPos val="b"/>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611453216"/>
        <c:crosses val="autoZero"/>
        <c:auto val="1"/>
        <c:lblAlgn val="ctr"/>
        <c:lblOffset val="100"/>
        <c:noMultiLvlLbl val="0"/>
      </c:catAx>
      <c:valAx>
        <c:axId val="1611453216"/>
        <c:scaling>
          <c:orientation val="minMax"/>
        </c:scaling>
        <c:delete val="0"/>
        <c:axPos val="l"/>
        <c:majorGridlines>
          <c:spPr>
            <a:ln w="9525" cap="flat" cmpd="sng" algn="ctr">
              <a:solidFill>
                <a:schemeClr val="tx1">
                  <a:lumMod val="15000"/>
                  <a:lumOff val="85000"/>
                </a:schemeClr>
              </a:solidFill>
              <a:prstDash val="solid"/>
              <a:round/>
            </a:ln>
          </c:spPr>
        </c:majorGridlines>
        <c:numFmt formatCode="_(&quot;$&quot;* #,##0_);_(&quot;$&quot;* \(#,##0\);_(&quot;$&quot;*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61146329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mn-lt"/>
                <a:ea typeface="+mn-ea"/>
                <a:cs typeface="+mn-cs"/>
              </a:defRPr>
            </a:pPr>
            <a:r>
              <a:rPr lang="en-US" b="1"/>
              <a:t>Cost (USD)/Job Improved Across MSD Programmes</a:t>
            </a:r>
          </a:p>
        </c:rich>
      </c:tx>
      <c:overlay val="0"/>
      <c:spPr>
        <a:noFill/>
        <a:ln>
          <a:noFill/>
          <a:prstDash val="solid"/>
        </a:ln>
      </c:spPr>
    </c:title>
    <c:autoTitleDeleted val="0"/>
    <c:plotArea>
      <c:layout/>
      <c:barChart>
        <c:barDir val="col"/>
        <c:grouping val="clustered"/>
        <c:varyColors val="0"/>
        <c:ser>
          <c:idx val="1"/>
          <c:order val="0"/>
          <c:tx>
            <c:strRef>
              <c:f>'Summary &amp; Analysis - Quintiles'!$D$138</c:f>
              <c:strCache>
                <c:ptCount val="1"/>
                <c:pt idx="0">
                  <c:v>Mean</c:v>
                </c:pt>
              </c:strCache>
            </c:strRef>
          </c:tx>
          <c:spPr>
            <a:solidFill>
              <a:srgbClr val="960A55"/>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'Summary &amp; Analysis - Quintiles'!$A$139:$B$157</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Quintiles'!$D$139:$D$157</c:f>
              <c:numCache>
                <c:formatCode>_("$"* #,##0_);_("$"* \(#,##0\);_("$"* "-"??_);_(@_)</c:formatCode>
                <c:ptCount val="19"/>
                <c:pt idx="0">
                  <c:v>5483.2526019687411</c:v>
                </c:pt>
                <c:pt idx="1">
                  <c:v>6052.5181282891399</c:v>
                </c:pt>
                <c:pt idx="2">
                  <c:v>3547.7498124793801</c:v>
                </c:pt>
                <c:pt idx="3">
                  <c:v>2649.9803527777531</c:v>
                </c:pt>
                <c:pt idx="4">
                  <c:v>1185.8191605273498</c:v>
                </c:pt>
                <c:pt idx="5">
                  <c:v>7782.2376094268175</c:v>
                </c:pt>
                <c:pt idx="6">
                  <c:v>9854.1436361043852</c:v>
                </c:pt>
                <c:pt idx="7">
                  <c:v>879.77810470284351</c:v>
                </c:pt>
                <c:pt idx="8">
                  <c:v>1989.7527590161744</c:v>
                </c:pt>
                <c:pt idx="9">
                  <c:v>2464.7761104199435</c:v>
                </c:pt>
                <c:pt idx="10">
                  <c:v>8635.7672525037415</c:v>
                </c:pt>
                <c:pt idx="11">
                  <c:v>1957.1059259934657</c:v>
                </c:pt>
                <c:pt idx="12">
                  <c:v>2573.6832100399511</c:v>
                </c:pt>
                <c:pt idx="13">
                  <c:v>6260.7405233439022</c:v>
                </c:pt>
                <c:pt idx="14">
                  <c:v>2945.6207823491131</c:v>
                </c:pt>
                <c:pt idx="15">
                  <c:v>4673.3338275050437</c:v>
                </c:pt>
                <c:pt idx="16">
                  <c:v>10548.03757170529</c:v>
                </c:pt>
                <c:pt idx="17">
                  <c:v>5619.9570356935346</c:v>
                </c:pt>
                <c:pt idx="18">
                  <c:v>6173.5001773304584</c:v>
                </c:pt>
              </c:numCache>
            </c:numRef>
          </c:val>
          <c:extLst>
            <c:ext xmlns:c16="http://schemas.microsoft.com/office/drawing/2014/chart" uri="{C3380CC4-5D6E-409C-BE32-E72D297353CC}">
              <c16:uniqueId val="{00000000-3F29-4014-ABAA-9E0545096C94}"/>
            </c:ext>
          </c:extLst>
        </c:ser>
        <c:dLbls>
          <c:showLegendKey val="0"/>
          <c:showVal val="0"/>
          <c:showCatName val="0"/>
          <c:showSerName val="0"/>
          <c:showPercent val="0"/>
          <c:showBubbleSize val="0"/>
        </c:dLbls>
        <c:gapWidth val="219"/>
        <c:overlap val="-27"/>
        <c:axId val="697439456"/>
        <c:axId val="697438496"/>
      </c:barChart>
      <c:lineChart>
        <c:grouping val="stacked"/>
        <c:varyColors val="0"/>
        <c:ser>
          <c:idx val="2"/>
          <c:order val="1"/>
          <c:tx>
            <c:strRef>
              <c:f>'Summary &amp; Analysis - Quintiles'!$C$138</c:f>
              <c:strCache>
                <c:ptCount val="1"/>
                <c:pt idx="0">
                  <c:v>Median</c:v>
                </c:pt>
              </c:strCache>
            </c:strRef>
          </c:tx>
          <c:spPr>
            <a:ln w="12700" cap="rnd">
              <a:solidFill>
                <a:srgbClr val="CB85AA"/>
              </a:solidFill>
              <a:prstDash val="solid"/>
              <a:round/>
            </a:ln>
          </c:spPr>
          <c:marker>
            <c:symbol val="circle"/>
            <c:size val="5"/>
            <c:spPr>
              <a:solidFill>
                <a:srgbClr val="CB85AA"/>
              </a:solidFill>
              <a:ln w="12700">
                <a:solidFill>
                  <a:srgbClr val="CB85AA"/>
                </a:solidFill>
                <a:prstDash val="solid"/>
              </a:ln>
            </c:spPr>
          </c:marker>
          <c:cat>
            <c:multiLvlStrRef>
              <c:f>'Summary &amp; Analysis - Quintiles'!$A$139:$B$157</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Quintiles'!$C$139:$C$157</c:f>
              <c:numCache>
                <c:formatCode>_("$"* #,##0_);_("$"* \(#,##0\);_("$"* "-"??_);_(@_)</c:formatCode>
                <c:ptCount val="19"/>
                <c:pt idx="0">
                  <c:v>482.32273625495225</c:v>
                </c:pt>
                <c:pt idx="1">
                  <c:v>419.0232008476188</c:v>
                </c:pt>
                <c:pt idx="2">
                  <c:v>1219.148089171975</c:v>
                </c:pt>
                <c:pt idx="3">
                  <c:v>574.28677287884398</c:v>
                </c:pt>
                <c:pt idx="4">
                  <c:v>456.06868773381291</c:v>
                </c:pt>
                <c:pt idx="5">
                  <c:v>471.53129788989742</c:v>
                </c:pt>
                <c:pt idx="6">
                  <c:v>567.75563133738115</c:v>
                </c:pt>
                <c:pt idx="7">
                  <c:v>202.89325785704139</c:v>
                </c:pt>
                <c:pt idx="8">
                  <c:v>1180</c:v>
                </c:pt>
                <c:pt idx="9">
                  <c:v>419.0232008476188</c:v>
                </c:pt>
                <c:pt idx="10">
                  <c:v>313.50224254452303</c:v>
                </c:pt>
                <c:pt idx="11">
                  <c:v>786.72246616901521</c:v>
                </c:pt>
                <c:pt idx="12">
                  <c:v>2064.8294297280131</c:v>
                </c:pt>
                <c:pt idx="13">
                  <c:v>387.60667008351226</c:v>
                </c:pt>
                <c:pt idx="14">
                  <c:v>674.37379576107901</c:v>
                </c:pt>
                <c:pt idx="15">
                  <c:v>4673.3338275050437</c:v>
                </c:pt>
                <c:pt idx="16">
                  <c:v>658.72879464285711</c:v>
                </c:pt>
                <c:pt idx="17">
                  <c:v>419.0232008476188</c:v>
                </c:pt>
                <c:pt idx="18">
                  <c:v>471.53129788989742</c:v>
                </c:pt>
              </c:numCache>
            </c:numRef>
          </c:val>
          <c:smooth val="0"/>
          <c:extLst>
            <c:ext xmlns:c16="http://schemas.microsoft.com/office/drawing/2014/chart" uri="{C3380CC4-5D6E-409C-BE32-E72D297353CC}">
              <c16:uniqueId val="{00000001-3F29-4014-ABAA-9E0545096C94}"/>
            </c:ext>
          </c:extLst>
        </c:ser>
        <c:dLbls>
          <c:showLegendKey val="0"/>
          <c:showVal val="0"/>
          <c:showCatName val="0"/>
          <c:showSerName val="0"/>
          <c:showPercent val="0"/>
          <c:showBubbleSize val="0"/>
        </c:dLbls>
        <c:marker val="1"/>
        <c:smooth val="0"/>
        <c:axId val="697439456"/>
        <c:axId val="697438496"/>
      </c:lineChart>
      <c:catAx>
        <c:axId val="697439456"/>
        <c:scaling>
          <c:orientation val="minMax"/>
        </c:scaling>
        <c:delete val="0"/>
        <c:axPos val="b"/>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697438496"/>
        <c:crosses val="autoZero"/>
        <c:auto val="1"/>
        <c:lblAlgn val="ctr"/>
        <c:lblOffset val="100"/>
        <c:noMultiLvlLbl val="0"/>
      </c:catAx>
      <c:valAx>
        <c:axId val="697438496"/>
        <c:scaling>
          <c:orientation val="minMax"/>
        </c:scaling>
        <c:delete val="0"/>
        <c:axPos val="l"/>
        <c:majorGridlines>
          <c:spPr>
            <a:ln w="9525" cap="flat" cmpd="sng" algn="ctr">
              <a:solidFill>
                <a:schemeClr val="tx1">
                  <a:lumMod val="15000"/>
                  <a:lumOff val="85000"/>
                </a:schemeClr>
              </a:solidFill>
              <a:prstDash val="solid"/>
              <a:round/>
            </a:ln>
          </c:spPr>
        </c:majorGridlines>
        <c:numFmt formatCode="_(&quot;$&quot;* #,##0_);_(&quot;$&quot;* \(#,##0\);_(&quot;$&quot;*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69743945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mn-lt"/>
                <a:ea typeface="+mn-ea"/>
                <a:cs typeface="+mn-cs"/>
              </a:defRPr>
            </a:pPr>
            <a:r>
              <a:rPr lang="en-US" b="1"/>
              <a:t>Beneficiary Income (USD) / Project Cost Across MSD Programmes</a:t>
            </a:r>
          </a:p>
        </c:rich>
      </c:tx>
      <c:overlay val="0"/>
      <c:spPr>
        <a:noFill/>
        <a:ln>
          <a:noFill/>
          <a:prstDash val="solid"/>
        </a:ln>
      </c:spPr>
    </c:title>
    <c:autoTitleDeleted val="0"/>
    <c:plotArea>
      <c:layout/>
      <c:barChart>
        <c:barDir val="col"/>
        <c:grouping val="clustered"/>
        <c:varyColors val="0"/>
        <c:ser>
          <c:idx val="1"/>
          <c:order val="0"/>
          <c:tx>
            <c:strRef>
              <c:f>'Summary &amp; Analysis - Quintiles'!$D$159</c:f>
              <c:strCache>
                <c:ptCount val="1"/>
                <c:pt idx="0">
                  <c:v>Mean</c:v>
                </c:pt>
              </c:strCache>
            </c:strRef>
          </c:tx>
          <c:spPr>
            <a:solidFill>
              <a:srgbClr val="154200"/>
            </a:solidFill>
            <a:ln>
              <a:solidFill>
                <a:srgbClr val="154200"/>
              </a:solid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'Summary &amp; Analysis - Quintiles'!$A$160:$B$178</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Quintiles'!$D$160:$D$178</c:f>
              <c:numCache>
                <c:formatCode>0.00</c:formatCode>
                <c:ptCount val="19"/>
                <c:pt idx="0">
                  <c:v>1.5762862058440392</c:v>
                </c:pt>
                <c:pt idx="1">
                  <c:v>1.632121101651127</c:v>
                </c:pt>
                <c:pt idx="2">
                  <c:v>1.3864475600999397</c:v>
                </c:pt>
                <c:pt idx="3">
                  <c:v>1.8253717206874531</c:v>
                </c:pt>
                <c:pt idx="4">
                  <c:v>1.4988028891908434</c:v>
                </c:pt>
                <c:pt idx="5">
                  <c:v>1.5567970069412818</c:v>
                </c:pt>
                <c:pt idx="6">
                  <c:v>1.3758171858235466</c:v>
                </c:pt>
                <c:pt idx="7">
                  <c:v>2.274460981990631</c:v>
                </c:pt>
                <c:pt idx="8">
                  <c:v>0.79343967812297111</c:v>
                </c:pt>
                <c:pt idx="9">
                  <c:v>1.0781688199705626</c:v>
                </c:pt>
                <c:pt idx="10">
                  <c:v>2.0983228796146616</c:v>
                </c:pt>
                <c:pt idx="11">
                  <c:v>1.2437037868737502</c:v>
                </c:pt>
                <c:pt idx="12">
                  <c:v>0.91196505936670491</c:v>
                </c:pt>
                <c:pt idx="13">
                  <c:v>1.7380400165845433</c:v>
                </c:pt>
                <c:pt idx="14">
                  <c:v>1.2652241777337254</c:v>
                </c:pt>
                <c:pt idx="15">
                  <c:v>1.7255749716745863</c:v>
                </c:pt>
                <c:pt idx="16">
                  <c:v>1.3478918076797697</c:v>
                </c:pt>
                <c:pt idx="17">
                  <c:v>1.5762862058440392</c:v>
                </c:pt>
                <c:pt idx="18">
                  <c:v>1.4270826937688308</c:v>
                </c:pt>
              </c:numCache>
            </c:numRef>
          </c:val>
          <c:extLst>
            <c:ext xmlns:c16="http://schemas.microsoft.com/office/drawing/2014/chart" uri="{C3380CC4-5D6E-409C-BE32-E72D297353CC}">
              <c16:uniqueId val="{00000000-4606-458A-847A-7D30680DAFB3}"/>
            </c:ext>
          </c:extLst>
        </c:ser>
        <c:dLbls>
          <c:showLegendKey val="0"/>
          <c:showVal val="0"/>
          <c:showCatName val="0"/>
          <c:showSerName val="0"/>
          <c:showPercent val="0"/>
          <c:showBubbleSize val="0"/>
        </c:dLbls>
        <c:gapWidth val="219"/>
        <c:overlap val="-27"/>
        <c:axId val="1570095136"/>
        <c:axId val="1570096096"/>
      </c:barChart>
      <c:lineChart>
        <c:grouping val="stacked"/>
        <c:varyColors val="0"/>
        <c:ser>
          <c:idx val="2"/>
          <c:order val="1"/>
          <c:tx>
            <c:strRef>
              <c:f>'Summary &amp; Analysis - Quintiles'!$C$159</c:f>
              <c:strCache>
                <c:ptCount val="1"/>
                <c:pt idx="0">
                  <c:v>Median</c:v>
                </c:pt>
              </c:strCache>
            </c:strRef>
          </c:tx>
          <c:spPr>
            <a:ln w="12700" cap="rnd">
              <a:solidFill>
                <a:srgbClr val="8CE164"/>
              </a:solidFill>
              <a:prstDash val="solid"/>
              <a:round/>
            </a:ln>
          </c:spPr>
          <c:marker>
            <c:symbol val="circle"/>
            <c:size val="5"/>
            <c:spPr>
              <a:solidFill>
                <a:srgbClr val="8CE164"/>
              </a:solidFill>
              <a:ln w="12700">
                <a:solidFill>
                  <a:srgbClr val="8CE164"/>
                </a:solidFill>
                <a:prstDash val="solid"/>
              </a:ln>
            </c:spPr>
          </c:marker>
          <c:cat>
            <c:multiLvlStrRef>
              <c:f>'Summary &amp; Analysis - Quintiles'!$A$160:$B$178</c:f>
              <c:multiLvlStrCache>
                <c:ptCount val="19"/>
                <c:lvl>
                  <c:pt idx="0">
                    <c:v>All MSD Programmes</c:v>
                  </c:pt>
                  <c:pt idx="1">
                    <c:v>Agriculture-Focus</c:v>
                  </c:pt>
                  <c:pt idx="2">
                    <c:v>Non-Agriculture-Focus</c:v>
                  </c:pt>
                  <c:pt idx="3">
                    <c:v>&gt;=10 years</c:v>
                  </c:pt>
                  <c:pt idx="4">
                    <c:v>5-9  years</c:v>
                  </c:pt>
                  <c:pt idx="5">
                    <c:v> &lt;=5 years</c:v>
                  </c:pt>
                  <c:pt idx="6">
                    <c:v>Group 1</c:v>
                  </c:pt>
                  <c:pt idx="7">
                    <c:v>Group 2</c:v>
                  </c:pt>
                  <c:pt idx="8">
                    <c:v>Group 3</c:v>
                  </c:pt>
                  <c:pt idx="9">
                    <c:v>Low-Income</c:v>
                  </c:pt>
                  <c:pt idx="10">
                    <c:v>Lower-Middle Income</c:v>
                  </c:pt>
                  <c:pt idx="11">
                    <c:v>Upper-Middle Income</c:v>
                  </c:pt>
                  <c:pt idx="12">
                    <c:v>Mixed</c:v>
                  </c:pt>
                  <c:pt idx="13">
                    <c:v>Non-FCAS</c:v>
                  </c:pt>
                  <c:pt idx="14">
                    <c:v>FCAS</c:v>
                  </c:pt>
                  <c:pt idx="15">
                    <c:v>Both</c:v>
                  </c:pt>
                  <c:pt idx="16">
                    <c:v>Job Creation</c:v>
                  </c:pt>
                  <c:pt idx="17">
                    <c:v>Income Improvement</c:v>
                  </c:pt>
                  <c:pt idx="18">
                    <c:v>Food Security &amp; Resilience</c:v>
                  </c:pt>
                </c:lvl>
                <c:lvl>
                  <c:pt idx="0">
                    <c:v>Sector</c:v>
                  </c:pt>
                  <c:pt idx="3">
                    <c:v>Programme Length</c:v>
                  </c:pt>
                  <c:pt idx="6">
                    <c:v>Groups (Level of Inflation and Political Risks)</c:v>
                  </c:pt>
                  <c:pt idx="9">
                    <c:v>Country Income Level</c:v>
                  </c:pt>
                  <c:pt idx="13">
                    <c:v>FCAS Status</c:v>
                  </c:pt>
                  <c:pt idx="16">
                    <c:v>Primary Objective</c:v>
                  </c:pt>
                </c:lvl>
              </c:multiLvlStrCache>
            </c:multiLvlStrRef>
          </c:cat>
          <c:val>
            <c:numRef>
              <c:f>'Summary &amp; Analysis - Quintiles'!$C$160:$C$178</c:f>
              <c:numCache>
                <c:formatCode>0.00</c:formatCode>
                <c:ptCount val="19"/>
                <c:pt idx="0">
                  <c:v>1.1640735593775156</c:v>
                </c:pt>
                <c:pt idx="1">
                  <c:v>1.0993652525186981</c:v>
                </c:pt>
                <c:pt idx="2">
                  <c:v>1.6198021143968986</c:v>
                </c:pt>
                <c:pt idx="3">
                  <c:v>1.8974408061747736</c:v>
                </c:pt>
                <c:pt idx="4">
                  <c:v>0.80423280423280419</c:v>
                </c:pt>
                <c:pt idx="5">
                  <c:v>0.97210451516634055</c:v>
                </c:pt>
                <c:pt idx="6">
                  <c:v>1.197129437050968</c:v>
                </c:pt>
                <c:pt idx="7">
                  <c:v>1.832535885167464</c:v>
                </c:pt>
                <c:pt idx="8">
                  <c:v>0.573667402700202</c:v>
                </c:pt>
                <c:pt idx="9">
                  <c:v>0.82986517142857141</c:v>
                </c:pt>
                <c:pt idx="10">
                  <c:v>1.832535885167464</c:v>
                </c:pt>
                <c:pt idx="11">
                  <c:v>0.80423280423280419</c:v>
                </c:pt>
                <c:pt idx="12">
                  <c:v>0.5791622575831703</c:v>
                </c:pt>
                <c:pt idx="13">
                  <c:v>1.197129437050968</c:v>
                </c:pt>
                <c:pt idx="14">
                  <c:v>0.96</c:v>
                </c:pt>
                <c:pt idx="15">
                  <c:v>1.7255749716745863</c:v>
                </c:pt>
                <c:pt idx="16">
                  <c:v>1.0677128233333331</c:v>
                </c:pt>
                <c:pt idx="17">
                  <c:v>1.1640735593775156</c:v>
                </c:pt>
                <c:pt idx="18">
                  <c:v>0.96</c:v>
                </c:pt>
              </c:numCache>
            </c:numRef>
          </c:val>
          <c:smooth val="0"/>
          <c:extLst>
            <c:ext xmlns:c16="http://schemas.microsoft.com/office/drawing/2014/chart" uri="{C3380CC4-5D6E-409C-BE32-E72D297353CC}">
              <c16:uniqueId val="{00000001-4606-458A-847A-7D30680DAFB3}"/>
            </c:ext>
          </c:extLst>
        </c:ser>
        <c:dLbls>
          <c:showLegendKey val="0"/>
          <c:showVal val="0"/>
          <c:showCatName val="0"/>
          <c:showSerName val="0"/>
          <c:showPercent val="0"/>
          <c:showBubbleSize val="0"/>
        </c:dLbls>
        <c:marker val="1"/>
        <c:smooth val="0"/>
        <c:axId val="1570095136"/>
        <c:axId val="1570096096"/>
      </c:lineChart>
      <c:catAx>
        <c:axId val="1570095136"/>
        <c:scaling>
          <c:orientation val="minMax"/>
        </c:scaling>
        <c:delete val="0"/>
        <c:axPos val="b"/>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570096096"/>
        <c:crosses val="autoZero"/>
        <c:auto val="1"/>
        <c:lblAlgn val="ctr"/>
        <c:lblOffset val="100"/>
        <c:noMultiLvlLbl val="0"/>
      </c:catAx>
      <c:valAx>
        <c:axId val="1570096096"/>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57009513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r>
              <a:rPr lang="en-US">
                <a:solidFill>
                  <a:sysClr val="windowText" lastClr="000000"/>
                </a:solidFill>
              </a:rPr>
              <a:t>Income per Beneficiary (USD)</a:t>
            </a:r>
          </a:p>
        </c:rich>
      </c:tx>
      <c:overlay val="0"/>
      <c:spPr>
        <a:noFill/>
        <a:ln>
          <a:noFill/>
          <a:prstDash val="solid"/>
        </a:ln>
      </c:spPr>
    </c:title>
    <c:autoTitleDeleted val="0"/>
    <c:plotArea>
      <c:layout/>
      <c:barChart>
        <c:barDir val="col"/>
        <c:grouping val="clustered"/>
        <c:varyColors val="0"/>
        <c:ser>
          <c:idx val="0"/>
          <c:order val="0"/>
          <c:tx>
            <c:strRef>
              <c:f>'Summary &amp; Analysis - Quart New'!$D$77</c:f>
              <c:strCache>
                <c:ptCount val="1"/>
                <c:pt idx="0">
                  <c:v>Median</c:v>
                </c:pt>
              </c:strCache>
            </c:strRef>
          </c:tx>
          <c:spPr>
            <a:solidFill>
              <a:srgbClr val="FA3C4B"/>
            </a:solidFill>
            <a:ln>
              <a:solidFill>
                <a:srgbClr val="FA3C4B"/>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New'!$B$78:$C$79</c:f>
              <c:strCache>
                <c:ptCount val="2"/>
                <c:pt idx="0">
                  <c:v>Non-FCAS</c:v>
                </c:pt>
                <c:pt idx="1">
                  <c:v>FCAS</c:v>
                </c:pt>
              </c:strCache>
            </c:strRef>
          </c:cat>
          <c:val>
            <c:numRef>
              <c:f>'Summary &amp; Analysis - Quart New'!$D$78:$D$79</c:f>
              <c:numCache>
                <c:formatCode>General</c:formatCode>
                <c:ptCount val="2"/>
                <c:pt idx="0">
                  <c:v>132</c:v>
                </c:pt>
                <c:pt idx="1">
                  <c:v>285</c:v>
                </c:pt>
              </c:numCache>
            </c:numRef>
          </c:val>
          <c:extLst>
            <c:ext xmlns:c16="http://schemas.microsoft.com/office/drawing/2014/chart" uri="{C3380CC4-5D6E-409C-BE32-E72D297353CC}">
              <c16:uniqueId val="{00000000-B7BE-4EF3-AAFC-9BD5FC729077}"/>
            </c:ext>
          </c:extLst>
        </c:ser>
        <c:ser>
          <c:idx val="1"/>
          <c:order val="1"/>
          <c:tx>
            <c:strRef>
              <c:f>'Summary &amp; Analysis - Quart New'!$E$77</c:f>
              <c:strCache>
                <c:ptCount val="1"/>
                <c:pt idx="0">
                  <c:v>Refined Mean</c:v>
                </c:pt>
              </c:strCache>
            </c:strRef>
          </c:tx>
          <c:spPr>
            <a:solidFill>
              <a:srgbClr val="960A55"/>
            </a:solidFill>
            <a:ln>
              <a:solidFill>
                <a:srgbClr val="960A55"/>
              </a:solid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&amp; Analysis - Quart New'!$B$78:$C$79</c:f>
              <c:strCache>
                <c:ptCount val="2"/>
                <c:pt idx="0">
                  <c:v>Non-FCAS</c:v>
                </c:pt>
                <c:pt idx="1">
                  <c:v>FCAS</c:v>
                </c:pt>
              </c:strCache>
            </c:strRef>
          </c:cat>
          <c:val>
            <c:numRef>
              <c:f>'Summary &amp; Analysis - Quart New'!$E$78:$E$79</c:f>
              <c:numCache>
                <c:formatCode>General</c:formatCode>
                <c:ptCount val="2"/>
                <c:pt idx="0">
                  <c:v>93</c:v>
                </c:pt>
                <c:pt idx="1">
                  <c:v>241</c:v>
                </c:pt>
              </c:numCache>
            </c:numRef>
          </c:val>
          <c:extLst>
            <c:ext xmlns:c16="http://schemas.microsoft.com/office/drawing/2014/chart" uri="{C3380CC4-5D6E-409C-BE32-E72D297353CC}">
              <c16:uniqueId val="{00000001-B7BE-4EF3-AAFC-9BD5FC729077}"/>
            </c:ext>
          </c:extLst>
        </c:ser>
        <c:dLbls>
          <c:showLegendKey val="0"/>
          <c:showVal val="0"/>
          <c:showCatName val="0"/>
          <c:showSerName val="0"/>
          <c:showPercent val="0"/>
          <c:showBubbleSize val="0"/>
        </c:dLbls>
        <c:gapWidth val="219"/>
        <c:overlap val="-27"/>
        <c:axId val="1403555296"/>
        <c:axId val="1403562496"/>
      </c:barChart>
      <c:catAx>
        <c:axId val="140355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1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03562496"/>
        <c:crosses val="autoZero"/>
        <c:auto val="1"/>
        <c:lblAlgn val="ctr"/>
        <c:lblOffset val="100"/>
        <c:noMultiLvlLbl val="0"/>
      </c:catAx>
      <c:valAx>
        <c:axId val="1403562496"/>
        <c:scaling>
          <c:orientation val="minMax"/>
        </c:scaling>
        <c:delete val="0"/>
        <c:axPos val="l"/>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crossAx val="140355529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Noto Sans" panose="020B0502040504020204" pitchFamily="34" charset="0"/>
              <a:ea typeface="Noto Sans" panose="020B0502040504020204" pitchFamily="34" charset="0"/>
              <a:cs typeface="Noto Sans" panose="020B0502040504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6.xml"/><Relationship Id="rId13" Type="http://schemas.openxmlformats.org/officeDocument/2006/relationships/chart" Target="../charts/chart21.xml"/><Relationship Id="rId18" Type="http://schemas.openxmlformats.org/officeDocument/2006/relationships/chart" Target="../charts/chart26.xml"/><Relationship Id="rId26" Type="http://schemas.openxmlformats.org/officeDocument/2006/relationships/chart" Target="../charts/chart34.xml"/><Relationship Id="rId3" Type="http://schemas.openxmlformats.org/officeDocument/2006/relationships/chart" Target="../charts/chart11.xml"/><Relationship Id="rId21" Type="http://schemas.openxmlformats.org/officeDocument/2006/relationships/chart" Target="../charts/chart29.xml"/><Relationship Id="rId7" Type="http://schemas.openxmlformats.org/officeDocument/2006/relationships/chart" Target="../charts/chart15.xml"/><Relationship Id="rId12" Type="http://schemas.openxmlformats.org/officeDocument/2006/relationships/chart" Target="../charts/chart20.xml"/><Relationship Id="rId17" Type="http://schemas.openxmlformats.org/officeDocument/2006/relationships/chart" Target="../charts/chart25.xml"/><Relationship Id="rId25" Type="http://schemas.openxmlformats.org/officeDocument/2006/relationships/chart" Target="../charts/chart33.xml"/><Relationship Id="rId2" Type="http://schemas.openxmlformats.org/officeDocument/2006/relationships/chart" Target="../charts/chart10.xml"/><Relationship Id="rId16" Type="http://schemas.openxmlformats.org/officeDocument/2006/relationships/chart" Target="../charts/chart24.xml"/><Relationship Id="rId20" Type="http://schemas.openxmlformats.org/officeDocument/2006/relationships/chart" Target="../charts/chart28.xml"/><Relationship Id="rId29" Type="http://schemas.openxmlformats.org/officeDocument/2006/relationships/chart" Target="../charts/chart37.xml"/><Relationship Id="rId1" Type="http://schemas.openxmlformats.org/officeDocument/2006/relationships/chart" Target="../charts/chart9.xml"/><Relationship Id="rId6" Type="http://schemas.openxmlformats.org/officeDocument/2006/relationships/chart" Target="../charts/chart14.xml"/><Relationship Id="rId11" Type="http://schemas.openxmlformats.org/officeDocument/2006/relationships/chart" Target="../charts/chart19.xml"/><Relationship Id="rId24" Type="http://schemas.openxmlformats.org/officeDocument/2006/relationships/chart" Target="../charts/chart32.xml"/><Relationship Id="rId5" Type="http://schemas.openxmlformats.org/officeDocument/2006/relationships/chart" Target="../charts/chart13.xml"/><Relationship Id="rId15" Type="http://schemas.openxmlformats.org/officeDocument/2006/relationships/chart" Target="../charts/chart23.xml"/><Relationship Id="rId23" Type="http://schemas.openxmlformats.org/officeDocument/2006/relationships/chart" Target="../charts/chart31.xml"/><Relationship Id="rId28" Type="http://schemas.openxmlformats.org/officeDocument/2006/relationships/chart" Target="../charts/chart36.xml"/><Relationship Id="rId10" Type="http://schemas.openxmlformats.org/officeDocument/2006/relationships/chart" Target="../charts/chart18.xml"/><Relationship Id="rId19" Type="http://schemas.openxmlformats.org/officeDocument/2006/relationships/chart" Target="../charts/chart27.xml"/><Relationship Id="rId4" Type="http://schemas.openxmlformats.org/officeDocument/2006/relationships/chart" Target="../charts/chart12.xml"/><Relationship Id="rId9" Type="http://schemas.openxmlformats.org/officeDocument/2006/relationships/chart" Target="../charts/chart17.xml"/><Relationship Id="rId14" Type="http://schemas.openxmlformats.org/officeDocument/2006/relationships/chart" Target="../charts/chart22.xml"/><Relationship Id="rId22" Type="http://schemas.openxmlformats.org/officeDocument/2006/relationships/chart" Target="../charts/chart30.xml"/><Relationship Id="rId27" Type="http://schemas.openxmlformats.org/officeDocument/2006/relationships/chart" Target="../charts/chart35.xml"/><Relationship Id="rId30" Type="http://schemas.openxmlformats.org/officeDocument/2006/relationships/chart" Target="../charts/chart3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9.xml"/></Relationships>
</file>

<file path=xl/drawings/drawing1.xml><?xml version="1.0" encoding="utf-8"?>
<xdr:wsDr xmlns:xdr="http://schemas.openxmlformats.org/drawingml/2006/spreadsheetDrawing" xmlns:a="http://schemas.openxmlformats.org/drawingml/2006/main">
  <xdr:twoCellAnchor>
    <xdr:from>
      <xdr:col>38</xdr:col>
      <xdr:colOff>734097</xdr:colOff>
      <xdr:row>17</xdr:row>
      <xdr:rowOff>158788</xdr:rowOff>
    </xdr:from>
    <xdr:to>
      <xdr:col>43</xdr:col>
      <xdr:colOff>666862</xdr:colOff>
      <xdr:row>39</xdr:row>
      <xdr:rowOff>156882</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197749</xdr:colOff>
      <xdr:row>29</xdr:row>
      <xdr:rowOff>450955</xdr:rowOff>
    </xdr:from>
    <xdr:to>
      <xdr:col>22</xdr:col>
      <xdr:colOff>180975</xdr:colOff>
      <xdr:row>51</xdr:row>
      <xdr:rowOff>21642</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218440</xdr:colOff>
      <xdr:row>52</xdr:row>
      <xdr:rowOff>175049</xdr:rowOff>
    </xdr:from>
    <xdr:to>
      <xdr:col>22</xdr:col>
      <xdr:colOff>64982</xdr:colOff>
      <xdr:row>73</xdr:row>
      <xdr:rowOff>16510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199177</xdr:colOff>
      <xdr:row>74</xdr:row>
      <xdr:rowOff>1</xdr:rowOff>
    </xdr:from>
    <xdr:to>
      <xdr:col>22</xdr:col>
      <xdr:colOff>2116</xdr:colOff>
      <xdr:row>94</xdr:row>
      <xdr:rowOff>0</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212724</xdr:colOff>
      <xdr:row>94</xdr:row>
      <xdr:rowOff>184573</xdr:rowOff>
    </xdr:from>
    <xdr:to>
      <xdr:col>21</xdr:col>
      <xdr:colOff>702944</xdr:colOff>
      <xdr:row>115</xdr:row>
      <xdr:rowOff>25823</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235584</xdr:colOff>
      <xdr:row>115</xdr:row>
      <xdr:rowOff>178224</xdr:rowOff>
    </xdr:from>
    <xdr:to>
      <xdr:col>21</xdr:col>
      <xdr:colOff>718184</xdr:colOff>
      <xdr:row>136</xdr:row>
      <xdr:rowOff>0</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260138</xdr:colOff>
      <xdr:row>137</xdr:row>
      <xdr:rowOff>20109</xdr:rowOff>
    </xdr:from>
    <xdr:to>
      <xdr:col>22</xdr:col>
      <xdr:colOff>8679</xdr:colOff>
      <xdr:row>157</xdr:row>
      <xdr:rowOff>0</xdr:rowOff>
    </xdr:to>
    <xdr:graphicFrame macro="">
      <xdr:nvGraphicFramePr>
        <xdr:cNvPr id="7" name="Chart 6">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270085</xdr:colOff>
      <xdr:row>158</xdr:row>
      <xdr:rowOff>12488</xdr:rowOff>
    </xdr:from>
    <xdr:to>
      <xdr:col>22</xdr:col>
      <xdr:colOff>22014</xdr:colOff>
      <xdr:row>178</xdr:row>
      <xdr:rowOff>19260</xdr:rowOff>
    </xdr:to>
    <xdr:graphicFrame macro="">
      <xdr:nvGraphicFramePr>
        <xdr:cNvPr id="8" name="Chart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86</xdr:row>
      <xdr:rowOff>33338</xdr:rowOff>
    </xdr:from>
    <xdr:to>
      <xdr:col>4</xdr:col>
      <xdr:colOff>828675</xdr:colOff>
      <xdr:row>101</xdr:row>
      <xdr:rowOff>61913</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192405</xdr:colOff>
      <xdr:row>85</xdr:row>
      <xdr:rowOff>136208</xdr:rowOff>
    </xdr:from>
    <xdr:to>
      <xdr:col>10</xdr:col>
      <xdr:colOff>1097280</xdr:colOff>
      <xdr:row>100</xdr:row>
      <xdr:rowOff>164783</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45</xdr:col>
      <xdr:colOff>304800</xdr:colOff>
      <xdr:row>77</xdr:row>
      <xdr:rowOff>14288</xdr:rowOff>
    </xdr:from>
    <xdr:to>
      <xdr:col>50</xdr:col>
      <xdr:colOff>142875</xdr:colOff>
      <xdr:row>92</xdr:row>
      <xdr:rowOff>42863</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45</xdr:col>
      <xdr:colOff>30480</xdr:colOff>
      <xdr:row>103</xdr:row>
      <xdr:rowOff>4763</xdr:rowOff>
    </xdr:from>
    <xdr:to>
      <xdr:col>49</xdr:col>
      <xdr:colOff>601980</xdr:colOff>
      <xdr:row>118</xdr:row>
      <xdr:rowOff>35243</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53</xdr:col>
      <xdr:colOff>653415</xdr:colOff>
      <xdr:row>81</xdr:row>
      <xdr:rowOff>44768</xdr:rowOff>
    </xdr:from>
    <xdr:to>
      <xdr:col>58</xdr:col>
      <xdr:colOff>577215</xdr:colOff>
      <xdr:row>96</xdr:row>
      <xdr:rowOff>73343</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54</xdr:col>
      <xdr:colOff>47624</xdr:colOff>
      <xdr:row>121</xdr:row>
      <xdr:rowOff>138113</xdr:rowOff>
    </xdr:from>
    <xdr:to>
      <xdr:col>59</xdr:col>
      <xdr:colOff>83819</xdr:colOff>
      <xdr:row>136</xdr:row>
      <xdr:rowOff>166688</xdr:rowOff>
    </xdr:to>
    <xdr:graphicFrame macro="">
      <xdr:nvGraphicFramePr>
        <xdr:cNvPr id="7" name="Chart 6">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44</xdr:col>
      <xdr:colOff>640080</xdr:colOff>
      <xdr:row>129</xdr:row>
      <xdr:rowOff>156210</xdr:rowOff>
    </xdr:from>
    <xdr:to>
      <xdr:col>51</xdr:col>
      <xdr:colOff>449580</xdr:colOff>
      <xdr:row>144</xdr:row>
      <xdr:rowOff>156210</xdr:rowOff>
    </xdr:to>
    <xdr:graphicFrame macro="">
      <xdr:nvGraphicFramePr>
        <xdr:cNvPr id="8" name="Chart 7">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53</xdr:col>
      <xdr:colOff>647700</xdr:colOff>
      <xdr:row>96</xdr:row>
      <xdr:rowOff>156210</xdr:rowOff>
    </xdr:from>
    <xdr:to>
      <xdr:col>58</xdr:col>
      <xdr:colOff>655320</xdr:colOff>
      <xdr:row>111</xdr:row>
      <xdr:rowOff>156210</xdr:rowOff>
    </xdr:to>
    <xdr:graphicFrame macro="">
      <xdr:nvGraphicFramePr>
        <xdr:cNvPr id="9" name="Chart 8">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54</xdr:col>
      <xdr:colOff>76200</xdr:colOff>
      <xdr:row>137</xdr:row>
      <xdr:rowOff>87630</xdr:rowOff>
    </xdr:from>
    <xdr:to>
      <xdr:col>59</xdr:col>
      <xdr:colOff>129540</xdr:colOff>
      <xdr:row>152</xdr:row>
      <xdr:rowOff>87630</xdr:rowOff>
    </xdr:to>
    <xdr:graphicFrame macro="">
      <xdr:nvGraphicFramePr>
        <xdr:cNvPr id="10" name="Chart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219075</xdr:colOff>
      <xdr:row>112</xdr:row>
      <xdr:rowOff>47625</xdr:rowOff>
    </xdr:from>
    <xdr:to>
      <xdr:col>5</xdr:col>
      <xdr:colOff>76200</xdr:colOff>
      <xdr:row>127</xdr:row>
      <xdr:rowOff>76200</xdr:rowOff>
    </xdr:to>
    <xdr:graphicFrame macro="">
      <xdr:nvGraphicFramePr>
        <xdr:cNvPr id="11" name="Chart 10">
          <a:extLst>
            <a:ext uri="{FF2B5EF4-FFF2-40B4-BE49-F238E27FC236}">
              <a16:creationId xmlns:a16="http://schemas.microsoft.com/office/drawing/2014/main" id="{00000000-0008-0000-06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178525</xdr:colOff>
      <xdr:row>112</xdr:row>
      <xdr:rowOff>45720</xdr:rowOff>
    </xdr:from>
    <xdr:to>
      <xdr:col>10</xdr:col>
      <xdr:colOff>1083400</xdr:colOff>
      <xdr:row>127</xdr:row>
      <xdr:rowOff>74295</xdr:rowOff>
    </xdr:to>
    <xdr:graphicFrame macro="">
      <xdr:nvGraphicFramePr>
        <xdr:cNvPr id="12" name="Chart 11">
          <a:extLst>
            <a:ext uri="{FF2B5EF4-FFF2-40B4-BE49-F238E27FC236}">
              <a16:creationId xmlns:a16="http://schemas.microsoft.com/office/drawing/2014/main" id="{00000000-0008-0000-06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39</xdr:col>
      <xdr:colOff>68580</xdr:colOff>
      <xdr:row>77</xdr:row>
      <xdr:rowOff>76200</xdr:rowOff>
    </xdr:from>
    <xdr:to>
      <xdr:col>45</xdr:col>
      <xdr:colOff>188595</xdr:colOff>
      <xdr:row>92</xdr:row>
      <xdr:rowOff>104775</xdr:rowOff>
    </xdr:to>
    <xdr:graphicFrame macro="">
      <xdr:nvGraphicFramePr>
        <xdr:cNvPr id="13" name="Chart 12">
          <a:extLst>
            <a:ext uri="{FF2B5EF4-FFF2-40B4-BE49-F238E27FC236}">
              <a16:creationId xmlns:a16="http://schemas.microsoft.com/office/drawing/2014/main" id="{00000000-0008-0000-06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37</xdr:col>
      <xdr:colOff>1280160</xdr:colOff>
      <xdr:row>129</xdr:row>
      <xdr:rowOff>160020</xdr:rowOff>
    </xdr:from>
    <xdr:to>
      <xdr:col>45</xdr:col>
      <xdr:colOff>30480</xdr:colOff>
      <xdr:row>144</xdr:row>
      <xdr:rowOff>160020</xdr:rowOff>
    </xdr:to>
    <xdr:graphicFrame macro="">
      <xdr:nvGraphicFramePr>
        <xdr:cNvPr id="14" name="Chart 13">
          <a:extLst>
            <a:ext uri="{FF2B5EF4-FFF2-40B4-BE49-F238E27FC236}">
              <a16:creationId xmlns:a16="http://schemas.microsoft.com/office/drawing/2014/main" id="{00000000-0008-0000-06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38</xdr:col>
      <xdr:colOff>581025</xdr:colOff>
      <xdr:row>102</xdr:row>
      <xdr:rowOff>161925</xdr:rowOff>
    </xdr:from>
    <xdr:to>
      <xdr:col>44</xdr:col>
      <xdr:colOff>641985</xdr:colOff>
      <xdr:row>118</xdr:row>
      <xdr:rowOff>11430</xdr:rowOff>
    </xdr:to>
    <xdr:graphicFrame macro="">
      <xdr:nvGraphicFramePr>
        <xdr:cNvPr id="15" name="Chart 14">
          <a:extLst>
            <a:ext uri="{FF2B5EF4-FFF2-40B4-BE49-F238E27FC236}">
              <a16:creationId xmlns:a16="http://schemas.microsoft.com/office/drawing/2014/main" id="{00000000-0008-0000-06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59</xdr:col>
      <xdr:colOff>38100</xdr:colOff>
      <xdr:row>81</xdr:row>
      <xdr:rowOff>30480</xdr:rowOff>
    </xdr:from>
    <xdr:to>
      <xdr:col>64</xdr:col>
      <xdr:colOff>1577340</xdr:colOff>
      <xdr:row>96</xdr:row>
      <xdr:rowOff>59055</xdr:rowOff>
    </xdr:to>
    <xdr:graphicFrame macro="">
      <xdr:nvGraphicFramePr>
        <xdr:cNvPr id="16" name="Chart 15">
          <a:extLst>
            <a:ext uri="{FF2B5EF4-FFF2-40B4-BE49-F238E27FC236}">
              <a16:creationId xmlns:a16="http://schemas.microsoft.com/office/drawing/2014/main" id="{00000000-0008-0000-06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59</xdr:col>
      <xdr:colOff>114300</xdr:colOff>
      <xdr:row>96</xdr:row>
      <xdr:rowOff>167640</xdr:rowOff>
    </xdr:from>
    <xdr:to>
      <xdr:col>64</xdr:col>
      <xdr:colOff>1737360</xdr:colOff>
      <xdr:row>111</xdr:row>
      <xdr:rowOff>167640</xdr:rowOff>
    </xdr:to>
    <xdr:graphicFrame macro="">
      <xdr:nvGraphicFramePr>
        <xdr:cNvPr id="17" name="Chart 16">
          <a:extLst>
            <a:ext uri="{FF2B5EF4-FFF2-40B4-BE49-F238E27FC236}">
              <a16:creationId xmlns:a16="http://schemas.microsoft.com/office/drawing/2014/main" id="{00000000-0008-0000-06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59</xdr:col>
      <xdr:colOff>342900</xdr:colOff>
      <xdr:row>121</xdr:row>
      <xdr:rowOff>175260</xdr:rowOff>
    </xdr:from>
    <xdr:to>
      <xdr:col>64</xdr:col>
      <xdr:colOff>1956435</xdr:colOff>
      <xdr:row>137</xdr:row>
      <xdr:rowOff>20955</xdr:rowOff>
    </xdr:to>
    <xdr:graphicFrame macro="">
      <xdr:nvGraphicFramePr>
        <xdr:cNvPr id="18" name="Chart 17">
          <a:extLst>
            <a:ext uri="{FF2B5EF4-FFF2-40B4-BE49-F238E27FC236}">
              <a16:creationId xmlns:a16="http://schemas.microsoft.com/office/drawing/2014/main" id="{00000000-0008-0000-06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59</xdr:col>
      <xdr:colOff>365760</xdr:colOff>
      <xdr:row>137</xdr:row>
      <xdr:rowOff>137160</xdr:rowOff>
    </xdr:from>
    <xdr:to>
      <xdr:col>64</xdr:col>
      <xdr:colOff>1996440</xdr:colOff>
      <xdr:row>152</xdr:row>
      <xdr:rowOff>137160</xdr:rowOff>
    </xdr:to>
    <xdr:graphicFrame macro="">
      <xdr:nvGraphicFramePr>
        <xdr:cNvPr id="19" name="Chart 18">
          <a:extLst>
            <a:ext uri="{FF2B5EF4-FFF2-40B4-BE49-F238E27FC236}">
              <a16:creationId xmlns:a16="http://schemas.microsoft.com/office/drawing/2014/main" id="{00000000-0008-0000-06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17</xdr:col>
      <xdr:colOff>598713</xdr:colOff>
      <xdr:row>78</xdr:row>
      <xdr:rowOff>16330</xdr:rowOff>
    </xdr:from>
    <xdr:to>
      <xdr:col>23</xdr:col>
      <xdr:colOff>674914</xdr:colOff>
      <xdr:row>92</xdr:row>
      <xdr:rowOff>168730</xdr:rowOff>
    </xdr:to>
    <xdr:graphicFrame macro="">
      <xdr:nvGraphicFramePr>
        <xdr:cNvPr id="20" name="Chart 19">
          <a:extLst>
            <a:ext uri="{FF2B5EF4-FFF2-40B4-BE49-F238E27FC236}">
              <a16:creationId xmlns:a16="http://schemas.microsoft.com/office/drawing/2014/main" id="{00000000-0008-0000-06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1665515</xdr:colOff>
      <xdr:row>78</xdr:row>
      <xdr:rowOff>21772</xdr:rowOff>
    </xdr:from>
    <xdr:to>
      <xdr:col>17</xdr:col>
      <xdr:colOff>402773</xdr:colOff>
      <xdr:row>92</xdr:row>
      <xdr:rowOff>174172</xdr:rowOff>
    </xdr:to>
    <xdr:graphicFrame macro="">
      <xdr:nvGraphicFramePr>
        <xdr:cNvPr id="21" name="Chart 20">
          <a:extLst>
            <a:ext uri="{FF2B5EF4-FFF2-40B4-BE49-F238E27FC236}">
              <a16:creationId xmlns:a16="http://schemas.microsoft.com/office/drawing/2014/main" id="{00000000-0008-0000-06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18</xdr:col>
      <xdr:colOff>54427</xdr:colOff>
      <xdr:row>98</xdr:row>
      <xdr:rowOff>103415</xdr:rowOff>
    </xdr:from>
    <xdr:to>
      <xdr:col>22</xdr:col>
      <xdr:colOff>457199</xdr:colOff>
      <xdr:row>113</xdr:row>
      <xdr:rowOff>70758</xdr:rowOff>
    </xdr:to>
    <xdr:graphicFrame macro="">
      <xdr:nvGraphicFramePr>
        <xdr:cNvPr id="22" name="Chart 21">
          <a:extLst>
            <a:ext uri="{FF2B5EF4-FFF2-40B4-BE49-F238E27FC236}">
              <a16:creationId xmlns:a16="http://schemas.microsoft.com/office/drawing/2014/main" id="{00000000-0008-0000-06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315686</xdr:colOff>
      <xdr:row>98</xdr:row>
      <xdr:rowOff>76201</xdr:rowOff>
    </xdr:from>
    <xdr:to>
      <xdr:col>17</xdr:col>
      <xdr:colOff>740229</xdr:colOff>
      <xdr:row>113</xdr:row>
      <xdr:rowOff>43544</xdr:rowOff>
    </xdr:to>
    <xdr:graphicFrame macro="">
      <xdr:nvGraphicFramePr>
        <xdr:cNvPr id="23" name="Chart 22">
          <a:extLst>
            <a:ext uri="{FF2B5EF4-FFF2-40B4-BE49-F238E27FC236}">
              <a16:creationId xmlns:a16="http://schemas.microsoft.com/office/drawing/2014/main" id="{00000000-0008-0000-06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25</xdr:col>
      <xdr:colOff>348341</xdr:colOff>
      <xdr:row>77</xdr:row>
      <xdr:rowOff>157843</xdr:rowOff>
    </xdr:from>
    <xdr:to>
      <xdr:col>31</xdr:col>
      <xdr:colOff>707572</xdr:colOff>
      <xdr:row>92</xdr:row>
      <xdr:rowOff>125186</xdr:rowOff>
    </xdr:to>
    <xdr:graphicFrame macro="">
      <xdr:nvGraphicFramePr>
        <xdr:cNvPr id="24" name="Chart 23">
          <a:extLst>
            <a:ext uri="{FF2B5EF4-FFF2-40B4-BE49-F238E27FC236}">
              <a16:creationId xmlns:a16="http://schemas.microsoft.com/office/drawing/2014/main" id="{00000000-0008-0000-06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32</xdr:col>
      <xdr:colOff>65315</xdr:colOff>
      <xdr:row>77</xdr:row>
      <xdr:rowOff>54429</xdr:rowOff>
    </xdr:from>
    <xdr:to>
      <xdr:col>38</xdr:col>
      <xdr:colOff>391889</xdr:colOff>
      <xdr:row>92</xdr:row>
      <xdr:rowOff>21772</xdr:rowOff>
    </xdr:to>
    <xdr:graphicFrame macro="">
      <xdr:nvGraphicFramePr>
        <xdr:cNvPr id="25" name="Chart 24">
          <a:extLst>
            <a:ext uri="{FF2B5EF4-FFF2-40B4-BE49-F238E27FC236}">
              <a16:creationId xmlns:a16="http://schemas.microsoft.com/office/drawing/2014/main" id="{00000000-0008-0000-06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25</xdr:col>
      <xdr:colOff>261257</xdr:colOff>
      <xdr:row>97</xdr:row>
      <xdr:rowOff>136072</xdr:rowOff>
    </xdr:from>
    <xdr:to>
      <xdr:col>30</xdr:col>
      <xdr:colOff>272143</xdr:colOff>
      <xdr:row>112</xdr:row>
      <xdr:rowOff>103415</xdr:rowOff>
    </xdr:to>
    <xdr:graphicFrame macro="">
      <xdr:nvGraphicFramePr>
        <xdr:cNvPr id="26" name="Chart 25">
          <a:extLst>
            <a:ext uri="{FF2B5EF4-FFF2-40B4-BE49-F238E27FC236}">
              <a16:creationId xmlns:a16="http://schemas.microsoft.com/office/drawing/2014/main" id="{00000000-0008-0000-06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31</xdr:col>
      <xdr:colOff>185058</xdr:colOff>
      <xdr:row>97</xdr:row>
      <xdr:rowOff>185056</xdr:rowOff>
    </xdr:from>
    <xdr:to>
      <xdr:col>37</xdr:col>
      <xdr:colOff>522515</xdr:colOff>
      <xdr:row>112</xdr:row>
      <xdr:rowOff>152399</xdr:rowOff>
    </xdr:to>
    <xdr:graphicFrame macro="">
      <xdr:nvGraphicFramePr>
        <xdr:cNvPr id="27" name="Chart 26">
          <a:extLst>
            <a:ext uri="{FF2B5EF4-FFF2-40B4-BE49-F238E27FC236}">
              <a16:creationId xmlns:a16="http://schemas.microsoft.com/office/drawing/2014/main" id="{00000000-0008-0000-06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24</xdr:col>
      <xdr:colOff>729342</xdr:colOff>
      <xdr:row>121</xdr:row>
      <xdr:rowOff>5442</xdr:rowOff>
    </xdr:from>
    <xdr:to>
      <xdr:col>31</xdr:col>
      <xdr:colOff>10885</xdr:colOff>
      <xdr:row>139</xdr:row>
      <xdr:rowOff>21771</xdr:rowOff>
    </xdr:to>
    <xdr:graphicFrame macro="">
      <xdr:nvGraphicFramePr>
        <xdr:cNvPr id="28" name="Chart 27">
          <a:extLst>
            <a:ext uri="{FF2B5EF4-FFF2-40B4-BE49-F238E27FC236}">
              <a16:creationId xmlns:a16="http://schemas.microsoft.com/office/drawing/2014/main" id="{00000000-0008-0000-06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31</xdr:col>
      <xdr:colOff>119743</xdr:colOff>
      <xdr:row>121</xdr:row>
      <xdr:rowOff>65314</xdr:rowOff>
    </xdr:from>
    <xdr:to>
      <xdr:col>37</xdr:col>
      <xdr:colOff>1335677</xdr:colOff>
      <xdr:row>139</xdr:row>
      <xdr:rowOff>81643</xdr:rowOff>
    </xdr:to>
    <xdr:graphicFrame macro="">
      <xdr:nvGraphicFramePr>
        <xdr:cNvPr id="29" name="Chart 28">
          <a:extLst>
            <a:ext uri="{FF2B5EF4-FFF2-40B4-BE49-F238E27FC236}">
              <a16:creationId xmlns:a16="http://schemas.microsoft.com/office/drawing/2014/main" id="{00000000-0008-0000-06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17</xdr:col>
      <xdr:colOff>794657</xdr:colOff>
      <xdr:row>121</xdr:row>
      <xdr:rowOff>146957</xdr:rowOff>
    </xdr:from>
    <xdr:to>
      <xdr:col>22</xdr:col>
      <xdr:colOff>381000</xdr:colOff>
      <xdr:row>136</xdr:row>
      <xdr:rowOff>114300</xdr:rowOff>
    </xdr:to>
    <xdr:graphicFrame macro="">
      <xdr:nvGraphicFramePr>
        <xdr:cNvPr id="30" name="Chart 29">
          <a:extLst>
            <a:ext uri="{FF2B5EF4-FFF2-40B4-BE49-F238E27FC236}">
              <a16:creationId xmlns:a16="http://schemas.microsoft.com/office/drawing/2014/main" id="{00000000-0008-0000-06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108858</xdr:colOff>
      <xdr:row>121</xdr:row>
      <xdr:rowOff>87086</xdr:rowOff>
    </xdr:from>
    <xdr:to>
      <xdr:col>17</xdr:col>
      <xdr:colOff>533401</xdr:colOff>
      <xdr:row>136</xdr:row>
      <xdr:rowOff>54429</xdr:rowOff>
    </xdr:to>
    <xdr:graphicFrame macro="">
      <xdr:nvGraphicFramePr>
        <xdr:cNvPr id="31" name="Chart 30">
          <a:extLst>
            <a:ext uri="{FF2B5EF4-FFF2-40B4-BE49-F238E27FC236}">
              <a16:creationId xmlns:a16="http://schemas.microsoft.com/office/drawing/2014/main" id="{00000000-0008-0000-06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11</xdr:col>
      <xdr:colOff>22860</xdr:colOff>
      <xdr:row>10</xdr:row>
      <xdr:rowOff>76200</xdr:rowOff>
    </xdr:from>
    <xdr:ext cx="4762500" cy="2520000"/>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persons/person.xml><?xml version="1.0" encoding="utf-8"?>
<personList xmlns="http://schemas.microsoft.com/office/spreadsheetml/2018/threadedcomments" xmlns:x="http://schemas.openxmlformats.org/spreadsheetml/2006/main">
  <person displayName="Steven Chen" id="{B6392E51-32DA-4DAC-9A6D-7C48C413078D}" userId="1b8ed5d02afb9092" providerId="Windows Live"/>
  <person displayName="Steven Chen" id="{90531FD9-50C3-4336-9830-2FAB368C2B2F}" userId="51f0374c71328795" providerId="Windows Live"/>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array.xml><?xml version="1.0" encoding="utf-8"?>
<arrayData xmlns="http://schemas.microsoft.com/office/spreadsheetml/2017/richdata2" count="134">
  <a r="4">
    <v t="r">20</v>
    <v t="r">21</v>
    <v t="r">22</v>
    <v t="r">23</v>
  </a>
  <a r="1">
    <v t="s">Nepali language</v>
  </a>
  <a r="1">
    <v t="s">Nepal Standard Time</v>
  </a>
  <a r="3">
    <v t="r">67</v>
    <v t="r">68</v>
    <v t="r">69</v>
  </a>
  <a r="2">
    <v t="s">Pakistani English</v>
    <v t="s">Urdu</v>
  </a>
  <a r="7">
    <v t="r">88</v>
    <v t="r">89</v>
    <v t="r">90</v>
    <v t="r">91</v>
    <v t="r">92</v>
    <v t="r">93</v>
    <v t="r">94</v>
  </a>
  <a r="1">
    <v t="s">UTC+05:00</v>
  </a>
  <a r="4">
    <v t="r">122</v>
    <v t="r">123</v>
    <v t="r">124</v>
    <v t="r">125</v>
  </a>
  <a r="1">
    <v t="s">English language</v>
  </a>
  <a r="37">
    <v t="r">144</v>
    <v t="r">145</v>
    <v t="r">146</v>
    <v t="r">147</v>
    <v t="r">148</v>
    <v t="r">149</v>
    <v t="r">150</v>
    <v t="r">151</v>
    <v t="r">152</v>
    <v t="r">153</v>
    <v t="r">154</v>
    <v t="r">155</v>
    <v t="r">156</v>
    <v t="r">157</v>
    <v t="r">158</v>
    <v t="r">159</v>
    <v t="r">160</v>
    <v t="r">161</v>
    <v t="r">162</v>
    <v t="r">163</v>
    <v t="r">164</v>
    <v t="r">165</v>
    <v t="r">166</v>
    <v t="r">167</v>
    <v t="r">168</v>
    <v t="r">169</v>
    <v t="r">170</v>
    <v t="r">171</v>
    <v t="r">172</v>
    <v t="r">173</v>
    <v t="r">174</v>
    <v t="r">175</v>
    <v t="r">176</v>
    <v t="r">177</v>
    <v t="r">178</v>
    <v t="r">179</v>
    <v t="r">180</v>
  </a>
  <a r="1">
    <v t="s">West Africa Time</v>
  </a>
  <a r="3">
    <v t="r">206</v>
    <v t="r">207</v>
    <v t="r">208</v>
  </a>
  <a r="2">
    <v t="s">Sinhala language</v>
    <v t="s">Tamil language</v>
  </a>
  <a r="9">
    <v t="r">227</v>
    <v t="r">228</v>
    <v t="r">229</v>
    <v t="r">230</v>
    <v t="r">231</v>
    <v t="r">232</v>
    <v t="r">233</v>
    <v t="r">234</v>
    <v t="r">235</v>
  </a>
  <a r="1">
    <v t="s">UTC+05:30</v>
  </a>
  <a r="3">
    <v t="r">262</v>
    <v t="r">263</v>
    <v t="r">264</v>
  </a>
  <a r="1">
    <v t="s">Indonesian language</v>
  </a>
  <a r="34">
    <v t="r">283</v>
    <v t="r">284</v>
    <v t="r">285</v>
    <v t="r">286</v>
    <v t="r">287</v>
    <v t="r">288</v>
    <v t="r">289</v>
    <v t="r">290</v>
    <v t="r">291</v>
    <v t="r">292</v>
    <v t="r">293</v>
    <v t="r">294</v>
    <v t="r">295</v>
    <v t="r">296</v>
    <v t="r">297</v>
    <v t="r">298</v>
    <v t="r">299</v>
    <v t="r">300</v>
    <v t="r">301</v>
    <v t="r">302</v>
    <v t="r">303</v>
    <v t="r">304</v>
    <v t="r">305</v>
    <v t="r">306</v>
    <v t="r">307</v>
    <v t="r">308</v>
    <v t="r">309</v>
    <v t="r">310</v>
    <v t="r">311</v>
    <v t="r">312</v>
    <v t="r">313</v>
    <v t="r">249</v>
    <v t="r">314</v>
    <v t="r">315</v>
  </a>
  <a r="3">
    <v t="s">Indonesia Western Standard Time</v>
    <v t="s">Indonesia Central Standard Time</v>
    <v t="s">Indonesia Eastern Standard Time</v>
  </a>
  <a r="2">
    <v t="r">342</v>
    <v t="r">343</v>
  </a>
  <a r="1">
    <v t="s">Spanish language</v>
  </a>
  <a r="24">
    <v t="r">362</v>
    <v t="r">363</v>
    <v t="r">364</v>
    <v t="r">365</v>
    <v t="r">366</v>
    <v t="r">367</v>
    <v t="r">368</v>
    <v t="r">369</v>
    <v t="r">370</v>
    <v t="r">371</v>
    <v t="r">372</v>
    <v t="r">373</v>
    <v t="r">374</v>
    <v t="r">375</v>
    <v t="r">376</v>
    <v t="r">377</v>
    <v t="r">378</v>
    <v t="r">379</v>
    <v t="r">380</v>
    <v t="r">381</v>
    <v t="r">382</v>
    <v t="r">383</v>
    <v t="r">384</v>
    <v t="r">385</v>
  </a>
  <a r="1">
    <v t="s">Time in Peru</v>
  </a>
  <a r="2">
    <v t="r">411</v>
    <v t="r">412</v>
  </a>
  <a r="1">
    <v t="s">Arabic</v>
  </a>
  <a r="6">
    <v t="r">431</v>
    <v t="r">432</v>
    <v t="r">433</v>
    <v t="r">434</v>
    <v t="r">435</v>
    <v t="r">436</v>
  </a>
  <a r="4">
    <v t="s">UTC+03:00</v>
    <v t="s">Eastern European Summer Time</v>
    <v t="s">UTC+02:00</v>
    <v t="s">Eastern European Time</v>
  </a>
  <a r="2">
    <v t="r">463</v>
    <v t="r">464</v>
  </a>
  <a r="1">
    <v t="s">Bengali language</v>
  </a>
  <a r="8">
    <v t="r">483</v>
    <v t="r">484</v>
    <v t="r">485</v>
    <v t="r">486</v>
    <v t="r">487</v>
    <v t="r">488</v>
    <v t="r">489</v>
    <v t="r">490</v>
  </a>
  <a r="1">
    <v t="s">Bangladesh Standard Time</v>
  </a>
  <a r="4">
    <v t="r">517</v>
    <v t="r">518</v>
    <v t="r">519</v>
    <v t="r">520</v>
  </a>
  <a r="1">
    <v t="s">Burmese language</v>
  </a>
  <a r="15">
    <v t="r">536</v>
    <v t="r">537</v>
    <v t="r">538</v>
    <v t="r">539</v>
    <v t="r">540</v>
    <v t="r">541</v>
    <v t="r">542</v>
    <v t="r">543</v>
    <v t="r">544</v>
    <v t="r">545</v>
    <v t="r">546</v>
    <v t="r">547</v>
    <v t="r">548</v>
    <v t="r">549</v>
    <v t="r">550</v>
  </a>
  <a r="1">
    <v t="s">UTC+06:30</v>
  </a>
  <a r="4">
    <v t="r">575</v>
    <v t="r">576</v>
    <v t="r">577</v>
    <v t="r">578</v>
  </a>
  <a r="1">
    <v t="s">Liberian English</v>
  </a>
  <a r="15">
    <v t="r">594</v>
    <v t="r">595</v>
    <v t="r">596</v>
    <v t="r">597</v>
    <v t="r">598</v>
    <v t="r">599</v>
    <v t="r">600</v>
    <v t="r">601</v>
    <v t="r">602</v>
    <v t="r">603</v>
    <v t="r">604</v>
    <v t="r">605</v>
    <v t="r">606</v>
    <v t="r">607</v>
    <v t="r">608</v>
  </a>
  <a r="1">
    <v t="s">Africa/Monrovia</v>
  </a>
  <a r="2">
    <v t="r">622</v>
    <v t="r">623</v>
  </a>
  <a r="2">
    <v t="s">Albanian language</v>
    <v t="s">Serbian language</v>
  </a>
  <a r="7">
    <v t="r">629</v>
    <v t="r">630</v>
    <v t="r">631</v>
    <v t="r">632</v>
    <v t="r">633</v>
    <v t="r">634</v>
    <v t="r">635</v>
  </a>
  <a r="1">
    <v t="s">Europe/Belgrade</v>
  </a>
  <a r="2">
    <v t="r">657</v>
    <v t="r">658</v>
  </a>
  <a r="1">
    <v t="s">Guatemalan Spanish</v>
  </a>
  <a r="22">
    <v t="r">675</v>
    <v t="r">676</v>
    <v t="r">677</v>
    <v t="r">678</v>
    <v t="r">679</v>
    <v t="r">680</v>
    <v t="r">681</v>
    <v t="r">682</v>
    <v t="r">683</v>
    <v t="r">684</v>
    <v t="r">685</v>
    <v t="r">686</v>
    <v t="r">687</v>
    <v t="r">688</v>
    <v t="r">689</v>
    <v t="r">690</v>
    <v t="r">691</v>
    <v t="r">692</v>
    <v t="r">693</v>
    <v t="r">694</v>
    <v t="r">695</v>
    <v t="r">696</v>
  </a>
  <a r="1">
    <v t="s">UTC−06:00</v>
  </a>
  <a r="2">
    <v t="r">709</v>
    <v t="r">710</v>
  </a>
  <a r="7">
    <v t="s">Albanian language</v>
    <v t="s">Bosnian language</v>
    <v t="s">Romani language</v>
    <v t="s">Serbian language</v>
    <v t="s">Turkish language</v>
    <v t="s">Aromanian language</v>
    <v t="s">Macedonian language</v>
  </a>
  <a r="76">
    <v t="r">716</v>
    <v t="r">717</v>
    <v t="r">718</v>
    <v t="r">719</v>
    <v t="r">720</v>
    <v t="r">721</v>
    <v t="r">722</v>
    <v t="r">723</v>
    <v t="r">724</v>
    <v t="r">725</v>
    <v t="r">726</v>
    <v t="r">727</v>
    <v t="r">728</v>
    <v t="r">729</v>
    <v t="r">730</v>
    <v t="r">731</v>
    <v t="r">732</v>
    <v t="r">733</v>
    <v t="r">734</v>
    <v t="r">735</v>
    <v t="r">736</v>
    <v t="r">737</v>
    <v t="r">738</v>
    <v t="r">739</v>
    <v t="r">740</v>
    <v t="r">741</v>
    <v t="r">742</v>
    <v t="r">743</v>
    <v t="r">744</v>
    <v t="r">745</v>
    <v t="r">746</v>
    <v t="r">747</v>
    <v t="r">748</v>
    <v t="r">749</v>
    <v t="r">750</v>
    <v t="r">751</v>
    <v t="r">752</v>
    <v t="r">753</v>
    <v t="r">754</v>
    <v t="r">755</v>
    <v t="r">756</v>
    <v t="r">757</v>
    <v t="r">758</v>
    <v t="r">759</v>
    <v t="r">760</v>
    <v t="r">761</v>
    <v t="r">762</v>
    <v t="r">763</v>
    <v t="r">764</v>
    <v t="r">765</v>
    <v t="r">766</v>
    <v t="r">767</v>
    <v t="r">768</v>
    <v t="r">769</v>
    <v t="r">770</v>
    <v t="r">771</v>
    <v t="r">772</v>
    <v t="r">773</v>
    <v t="r">774</v>
    <v t="r">775</v>
    <v t="r">776</v>
    <v t="r">777</v>
    <v t="r">778</v>
    <v t="r">779</v>
    <v t="r">780</v>
    <v t="r">781</v>
    <v t="r">782</v>
    <v t="r">783</v>
    <v t="r">784</v>
    <v t="r">785</v>
    <v t="r">786</v>
    <v t="r">787</v>
    <v t="r">788</v>
    <v t="r">789</v>
    <v t="r">790</v>
    <v t="r">791</v>
  </a>
  <a r="1">
    <v t="s">Central European Time</v>
  </a>
  <a r="2">
    <v t="r">814</v>
    <v t="r">815</v>
  </a>
  <a r="1">
    <v t="s">Georgian language</v>
  </a>
  <a r="11">
    <v t="r">832</v>
    <v t="r">833</v>
    <v t="r">834</v>
    <v t="r">835</v>
    <v t="r">836</v>
    <v t="r">837</v>
    <v t="r">838</v>
    <v t="r">839</v>
    <v t="r">840</v>
    <v t="r">841</v>
    <v t="r">801</v>
  </a>
  <a r="1">
    <v t="s">Georgia Time</v>
  </a>
  <a r="2">
    <v t="r">867</v>
    <v t="r">868</v>
  </a>
  <a r="1">
    <v t="s">Mozambican Portuguese</v>
  </a>
  <a r="11">
    <v t="r">886</v>
    <v t="r">887</v>
    <v t="r">888</v>
    <v t="r">889</v>
    <v t="r">854</v>
    <v t="r">890</v>
    <v t="r">891</v>
    <v t="r">892</v>
    <v t="r">893</v>
    <v t="r">894</v>
    <v t="r">895</v>
  </a>
  <a r="1">
    <v t="s">Africa/Maputo</v>
  </a>
  <a r="3">
    <v t="r">920</v>
    <v t="r">921</v>
    <v t="r">922</v>
  </a>
  <a r="2">
    <v t="s">Ugandan English</v>
    <v t="s">Swahili language</v>
  </a>
  <a r="112">
    <v t="r">940</v>
    <v t="r">941</v>
    <v t="r">942</v>
    <v t="r">943</v>
    <v t="r">944</v>
    <v t="r">945</v>
    <v t="r">946</v>
    <v t="r">947</v>
    <v t="r">948</v>
    <v t="r">949</v>
    <v t="r">950</v>
    <v t="r">951</v>
    <v t="r">952</v>
    <v t="r">953</v>
    <v t="r">954</v>
    <v t="r">955</v>
    <v t="r">956</v>
    <v t="r">957</v>
    <v t="r">958</v>
    <v t="r">959</v>
    <v t="r">960</v>
    <v t="r">961</v>
    <v t="r">962</v>
    <v t="r">963</v>
    <v t="r">964</v>
    <v t="r">965</v>
    <v t="r">966</v>
    <v t="r">967</v>
    <v t="r">968</v>
    <v t="r">969</v>
    <v t="r">970</v>
    <v t="r">971</v>
    <v t="r">972</v>
    <v t="r">973</v>
    <v t="r">974</v>
    <v t="r">975</v>
    <v t="r">976</v>
    <v t="r">977</v>
    <v t="r">978</v>
    <v t="r">979</v>
    <v t="r">980</v>
    <v t="r">981</v>
    <v t="r">982</v>
    <v t="r">983</v>
    <v t="r">984</v>
    <v t="r">985</v>
    <v t="r">986</v>
    <v t="r">987</v>
    <v t="r">988</v>
    <v t="r">989</v>
    <v t="r">990</v>
    <v t="r">991</v>
    <v t="r">992</v>
    <v t="r">993</v>
    <v t="r">994</v>
    <v t="r">995</v>
    <v t="r">996</v>
    <v t="r">997</v>
    <v t="r">998</v>
    <v t="r">999</v>
    <v t="r">1000</v>
    <v t="r">1001</v>
    <v t="r">1002</v>
    <v t="r">1003</v>
    <v t="r">1004</v>
    <v t="r">1005</v>
    <v t="r">1006</v>
    <v t="r">1007</v>
    <v t="r">1008</v>
    <v t="r">1009</v>
    <v t="r">1010</v>
    <v t="r">1011</v>
    <v t="r">1012</v>
    <v t="r">1013</v>
    <v t="r">1014</v>
    <v t="r">1015</v>
    <v t="r">1016</v>
    <v t="r">1017</v>
    <v t="r">1018</v>
    <v t="r">1019</v>
    <v t="r">1020</v>
    <v t="r">1021</v>
    <v t="r">1022</v>
    <v t="r">1023</v>
    <v t="r">1024</v>
    <v t="r">1025</v>
    <v t="r">1026</v>
    <v t="r">1027</v>
    <v t="r">1028</v>
    <v t="r">1029</v>
    <v t="r">1030</v>
    <v t="r">1031</v>
    <v t="r">1032</v>
    <v t="r">1033</v>
    <v t="r">1034</v>
    <v t="r">1035</v>
    <v t="r">1036</v>
    <v t="r">1037</v>
    <v t="r">1038</v>
    <v t="r">1039</v>
    <v t="r">1040</v>
    <v t="r">1041</v>
    <v t="r">1042</v>
    <v t="r">1043</v>
    <v t="r">1044</v>
    <v t="r">1045</v>
    <v t="r">1046</v>
    <v t="r">1047</v>
    <v t="r">1048</v>
    <v t="r">1049</v>
    <v t="r">1050</v>
    <v t="r">1051</v>
  </a>
  <a r="1">
    <v t="s">Africa/Kampala</v>
  </a>
  <a r="2">
    <v t="r">1076</v>
    <v t="r">1077</v>
  </a>
  <a r="4">
    <v t="s">Belgian French</v>
    <v t="s">Kinyarwanda</v>
    <v t="s">English language</v>
    <v t="s">Swahili language</v>
  </a>
  <a r="4">
    <v t="r">1093</v>
    <v t="r">1094</v>
    <v t="r">1095</v>
    <v t="r">1096</v>
  </a>
  <a r="1">
    <v t="s">Africa/Kigali</v>
  </a>
  <a r="4">
    <v t="r">1120</v>
    <v t="r">1121</v>
    <v t="r">1122</v>
    <v t="r">1123</v>
  </a>
  <a r="2">
    <v t="r">1135</v>
    <v t="r">1136</v>
  </a>
  <a r="1">
    <v t="s">Africa/Juba</v>
  </a>
  <a r="2">
    <v t="r">1162</v>
    <v t="r">1163</v>
  </a>
  <a r="5">
    <v t="s">Aymara language</v>
    <v t="s">Languages of Bolivia</v>
    <v t="s">Guarani language</v>
    <v t="s">Quechuan languages</v>
    <v t="s">Bolivian Spanish</v>
  </a>
  <a r="9">
    <v t="r">1180</v>
    <v t="r">1181</v>
    <v t="r">1182</v>
    <v t="r">1183</v>
    <v t="r">1184</v>
    <v t="r">1185</v>
    <v t="r">1186</v>
    <v t="r">1187</v>
    <v t="r">1188</v>
  </a>
  <a r="1">
    <v t="s">UTC−04:00</v>
  </a>
  <a r="4">
    <v t="r">1215</v>
    <v t="r">1216</v>
    <v t="r">1217</v>
    <v t="r">1218</v>
  </a>
  <a r="10">
    <v t="r">1234</v>
    <v t="r">1235</v>
    <v t="r">1236</v>
    <v t="r">1237</v>
    <v t="r">1238</v>
    <v t="r">1239</v>
    <v t="r">1240</v>
    <v t="r">1241</v>
    <v t="r">1242</v>
    <v t="r">1243</v>
  </a>
  <a r="1">
    <v t="s">Africa/Lusaka</v>
  </a>
  <a r="3">
    <v t="r">1267</v>
    <v t="r">1268</v>
    <v t="r">1269</v>
  </a>
  <a r="2">
    <v t="s">Pashto</v>
    <v t="s">Dari</v>
  </a>
  <a r="34">
    <v t="r">1280</v>
    <v t="r">1281</v>
    <v t="r">1282</v>
    <v t="r">1283</v>
    <v t="r">1284</v>
    <v t="r">1285</v>
    <v t="r">1286</v>
    <v t="r">1287</v>
    <v t="r">1288</v>
    <v t="r">1289</v>
    <v t="r">1290</v>
    <v t="r">1291</v>
    <v t="r">1292</v>
    <v t="r">1293</v>
    <v t="r">1294</v>
    <v t="r">1295</v>
    <v t="r">1296</v>
    <v t="r">1297</v>
    <v t="r">1298</v>
    <v t="r">1299</v>
    <v t="r">1300</v>
    <v t="r">1301</v>
    <v t="r">1302</v>
    <v t="r">1303</v>
    <v t="r">1304</v>
    <v t="r">1305</v>
    <v t="r">1306</v>
    <v t="r">1307</v>
    <v t="r">1308</v>
    <v t="r">1309</v>
    <v t="r">1310</v>
    <v t="r">1311</v>
    <v t="r">1312</v>
    <v t="r">1313</v>
  </a>
  <a r="1">
    <v t="s">UTC+04:30</v>
  </a>
  <a r="3">
    <v t="r">1340</v>
    <v t="r">1341</v>
    <v t="r">1342</v>
  </a>
  <a r="1">
    <v t="s">Mongolian language</v>
  </a>
  <a r="21">
    <v t="r">1327</v>
    <v t="r">1357</v>
    <v t="r">1358</v>
    <v t="r">1359</v>
    <v t="r">1360</v>
    <v t="r">1361</v>
    <v t="r">1362</v>
    <v t="r">1363</v>
    <v t="r">1364</v>
    <v t="r">1365</v>
    <v t="r">1366</v>
    <v t="r">1367</v>
    <v t="r">1368</v>
    <v t="r">1369</v>
    <v t="r">1370</v>
    <v t="r">1371</v>
    <v t="r">1372</v>
    <v t="r">1373</v>
    <v t="r">1374</v>
    <v t="r">1375</v>
    <v t="r">1376</v>
  </a>
  <a r="1">
    <v t="s">UTC+08:00</v>
  </a>
  <a r="5">
    <v t="r">1403</v>
    <v t="r">1404</v>
    <v t="r">1405</v>
    <v t="r">1406</v>
    <v t="r">1407</v>
  </a>
  <a r="2">
    <v t="s">English language</v>
    <v t="s">Swahili language</v>
  </a>
  <a r="36">
    <v t="r">1422</v>
    <v t="r">1423</v>
    <v t="r">1424</v>
    <v t="r">1425</v>
    <v t="r">1426</v>
    <v t="r">1427</v>
    <v t="r">1428</v>
    <v t="r">1429</v>
    <v t="r">1430</v>
    <v t="r">1431</v>
    <v t="r">1432</v>
    <v t="r">1433</v>
    <v t="r">1434</v>
    <v t="r">1435</v>
    <v t="r">1436</v>
    <v t="r">1437</v>
    <v t="r">1438</v>
    <v t="r">1439</v>
    <v t="r">1440</v>
    <v t="r">1441</v>
    <v t="r">1442</v>
    <v t="r">1443</v>
    <v t="r">1444</v>
    <v t="r">1445</v>
    <v t="r">1446</v>
    <v t="r">1447</v>
    <v t="r">1448</v>
    <v t="r">1449</v>
    <v t="r">1402</v>
    <v t="r">1450</v>
    <v t="r">1451</v>
    <v t="r">1452</v>
    <v t="r">1453</v>
    <v t="r">1454</v>
    <v t="r">1455</v>
    <v t="r">1456</v>
  </a>
  <a r="1">
    <v t="s">East Africa Time</v>
  </a>
  <a r="2">
    <v t="r">1483</v>
    <v t="r">1484</v>
  </a>
  <a r="1">
    <v t="s">Khmer language</v>
  </a>
  <a r="22">
    <v t="r">1494</v>
    <v t="r">1495</v>
    <v t="r">1496</v>
    <v t="r">1497</v>
    <v t="r">1498</v>
    <v t="r">1499</v>
    <v t="r">1500</v>
    <v t="r">1501</v>
    <v t="r">1502</v>
    <v t="r">1503</v>
    <v t="r">1504</v>
    <v t="r">1505</v>
    <v t="r">1506</v>
    <v t="r">1507</v>
    <v t="r">1508</v>
    <v t="r">1509</v>
    <v t="r">1510</v>
    <v t="r">1511</v>
    <v t="r">1512</v>
    <v t="r">1513</v>
    <v t="r">1514</v>
    <v t="r">1470</v>
  </a>
  <a r="1">
    <v t="s">UTC+07:00</v>
  </a>
  <a r="3">
    <v t="r">1539</v>
    <v t="r">1540</v>
    <v t="r">1541</v>
  </a>
  <a r="4">
    <v t="r">1556</v>
    <v t="r">1557</v>
    <v t="r">1558</v>
    <v t="r">1559</v>
  </a>
  <a r="1">
    <v t="s">Africa/Freetown</v>
  </a>
  <a r="2">
    <v t="r">1586</v>
    <v t="r">1587</v>
  </a>
  <a r="1">
    <v t="r">1604</v>
  </a>
  <a r="1">
    <v t="s">Africa/Nairobi</v>
  </a>
  <a r="3">
    <v t="r">1629</v>
    <v t="r">1630</v>
    <v t="r">1631</v>
  </a>
  <a r="3">
    <v t="s">Bosnian language</v>
    <v t="s">Croatian language</v>
    <v t="s">Serbian language</v>
  </a>
  <a r="3">
    <v t="r">1646</v>
    <v t="r">1647</v>
    <v t="r">1648</v>
  </a>
  <a r="3">
    <v t="s">Central European Time</v>
    <v t="s">UTC+02:00</v>
    <v t="s">UTC+01:00</v>
  </a>
  <a r="2">
    <v t="r">1675</v>
    <v t="r">1676</v>
  </a>
  <a r="1">
    <v t="s">Serbian language</v>
  </a>
  <a r="24">
    <v t="r">1692</v>
    <v t="r">1693</v>
    <v t="r">1694</v>
    <v t="r">1695</v>
    <v t="r">1696</v>
    <v t="r">1697</v>
    <v t="r">1698</v>
    <v t="r">1699</v>
    <v t="r">1700</v>
    <v t="r">1701</v>
    <v t="r">1702</v>
    <v t="r">1703</v>
    <v t="r">1704</v>
    <v t="r">1705</v>
    <v t="r">1706</v>
    <v t="r">1707</v>
    <v t="r">1708</v>
    <v t="r">1709</v>
    <v t="r">1710</v>
    <v t="r">1711</v>
    <v t="r">1712</v>
    <v t="r">1713</v>
    <v t="r">1714</v>
    <v t="r">1715</v>
  </a>
  <a r="2">
    <v t="r">1737</v>
    <v t="r">1738</v>
  </a>
  <a r="2">
    <v t="s">Arabic</v>
    <v t="s">Somali language</v>
  </a>
  <a r="13">
    <v t="r">1747</v>
    <v t="r">1748</v>
    <v t="r">1749</v>
    <v t="r">1750</v>
    <v t="r">1751</v>
    <v t="r">1752</v>
    <v t="r">1753</v>
    <v t="r">1754</v>
    <v t="r">1755</v>
    <v t="r">1756</v>
    <v t="r">1757</v>
    <v t="r">1758</v>
    <v t="r">1759</v>
  </a>
  <a r="1">
    <v t="s">Africa/Mogadishu</v>
  </a>
  <a r="3">
    <v t="r">1785</v>
    <v t="r">1786</v>
    <v t="r">1787</v>
  </a>
  <a r="5">
    <v t="s">Amharic</v>
    <v t="s">Oromo language</v>
    <v t="s">Afar language</v>
    <v t="s">Tigrinya language</v>
    <v t="s">Somali language</v>
  </a>
  <a r="11">
    <v t="r">1772</v>
    <v t="r">1802</v>
    <v t="r">1803</v>
    <v t="r">1804</v>
    <v t="r">1805</v>
    <v t="r">1806</v>
    <v t="r">1807</v>
    <v t="r">1808</v>
    <v t="r">1809</v>
    <v t="r">1810</v>
    <v t="r">1811</v>
  </a>
  <a r="3">
    <v t="r">1836</v>
    <v t="r">1837</v>
    <v t="r">1838</v>
  </a>
  <a r="10">
    <v t="r">1851</v>
    <v t="r">1852</v>
    <v t="r">1853</v>
    <v t="r">1854</v>
    <v t="r">1855</v>
    <v t="r">1856</v>
    <v t="r">1857</v>
    <v t="r">1858</v>
    <v t="r">1859</v>
    <v t="r">1860</v>
  </a>
  <a r="1">
    <v t="s">Africa/Accra</v>
  </a>
  <a r="2">
    <v t="r">1886</v>
    <v t="r">1887</v>
  </a>
  <a r="2">
    <v t="s">Russian language</v>
    <v t="s">Tajik language</v>
  </a>
  <a r="4">
    <v t="r">1904</v>
    <v t="r">1905</v>
    <v t="r">1906</v>
    <v t="r">1907</v>
  </a>
  <a r="2">
    <v t="r">1933</v>
    <v t="r">1934</v>
  </a>
  <a r="2">
    <v t="s">Kyrgyz language</v>
    <v t="s">Russian language</v>
  </a>
  <a r="9">
    <v t="r">1920</v>
    <v t="r">1948</v>
    <v t="r">1949</v>
    <v t="r">1950</v>
    <v t="r">1951</v>
    <v t="r">1952</v>
    <v t="r">1953</v>
    <v t="r">1954</v>
    <v t="r">1955</v>
  </a>
  <a r="1">
    <v t="s">UTC+06:00</v>
  </a>
  <a r="2">
    <v t="r">1982</v>
    <v t="r">1983</v>
  </a>
  <a r="3">
    <v t="s">Pulaar language</v>
    <v t="s">Wolof language</v>
    <v t="s">French language</v>
  </a>
  <a r="14">
    <v t="r">1998</v>
    <v t="r">1999</v>
    <v t="r">2000</v>
    <v t="r">2001</v>
    <v t="r">2002</v>
    <v t="r">2003</v>
    <v t="r">2004</v>
    <v t="r">2005</v>
    <v t="r">2006</v>
    <v t="r">2007</v>
    <v t="r">2008</v>
    <v t="r">2009</v>
    <v t="r">2010</v>
    <v t="r">2011</v>
  </a>
  <a r="1">
    <v t="s">Africa/Dakar</v>
  </a>
  <a r="1">
    <v t="r">2038</v>
  </a>
  <a r="1">
    <v t="s">Honduran Spanish</v>
  </a>
  <a r="18">
    <v t="r">2053</v>
    <v t="r">2054</v>
    <v t="r">2055</v>
    <v t="r">2056</v>
    <v t="r">2057</v>
    <v t="r">2058</v>
    <v t="r">2059</v>
    <v t="r">2060</v>
    <v t="r">2061</v>
    <v t="r">2062</v>
    <v t="r">2063</v>
    <v t="r">2064</v>
    <v t="r">2065</v>
    <v t="r">2066</v>
    <v t="r">2067</v>
    <v t="r">2068</v>
    <v t="r">2069</v>
    <v t="r">2070</v>
  </a>
  <a r="2">
    <v t="r">2095</v>
    <v t="r">2096</v>
  </a>
  <a r="1">
    <v t="s">French language</v>
  </a>
  <a r="8">
    <v t="r">2112</v>
    <v t="r">2113</v>
    <v t="r">2114</v>
    <v t="r">2115</v>
    <v t="r">2082</v>
    <v t="r">2116</v>
    <v t="r">2117</v>
    <v t="r">2118</v>
  </a>
  <a r="2">
    <v t="s">Central Africa Time Zone</v>
    <v t="s">West Africa Time Zone</v>
  </a>
</arrayData>
</file>

<file path=xl/richData/rdrichvalue.xml><?xml version="1.0" encoding="utf-8"?>
<rvData xmlns="http://schemas.microsoft.com/office/spreadsheetml/2017/richdata" count="2128">
  <rv s="0">
    <v>536870912</v>
    <v>Nepal</v>
    <v>bd25e121-3806-b6fe-1af9-3f5745ae2708</v>
    <v>en-US</v>
    <v>Map</v>
  </rv>
  <rv s="1">
    <fb>0.287478200209278</fb>
    <v>23</v>
  </rv>
  <rv s="1">
    <fb>147181.254346</fb>
    <v>24</v>
  </rv>
  <rv s="1">
    <fb>112000</fb>
    <v>24</v>
  </rv>
  <rv s="1">
    <fb>19.887</fb>
    <v>25</v>
  </rv>
  <rv s="1">
    <fb>977</fb>
    <v>26</v>
  </rv>
  <rv s="0">
    <v>536870912</v>
    <v>Kathmandu</v>
    <v>8c342aa7-7eee-ebe4-9909-39edc49959d8</v>
    <v>en-US</v>
    <v>Map</v>
  </rv>
  <rv s="1">
    <fb>9105.1610000000001</fb>
    <v>24</v>
  </rv>
  <rv s="1">
    <fb>188.72997716222099</fb>
    <v>27</v>
  </rv>
  <rv s="1">
    <fb>5.5686854778492501E-2</fb>
    <v>23</v>
  </rv>
  <rv s="1">
    <fb>146.46786481666501</fb>
    <v>24</v>
  </rv>
  <rv s="1">
    <fb>1.917</fb>
    <v>25</v>
  </rv>
  <rv s="1">
    <fb>0.25364492500871999</fb>
    <v>23</v>
  </rv>
  <rv s="1">
    <fb>15.482679402670501</fb>
    <v>28</v>
  </rv>
  <rv s="1">
    <fb>0.91</fb>
    <v>29</v>
  </rv>
  <rv s="1">
    <fb>30641380604.298401</fb>
    <v>30</v>
  </rv>
  <rv s="1">
    <fb>1.4214347000000001</fb>
    <v>23</v>
  </rv>
  <rv s="1">
    <fb>0.1241086</fb>
    <v>23</v>
  </rv>
  <rv s="2">
    <v>12</v>
    <v>1</v>
  </rv>
  <rv s="1">
    <fb>26.7</fb>
    <v>28</v>
  </rv>
  <rv s="0">
    <v>805306368</v>
    <v>Ram Chandra Poudel (President)</v>
    <v>92bdb8bc-9ee8-f693-6801-e521c6564ef4</v>
    <v>en-US</v>
    <v>Generic</v>
  </rv>
  <rv s="0">
    <v>805306368</v>
    <v>Ram Sahaya Yadav (Vice president)</v>
    <v>145d7e4e-a306-9780-bef2-90d044619a98</v>
    <v>en-US</v>
    <v>Generic</v>
  </rv>
  <rv s="0">
    <v>805306368</v>
    <v>K. P. Sharma Oli (Prime minister)</v>
    <v>781fbb8b-b4b2-4e0d-89f3-777d45178799</v>
    <v>en-US</v>
    <v>Generic</v>
  </rv>
  <rv s="0">
    <v>805306368</v>
    <v>Bishowambhar Prasad Shrestha (Chief justice)</v>
    <v>d2cb73a7-424c-e197-dba9-56ffb9e79f8f</v>
    <v>en-US</v>
    <v>Generic</v>
  </rv>
  <rv s="3">
    <v>0</v>
  </rv>
  <rv s="4">
    <v>https://www.bing.com/search?q=nepal&amp;form=skydnc</v>
    <v>Learn more on Bing</v>
  </rv>
  <rv s="1">
    <fb>70.477999999999994</fb>
    <v>28</v>
  </rv>
  <rv s="1">
    <fb>186</fb>
    <v>28</v>
  </rv>
  <rv s="1">
    <fb>0.36</fb>
    <v>29</v>
  </rv>
  <rv s="3">
    <v>1</v>
  </rv>
  <rv s="1">
    <fb>0.6040867741</fb>
    <v>23</v>
  </rv>
  <rv s="1">
    <fb>0.74860000000000004</fb>
    <v>25</v>
  </rv>
  <rv s="1">
    <fb>30547580</fb>
    <v>24</v>
  </rv>
  <rv s="1">
    <fb>0.218</fb>
    <v>23</v>
  </rv>
  <rv s="1">
    <fb>0.26400000000000001</fb>
    <v>23</v>
  </rv>
  <rv s="1">
    <fb>0.41499999999999998</fb>
    <v>23</v>
  </rv>
  <rv s="1">
    <fb>3.5000000000000003E-2</fb>
    <v>23</v>
  </rv>
  <rv s="1">
    <fb>8.3000000000000004E-2</fb>
    <v>23</v>
  </rv>
  <rv s="1">
    <fb>0.121</fb>
    <v>23</v>
  </rv>
  <rv s="1">
    <fb>0.16200000000000001</fb>
    <v>23</v>
  </rv>
  <rv s="1">
    <fb>0.83805000305175792</fb>
    <v>23</v>
  </rv>
  <rv s="1">
    <fb>0.207023851874477</fb>
    <v>23</v>
  </rv>
  <rv s="3">
    <v>2</v>
  </rv>
  <rv s="1">
    <fb>0.41799999999999998</fb>
    <v>23</v>
  </rv>
  <rv s="1">
    <fb>1.4069999456405601E-2</fb>
    <v>31</v>
  </rv>
  <rv s="1">
    <fb>5765513</fb>
    <v>24</v>
  </rv>
  <rv s="5">
    <v>#VALUE!</v>
    <v>en-US</v>
    <v>bd25e121-3806-b6fe-1af9-3f5745ae2708</v>
    <v>536870912</v>
    <v>1</v>
    <v>16</v>
    <v>17</v>
    <v>Nepal</v>
    <v>19</v>
    <v>20</v>
    <v>Map</v>
    <v>21</v>
    <v>22</v>
    <v>NP</v>
    <v>1</v>
    <v>2</v>
    <v>3</v>
    <v>4</v>
    <v>5</v>
    <v>6</v>
    <v>7</v>
    <v>8</v>
    <v>9</v>
    <v>NPR</v>
    <v>Nepal, officially the Federal Democratic Republic of Nepal, is a landlocked country in South Asia. It is mainly situated in the Himalayas, but also includes parts of the Indo-Gangetic Plain. It borders the Tibet Autonomous Region of China to the ...</v>
    <v>10</v>
    <v>11</v>
    <v>12</v>
    <v>13</v>
    <v>14</v>
    <v>15</v>
    <v>16</v>
    <v>17</v>
    <v>18</v>
    <v>19</v>
    <v>6</v>
    <v>24</v>
    <v>25</v>
    <v>26</v>
    <v>27</v>
    <v>28</v>
    <v>Nepal</v>
    <v>Sayaun Thunga Phulka</v>
    <v>29</v>
    <v>नेपाल</v>
    <v>30</v>
    <v>31</v>
    <v>32</v>
    <v>33</v>
    <v>34</v>
    <v>35</v>
    <v>36</v>
    <v>37</v>
    <v>38</v>
    <v>39</v>
    <v>40</v>
    <v>41</v>
    <v>42</v>
    <v>43</v>
    <v>44</v>
    <v>Nepal</v>
    <v>45</v>
    <v>mdp/vdpid/178</v>
  </rv>
  <rv s="0">
    <v>536870912</v>
    <v>Pakistan</v>
    <v>69cd8ccc-adba-8eeb-a48e-3e7229e9666c</v>
    <v>en-US</v>
    <v>Map</v>
  </rv>
  <rv s="1">
    <fb>0.47794728102947304</fb>
    <v>23</v>
  </rv>
  <rv s="1">
    <fb>881913</fb>
    <v>24</v>
  </rv>
  <rv s="1">
    <fb>936000</fb>
    <v>24</v>
  </rv>
  <rv s="1">
    <fb>28.25</fb>
    <v>25</v>
  </rv>
  <rv s="1">
    <fb>92</fb>
    <v>26</v>
  </rv>
  <rv s="0">
    <v>536870912</v>
    <v>Islamabad</v>
    <v>7d6db4a7-d08a-aa85-d6ce-6cb15b346bdf</v>
    <v>en-US</v>
    <v>Map</v>
  </rv>
  <rv s="1">
    <fb>201149.61799999999</fb>
    <v>24</v>
  </rv>
  <rv s="1">
    <fb>182.32038637269201</fb>
    <v>27</v>
  </rv>
  <rv s="1">
    <fb>0.105780304680861</fb>
    <v>23</v>
  </rv>
  <rv s="1">
    <fb>447.50100258913102</fb>
    <v>24</v>
  </rv>
  <rv s="1">
    <fb>3.51</fb>
    <v>25</v>
  </rv>
  <rv s="1">
    <fb>1.8537256122872599E-2</fb>
    <v>23</v>
  </rv>
  <rv s="1">
    <fb>61.585361451111801</fb>
    <v>28</v>
  </rv>
  <rv s="1">
    <fb>0.79</fb>
    <v>29</v>
  </rv>
  <rv s="1">
    <fb>304400000000</fb>
    <v>30</v>
  </rv>
  <rv s="1">
    <fb>0.94328199999999995</fb>
    <v>23</v>
  </rv>
  <rv s="1">
    <fb>8.9584200000000003E-2</fb>
    <v>23</v>
  </rv>
  <rv s="1">
    <fb>57.2</fb>
    <v>28</v>
  </rv>
  <rv s="0">
    <v>536870912</v>
    <v>Karachi</v>
    <v>8868147b-7b38-6de8-cdbe-567b934b7f8f</v>
    <v>en-US</v>
    <v>Map</v>
  </rv>
  <rv s="0">
    <v>805306368</v>
    <v>Asif Ali Zardari (President)</v>
    <v>df329bc3-92e8-3cf5-5f08-1607a3fed39a</v>
    <v>en-US</v>
    <v>Generic</v>
  </rv>
  <rv s="0">
    <v>805306368</v>
    <v>Shehbaz Sharif (Prime minister)</v>
    <v>ff9ce646-2a0f-edb8-dc17-d145d13164e5</v>
    <v>en-US</v>
    <v>Generic</v>
  </rv>
  <rv s="0">
    <v>805306368</v>
    <v>Yahya Afridi (Chief justice)</v>
    <v>d5886313-5abd-18db-8e8a-44abf5b09ff5</v>
    <v>en-US</v>
    <v>Generic</v>
  </rv>
  <rv s="3">
    <v>3</v>
  </rv>
  <rv s="4">
    <v>https://www.bing.com/search?q=pakistan&amp;form=skydnc</v>
    <v>Learn more on Bing</v>
  </rv>
  <rv s="1">
    <fb>67.114000000000004</fb>
    <v>28</v>
  </rv>
  <rv s="1">
    <fb>91863740000</fb>
    <v>30</v>
  </rv>
  <rv s="1">
    <fb>140</fb>
    <v>28</v>
  </rv>
  <rv s="1">
    <fb>0.69</fb>
    <v>29</v>
  </rv>
  <rv s="3">
    <v>4</v>
  </rv>
  <rv s="1">
    <fb>0.66485154850000006</fb>
    <v>23</v>
  </rv>
  <rv s="1">
    <fb>0.98009999999999997</fb>
    <v>25</v>
  </rv>
  <rv s="1">
    <fb>235824862</fb>
    <v>24</v>
  </rv>
  <rv s="1">
    <fb>0.20499999999999999</fb>
    <v>23</v>
  </rv>
  <rv s="1">
    <fb>0.28899999999999998</fb>
    <v>23</v>
  </rv>
  <rv s="1">
    <fb>0.42799999999999999</fb>
    <v>23</v>
  </rv>
  <rv s="1">
    <fb>3.9E-2</fb>
    <v>23</v>
  </rv>
  <rv s="1">
    <fb>8.900000000000001E-2</fb>
    <v>23</v>
  </rv>
  <rv s="1">
    <fb>0.122</fb>
    <v>23</v>
  </rv>
  <rv s="1">
    <fb>0.156</fb>
    <v>23</v>
  </rv>
  <rv s="1">
    <fb>0.52573001861572299</fb>
    <v>23</v>
  </rv>
  <rv s="0">
    <v>536870912</v>
    <v>Balochistan, Pakistan</v>
    <v>733099a6-8f86-3bae-4e33-98665caeb458</v>
    <v>en-US</v>
    <v>Map</v>
  </rv>
  <rv s="0">
    <v>536870912</v>
    <v>Khyber Pakhtunkhwa</v>
    <v>2dd079f9-a4d7-b9c3-14aa-dabebc56c591</v>
    <v>en-US</v>
    <v>Map</v>
  </rv>
  <rv s="0">
    <v>536870912</v>
    <v>Punjab, Pakistan</v>
    <v>eaa769c5-d61b-fc82-0dfe-db1696c1a676</v>
    <v>en-US</v>
    <v>Map</v>
  </rv>
  <rv s="0">
    <v>536870912</v>
    <v>Sindh</v>
    <v>bf0a27ee-81c5-5e2b-6404-af7d886475be</v>
    <v>en-US</v>
    <v>Map</v>
  </rv>
  <rv s="0">
    <v>536870912</v>
    <v>Islamabad Capital Territory</v>
    <v>70c2750b-d15b-bbdc-9a7c-b361fbe14a63</v>
    <v>en-US</v>
    <v>Map</v>
  </rv>
  <rv s="0">
    <v>536870912</v>
    <v>Gilgit-Baltistan</v>
    <v>3eb3f6b8-31d3-1e23-5d0f-a767a6a8102a</v>
    <v>en-US</v>
    <v>Map</v>
  </rv>
  <rv s="0">
    <v>536870912</v>
    <v>Azad Kashmir</v>
    <v>5eb14a38-253f-8bea-4327-9023007fb366</v>
    <v>en-US</v>
    <v>Map</v>
  </rv>
  <rv s="3">
    <v>5</v>
  </rv>
  <rv s="1">
    <fb>9.1886767882585402E-2</fb>
    <v>23</v>
  </rv>
  <rv s="3">
    <v>6</v>
  </rv>
  <rv s="1">
    <fb>0.33899999999999997</fb>
    <v>23</v>
  </rv>
  <rv s="1">
    <fb>4.4530000686645498E-2</fb>
    <v>31</v>
  </rv>
  <rv s="1">
    <fb>79927762</fb>
    <v>24</v>
  </rv>
  <rv s="6">
    <v>#VALUE!</v>
    <v>en-US</v>
    <v>69cd8ccc-adba-8eeb-a48e-3e7229e9666c</v>
    <v>536870912</v>
    <v>1</v>
    <v>37</v>
    <v>38</v>
    <v>Pakistan</v>
    <v>19</v>
    <v>20</v>
    <v>Map</v>
    <v>21</v>
    <v>39</v>
    <v>PK</v>
    <v>48</v>
    <v>49</v>
    <v>50</v>
    <v>51</v>
    <v>52</v>
    <v>53</v>
    <v>54</v>
    <v>55</v>
    <v>56</v>
    <v>PKR</v>
    <v>Pakistan, officially the Islamic Republic of Pakistan, is a country in South Asia. It is the fifth-most populous country, with a population of over 241.5 million, having the second-largest Muslim population as of 2023. Islamabad is the nation's ...</v>
    <v>57</v>
    <v>58</v>
    <v>59</v>
    <v>60</v>
    <v>61</v>
    <v>62</v>
    <v>63</v>
    <v>64</v>
    <v>18</v>
    <v>65</v>
    <v>66</v>
    <v>70</v>
    <v>71</v>
    <v>72</v>
    <v>73</v>
    <v>74</v>
    <v>75</v>
    <v>Pakistan</v>
    <v>Qaumi Taranah</v>
    <v>76</v>
    <v>اسلامی جمہوریہ پاكستان</v>
    <v>77</v>
    <v>78</v>
    <v>79</v>
    <v>80</v>
    <v>81</v>
    <v>82</v>
    <v>83</v>
    <v>84</v>
    <v>85</v>
    <v>86</v>
    <v>87</v>
    <v>95</v>
    <v>96</v>
    <v>97</v>
    <v>98</v>
    <v>99</v>
    <v>Pakistan</v>
    <v>100</v>
    <v>mdp/vdpid/190</v>
  </rv>
  <rv s="0">
    <v>536870912</v>
    <v>Nigeria</v>
    <v>f8afbbd6-9c3e-02be-7cb2-eac695e2da02</v>
    <v>en-US</v>
    <v>Map</v>
  </rv>
  <rv s="1">
    <fb>0.77736420830725605</fb>
    <v>23</v>
  </rv>
  <rv s="1">
    <fb>923768</fb>
    <v>24</v>
  </rv>
  <rv s="1">
    <fb>215000</fb>
    <v>24</v>
  </rv>
  <rv s="1">
    <fb>37.905000000000001</fb>
    <v>25</v>
  </rv>
  <rv s="1">
    <fb>234</fb>
    <v>26</v>
  </rv>
  <rv s="0">
    <v>536870912</v>
    <v>Abuja</v>
    <v>c82a7acc-0007-36fc-7343-e970618e072d</v>
    <v>en-US</v>
    <v>Map</v>
  </rv>
  <rv s="1">
    <fb>120369.27499999999</fb>
    <v>24</v>
  </rv>
  <rv s="1">
    <fb>267.51151513417602</fb>
    <v>27</v>
  </rv>
  <rv s="1">
    <fb>0.113967949687168</fb>
    <v>23</v>
  </rv>
  <rv s="1">
    <fb>144.525462223266</fb>
    <v>24</v>
  </rv>
  <rv s="1">
    <fb>5.3869999999999996</fb>
    <v>25</v>
  </rv>
  <rv s="1">
    <fb>7.2283890579880203E-2</fb>
    <v>23</v>
  </rv>
  <rv s="1">
    <fb>18.876766756620999</fb>
    <v>28</v>
  </rv>
  <rv s="1">
    <fb>0.46</fb>
    <v>29</v>
  </rv>
  <rv s="1">
    <fb>448120428858.76898</fb>
    <v>30</v>
  </rv>
  <rv s="1">
    <fb>0.84725640000000002</fb>
    <v>23</v>
  </rv>
  <rv s="1">
    <fb>0.1017443</fb>
    <v>23</v>
  </rv>
  <rv s="1">
    <fb>75.7</fb>
    <v>28</v>
  </rv>
  <rv s="0">
    <v>536870912</v>
    <v>Lagos</v>
    <v>f9b45ba3-39cb-62a0-eb5c-1209a05fb3da</v>
    <v>en-US</v>
    <v>Map</v>
  </rv>
  <rv s="0">
    <v>805306368</v>
    <v>Bola Tinubu (President)</v>
    <v>0bab946b-fc6e-b461-0758-014e137942c4</v>
    <v>en-US</v>
    <v>Generic</v>
  </rv>
  <rv s="0">
    <v>805306368</v>
    <v>Kashim Shettima (Vice president)</v>
    <v>c19ad62c-de0d-617d-28ae-10ab8db975f8</v>
    <v>en-US</v>
    <v>Generic</v>
  </rv>
  <rv s="0">
    <v>805306368</v>
    <v>Tajudeen Abbas (Speaker)</v>
    <v>d3886a52-f1ee-65f9-9ef4-fdfa53130483</v>
    <v>en-US</v>
    <v>Generic</v>
  </rv>
  <rv s="0">
    <v>805306368</v>
    <v>Kudirat Kekere-Ekun (Chief justice)</v>
    <v>e0b78dc3-1346-97f8-4f68-5604a3efde81</v>
    <v>en-US</v>
    <v>Generic</v>
  </rv>
  <rv s="3">
    <v>7</v>
  </rv>
  <rv s="4">
    <v>https://www.bing.com/search?q=nigeria&amp;form=skydnc</v>
    <v>Learn more on Bing</v>
  </rv>
  <rv s="1">
    <fb>54.332000000000001</fb>
    <v>28</v>
  </rv>
  <rv s="1">
    <fb>43921600000</fb>
    <v>30</v>
  </rv>
  <rv s="1">
    <fb>917</fb>
    <v>28</v>
  </rv>
  <rv s="1">
    <fb>0.54</fb>
    <v>29</v>
  </rv>
  <rv s="3">
    <v>8</v>
  </rv>
  <rv s="1">
    <fb>0.72238616980000003</fb>
    <v>23</v>
  </rv>
  <rv s="1">
    <fb>0.38059999999999999</fb>
    <v>25</v>
  </rv>
  <rv s="1">
    <fb>218541212</fb>
    <v>24</v>
  </rv>
  <rv s="1">
    <fb>0.21600000000000003</fb>
    <v>23</v>
  </rv>
  <rv s="1">
    <fb>0.32700000000000001</fb>
    <v>23</v>
  </rv>
  <rv s="1">
    <fb>0.49</fb>
    <v>23</v>
  </rv>
  <rv s="1">
    <fb>0.02</fb>
    <v>23</v>
  </rv>
  <rv s="1">
    <fb>5.4000000000000006E-2</fb>
    <v>23</v>
  </rv>
  <rv s="1">
    <fb>9.6999999999999989E-2</fb>
    <v>23</v>
  </rv>
  <rv s="1">
    <fb>0.14400000000000002</fb>
    <v>23</v>
  </rv>
  <rv s="1">
    <fb>0.52907001495361294</fb>
    <v>23</v>
  </rv>
  <rv s="0">
    <v>536870912</v>
    <v>Abia State</v>
    <v>69b8a646-2ce1-bbd4-2133-6a3e8ccd7216</v>
    <v>en-US</v>
    <v>Map</v>
  </rv>
  <rv s="0">
    <v>536870912</v>
    <v>Adamawa State</v>
    <v>89e5889b-a771-6d19-8318-bdbc1b461471</v>
    <v>en-US</v>
    <v>Map</v>
  </rv>
  <rv s="0">
    <v>536870912</v>
    <v>Akwa Ibom State</v>
    <v>db375712-d1b5-7800-f3bf-f5682e9c4b9f</v>
    <v>en-US</v>
    <v>Map</v>
  </rv>
  <rv s="0">
    <v>536870912</v>
    <v>Anambra State</v>
    <v>a4e8fb7a-e9a1-e893-4f70-23580f99b653</v>
    <v>en-US</v>
    <v>Map</v>
  </rv>
  <rv s="0">
    <v>536870912</v>
    <v>Bauchi State</v>
    <v>72aa6eb8-97d7-2620-c490-937972d163b7</v>
    <v>en-US</v>
    <v>Map</v>
  </rv>
  <rv s="0">
    <v>536870912</v>
    <v>Bayelsa State</v>
    <v>df2489d2-29f0-e5cd-4972-a1eae029e08e</v>
    <v>en-US</v>
    <v>Map</v>
  </rv>
  <rv s="0">
    <v>536870912</v>
    <v>Benue State</v>
    <v>da448603-05b5-1cc7-5b90-e2f74bcb7e4b</v>
    <v>en-US</v>
    <v>Map</v>
  </rv>
  <rv s="0">
    <v>536870912</v>
    <v>Borno State</v>
    <v>f2c07e45-570f-e47c-13ec-ca77b5c8fadc</v>
    <v>en-US</v>
    <v>Map</v>
  </rv>
  <rv s="0">
    <v>536870912</v>
    <v>Cross River State</v>
    <v>ae57951f-2c0a-25da-f239-0d304fb7957b</v>
    <v>en-US</v>
    <v>Map</v>
  </rv>
  <rv s="0">
    <v>536870912</v>
    <v>Delta State</v>
    <v>2bf2d4ef-c065-a0b4-022f-0e19dee39b09</v>
    <v>en-US</v>
    <v>Map</v>
  </rv>
  <rv s="0">
    <v>536870912</v>
    <v>Ebonyi State</v>
    <v>4c7ea440-73b2-dafe-8923-4db635cf8052</v>
    <v>en-US</v>
    <v>Map</v>
  </rv>
  <rv s="0">
    <v>536870912</v>
    <v>Edo State</v>
    <v>9746883b-174d-225c-3658-96453ede7f6d</v>
    <v>en-US</v>
    <v>Map</v>
  </rv>
  <rv s="0">
    <v>536870912</v>
    <v>Ekiti State</v>
    <v>0c095d44-2cfe-b1f5-cd64-79be6091a31b</v>
    <v>en-US</v>
    <v>Map</v>
  </rv>
  <rv s="0">
    <v>536870912</v>
    <v>Enugu State</v>
    <v>3b086e6a-3058-6d2a-de5f-baecb67e0cba</v>
    <v>en-US</v>
    <v>Map</v>
  </rv>
  <rv s="0">
    <v>536870912</v>
    <v>Gombe State</v>
    <v>c151d028-70dc-772d-4ea0-e039483e1792</v>
    <v>en-US</v>
    <v>Map</v>
  </rv>
  <rv s="0">
    <v>536870912</v>
    <v>Imo State</v>
    <v>f23675dc-04a2-53d5-4cf1-d0b7dbeb81f0</v>
    <v>en-US</v>
    <v>Map</v>
  </rv>
  <rv s="0">
    <v>536870912</v>
    <v>Jigawa State</v>
    <v>ad936f43-f8d5-695e-67fe-01235468d235</v>
    <v>en-US</v>
    <v>Map</v>
  </rv>
  <rv s="0">
    <v>536870912</v>
    <v>Kaduna State</v>
    <v>a7b69a0f-8fdd-f577-c080-676a34d982f5</v>
    <v>en-US</v>
    <v>Map</v>
  </rv>
  <rv s="0">
    <v>536870912</v>
    <v>Kano State</v>
    <v>2aa68b5e-36e3-9059-a512-620918fc1982</v>
    <v>en-US</v>
    <v>Map</v>
  </rv>
  <rv s="0">
    <v>536870912</v>
    <v>Katsina State</v>
    <v>1ba9a23e-5c1c-5d07-a6f9-d9dd468364e6</v>
    <v>en-US</v>
    <v>Map</v>
  </rv>
  <rv s="0">
    <v>536870912</v>
    <v>Kebbi State</v>
    <v>fd975f01-e997-df8c-4f64-1fee0565999f</v>
    <v>en-US</v>
    <v>Map</v>
  </rv>
  <rv s="0">
    <v>536870912</v>
    <v>Kogi State</v>
    <v>5d30659c-4b14-04f8-8ac5-87b90f387204</v>
    <v>en-US</v>
    <v>Map</v>
  </rv>
  <rv s="0">
    <v>536870912</v>
    <v>Kwara State</v>
    <v>90b9bd60-65cf-3dfc-cae9-f9b1c9144511</v>
    <v>en-US</v>
    <v>Map</v>
  </rv>
  <rv s="0">
    <v>536870912</v>
    <v>Lagos State</v>
    <v>6b2d76ff-8165-4482-0d57-dd54baace481</v>
    <v>en-US</v>
    <v>Map</v>
  </rv>
  <rv s="0">
    <v>536870912</v>
    <v>Nasarawa State</v>
    <v>54e320be-1f01-765f-270a-0e37cfc1e3d3</v>
    <v>en-US</v>
    <v>Map</v>
  </rv>
  <rv s="0">
    <v>536870912</v>
    <v>Niger State</v>
    <v>5aaa0ce5-04d0-4e26-26b1-0e9999d947b5</v>
    <v>en-US</v>
    <v>Map</v>
  </rv>
  <rv s="0">
    <v>536870912</v>
    <v>Ogun State</v>
    <v>89c68e8c-3fbe-ea3a-5b78-bbe7a4b8a425</v>
    <v>en-US</v>
    <v>Map</v>
  </rv>
  <rv s="0">
    <v>536870912</v>
    <v>Ondo State</v>
    <v>74a24d20-a917-b2f1-c213-f1e7d4e97b6b</v>
    <v>en-US</v>
    <v>Map</v>
  </rv>
  <rv s="0">
    <v>536870912</v>
    <v>Osun State</v>
    <v>2c145d0d-29b4-3b0c-65ca-7da5ed30592a</v>
    <v>en-US</v>
    <v>Map</v>
  </rv>
  <rv s="0">
    <v>536870912</v>
    <v>Oyo State</v>
    <v>712d990a-9716-897a-2f3f-75a7abe71338</v>
    <v>en-US</v>
    <v>Map</v>
  </rv>
  <rv s="0">
    <v>536870912</v>
    <v>Plateau State</v>
    <v>1553fa7c-b7d1-d2b8-d1fa-0d027642e02e</v>
    <v>en-US</v>
    <v>Map</v>
  </rv>
  <rv s="0">
    <v>536870912</v>
    <v>Rivers State</v>
    <v>89671e89-503e-c579-0555-aa21f65a113c</v>
    <v>en-US</v>
    <v>Map</v>
  </rv>
  <rv s="0">
    <v>536870912</v>
    <v>Sokoto State</v>
    <v>8cef5263-b25e-1f7a-dcc4-b85f5a2d81f4</v>
    <v>en-US</v>
    <v>Map</v>
  </rv>
  <rv s="0">
    <v>536870912</v>
    <v>Taraba State</v>
    <v>ab8e951e-d2de-b17d-556a-131a8a77c6e8</v>
    <v>en-US</v>
    <v>Map</v>
  </rv>
  <rv s="0">
    <v>536870912</v>
    <v>Yobe State</v>
    <v>2daeda9e-391e-81ce-fbc9-6f5a21e532eb</v>
    <v>en-US</v>
    <v>Map</v>
  </rv>
  <rv s="0">
    <v>536870912</v>
    <v>Zamfara State</v>
    <v>67d27c6a-27da-4f16-656d-b93176fee807</v>
    <v>en-US</v>
    <v>Map</v>
  </rv>
  <rv s="0">
    <v>536870912</v>
    <v>Federal Capital Territory</v>
    <v>58b26f4f-fe98-5f41-4126-771b8d675bec</v>
    <v>en-US</v>
    <v>Map</v>
  </rv>
  <rv s="3">
    <v>9</v>
  </rv>
  <rv s="1">
    <fb>1.4825336684568799E-2</fb>
    <v>23</v>
  </rv>
  <rv s="3">
    <v>10</v>
  </rv>
  <rv s="1">
    <fb>0.34799999999999998</fb>
    <v>23</v>
  </rv>
  <rv s="1">
    <fb>8.0959997177124002E-2</fb>
    <v>31</v>
  </rv>
  <rv s="1">
    <fb>102806948</fb>
    <v>24</v>
  </rv>
  <rv s="6">
    <v>#VALUE!</v>
    <v>en-US</v>
    <v>f8afbbd6-9c3e-02be-7cb2-eac695e2da02</v>
    <v>536870912</v>
    <v>1</v>
    <v>44</v>
    <v>38</v>
    <v>Nigeria</v>
    <v>19</v>
    <v>20</v>
    <v>Map</v>
    <v>21</v>
    <v>45</v>
    <v>NG</v>
    <v>103</v>
    <v>104</v>
    <v>105</v>
    <v>106</v>
    <v>107</v>
    <v>108</v>
    <v>109</v>
    <v>110</v>
    <v>111</v>
    <v>NGN</v>
    <v>Nigeria, officially the Federal Republic of Nigeria, is a country in West Africa. It is situated between the Sahel to the north and the Gulf of Guinea in the Atlantic Ocean to the south. It covers an area of 923,769 square kilometres. With a ...</v>
    <v>112</v>
    <v>113</v>
    <v>114</v>
    <v>115</v>
    <v>116</v>
    <v>117</v>
    <v>118</v>
    <v>119</v>
    <v>18</v>
    <v>120</v>
    <v>121</v>
    <v>126</v>
    <v>127</v>
    <v>128</v>
    <v>129</v>
    <v>130</v>
    <v>131</v>
    <v>Nigeria</v>
    <v>Nigeria, We Hail Thee</v>
    <v>132</v>
    <v>Federal Republic of Nigeria</v>
    <v>133</v>
    <v>134</v>
    <v>135</v>
    <v>136</v>
    <v>137</v>
    <v>138</v>
    <v>139</v>
    <v>140</v>
    <v>141</v>
    <v>142</v>
    <v>143</v>
    <v>181</v>
    <v>182</v>
    <v>183</v>
    <v>184</v>
    <v>185</v>
    <v>Nigeria</v>
    <v>186</v>
    <v>mdp/vdpid/175</v>
  </rv>
  <rv s="0">
    <v>536870912</v>
    <v>Sri Lanka</v>
    <v>6bac8e76-6fd3-64fc-b260-bff13b0eebfc</v>
    <v>en-US</v>
    <v>Map</v>
  </rv>
  <rv s="1">
    <fb>0.43693190878647697</fb>
    <v>23</v>
  </rv>
  <rv s="1">
    <fb>317000</fb>
    <v>24</v>
  </rv>
  <rv s="1">
    <fb>15.831</fb>
    <v>25</v>
  </rv>
  <rv s="1">
    <fb>94</fb>
    <v>26</v>
  </rv>
  <rv s="0">
    <v>536870912</v>
    <v>Colombo</v>
    <v>08e9be7d-e270-ec32-540a-0cfd91c3f88d</v>
    <v>en-US</v>
    <v>Map</v>
  </rv>
  <rv s="1">
    <fb>23362.456999999999</fb>
    <v>24</v>
  </rv>
  <rv s="1">
    <fb>155.528883036152</fb>
    <v>27</v>
  </rv>
  <rv s="1">
    <fb>3.5283935823180901E-2</fb>
    <v>23</v>
  </rv>
  <rv s="1">
    <fb>531.09057657137396</fb>
    <v>24</v>
  </rv>
  <rv s="1">
    <fb>2.1989999999999998</fb>
    <v>25</v>
  </rv>
  <rv s="1">
    <fb>0.32903841529959299</fb>
    <v>23</v>
  </rv>
  <rv s="1">
    <fb>50.545573977658002</fb>
    <v>28</v>
  </rv>
  <rv s="1">
    <fb>0.88</fb>
    <v>29</v>
  </rv>
  <rv s="1">
    <fb>84008783756.067993</fb>
    <v>30</v>
  </rv>
  <rv s="1">
    <fb>1.0016202000000001</fb>
    <v>23</v>
  </rv>
  <rv s="1">
    <fb>0.19630240000000002</fb>
    <v>23</v>
  </rv>
  <rv s="1">
    <fb>6.4</fb>
    <v>28</v>
  </rv>
  <rv s="0">
    <v>805306368</v>
    <v>Anura Kumara Dissanayake (President)</v>
    <v>674eef95-79f6-8ab9-51e9-2909b9847026</v>
    <v>en-US</v>
    <v>Generic</v>
  </rv>
  <rv s="0">
    <v>805306368</v>
    <v>Harini Amarasuriya (Prime minister)</v>
    <v>85c06532-6b20-f0b4-35df-0bd16779bb38</v>
    <v>en-US</v>
    <v>Generic</v>
  </rv>
  <rv s="0">
    <v>805306368</v>
    <v>Murdu Fernando (Chief justice)</v>
    <v>f9618b02-5fac-497b-ff76-3ae2c7963a3e</v>
    <v>en-US</v>
    <v>Generic</v>
  </rv>
  <rv s="3">
    <v>11</v>
  </rv>
  <rv s="4">
    <v>https://www.bing.com/search?q=sri+lanka&amp;form=skydnc</v>
    <v>Learn more on Bing</v>
  </rv>
  <rv s="1">
    <fb>76.811999999999998</fb>
    <v>28</v>
  </rv>
  <rv s="1">
    <fb>15720540000</fb>
    <v>30</v>
  </rv>
  <rv s="1">
    <fb>36</fb>
    <v>28</v>
  </rv>
  <rv s="1">
    <fb>0.35</fb>
    <v>29</v>
  </rv>
  <rv s="3">
    <v>12</v>
  </rv>
  <rv s="1">
    <fb>0.38427354920000001</fb>
    <v>23</v>
  </rv>
  <rv s="1">
    <fb>1.0041</fb>
    <v>25</v>
  </rv>
  <rv s="1">
    <fb>22181000</fb>
    <v>24</v>
  </rv>
  <rv s="1">
    <fb>0.20300000000000001</fb>
    <v>23</v>
  </rv>
  <rv s="1">
    <fb>0.32899999999999996</fb>
    <v>23</v>
  </rv>
  <rv s="1">
    <fb>0.47600000000000003</fb>
    <v>23</v>
  </rv>
  <rv s="1">
    <fb>2.8999999999999998E-2</fb>
    <v>23</v>
  </rv>
  <rv s="1">
    <fb>7.0000000000000007E-2</fb>
    <v>23</v>
  </rv>
  <rv s="1">
    <fb>0.107</fb>
    <v>23</v>
  </rv>
  <rv s="1">
    <fb>0.14499999999999999</fb>
    <v>23</v>
  </rv>
  <rv s="1">
    <fb>0.539150009155273</fb>
    <v>23</v>
  </rv>
  <rv s="0">
    <v>536870912</v>
    <v>Central Province, Sri Lanka</v>
    <v>d403ecf7-d76f-da00-66c1-d8f055ef87ff</v>
    <v>en-US</v>
    <v>Map</v>
  </rv>
  <rv s="0">
    <v>536870912</v>
    <v>North Central Province, Sri Lanka</v>
    <v>cb8b14cb-c6b2-f486-2082-32579759c3c8</v>
    <v>en-US</v>
    <v>Map</v>
  </rv>
  <rv s="0">
    <v>536870912</v>
    <v>Northern Province, Sri Lanka</v>
    <v>3e13b253-8902-4cf0-d294-f3cf5c79b6db</v>
    <v>en-US</v>
    <v>Map</v>
  </rv>
  <rv s="0">
    <v>536870912</v>
    <v>Eastern Province, Sri Lanka</v>
    <v>1405da12-dcc7-7d28-b50a-0059a538c131</v>
    <v>en-US</v>
    <v>Map</v>
  </rv>
  <rv s="0">
    <v>536870912</v>
    <v>North Western Province, Sri Lanka</v>
    <v>efdbee34-0b18-1c07-4b39-7b59b02407cd</v>
    <v>en-US</v>
    <v>Map</v>
  </rv>
  <rv s="0">
    <v>536870912</v>
    <v>Southern Province, Sri Lanka</v>
    <v>a153edc0-b9b6-4ba4-4765-e1015a2ab757</v>
    <v>en-US</v>
    <v>Map</v>
  </rv>
  <rv s="0">
    <v>536870912</v>
    <v>Uva Province</v>
    <v>03f8641e-95f4-b408-ebea-43aead5bacc4</v>
    <v>en-US</v>
    <v>Map</v>
  </rv>
  <rv s="0">
    <v>536870912</v>
    <v>Sabaragamuwa Province</v>
    <v>7af54893-39f2-93ca-5279-fc34ca428e4b</v>
    <v>en-US</v>
    <v>Map</v>
  </rv>
  <rv s="0">
    <v>536870912</v>
    <v>Western Province, Sri Lanka</v>
    <v>8536d10f-1c1b-59f6-c1a8-f3dc7911905a</v>
    <v>en-US</v>
    <v>Map</v>
  </rv>
  <rv s="3">
    <v>13</v>
  </rv>
  <rv s="1">
    <fb>0.118500072966585</fb>
    <v>23</v>
  </rv>
  <rv s="3">
    <v>14</v>
  </rv>
  <rv s="1">
    <fb>0.55200000000000005</fb>
    <v>23</v>
  </rv>
  <rv s="1">
    <fb>4.1979999542236301E-2</fb>
    <v>31</v>
  </rv>
  <rv s="1">
    <fb>4052088</fb>
    <v>24</v>
  </rv>
  <rv s="7">
    <v>#VALUE!</v>
    <v>en-US</v>
    <v>6bac8e76-6fd3-64fc-b260-bff13b0eebfc</v>
    <v>536870912</v>
    <v>1</v>
    <v>50</v>
    <v>51</v>
    <v>Sri Lanka</v>
    <v>19</v>
    <v>20</v>
    <v>Map</v>
    <v>21</v>
    <v>52</v>
    <v>LK</v>
    <v>189</v>
    <v>190</v>
    <v>191</v>
    <v>192</v>
    <v>193</v>
    <v>194</v>
    <v>195</v>
    <v>196</v>
    <v>LKR</v>
    <v>Sri Lanka, historically known as Ceylon, and officially the Democratic Socialist Republic of Sri Lanka, is an island country in South Asia. It lies in the Indian Ocean, southwest of the Bay of Bengal, separated from the Indian peninsula by the ...</v>
    <v>197</v>
    <v>198</v>
    <v>199</v>
    <v>200</v>
    <v>201</v>
    <v>202</v>
    <v>203</v>
    <v>204</v>
    <v>18</v>
    <v>205</v>
    <v>193</v>
    <v>209</v>
    <v>210</v>
    <v>211</v>
    <v>212</v>
    <v>213</v>
    <v>214</v>
    <v>Sri Lanka</v>
    <v>Sri Lanka Matha</v>
    <v>215</v>
    <v>ශ්‍රී ලංකා ප්‍රජාතාන්ත්‍රික සමාජවාදී ජනරජය</v>
    <v>216</v>
    <v>217</v>
    <v>218</v>
    <v>219</v>
    <v>220</v>
    <v>221</v>
    <v>222</v>
    <v>223</v>
    <v>224</v>
    <v>225</v>
    <v>226</v>
    <v>236</v>
    <v>237</v>
    <v>238</v>
    <v>239</v>
    <v>240</v>
    <v>Sri Lanka</v>
    <v>241</v>
    <v>mdp/vdpid/42</v>
  </rv>
  <rv s="0">
    <v>536870912</v>
    <v>Indonesia</v>
    <v>b4a5bd62-2259-21e3-4627-bf249ae6ee84</v>
    <v>en-US</v>
    <v>Map</v>
  </rv>
  <rv s="1">
    <fb>0.31464420364656098</fb>
    <v>23</v>
  </rv>
  <rv s="1">
    <fb>1904570</fb>
    <v>24</v>
  </rv>
  <rv s="1">
    <fb>676000</fb>
    <v>24</v>
  </rv>
  <rv s="1">
    <fb>18.071999999999999</fb>
    <v>25</v>
  </rv>
  <rv s="1">
    <fb>62</fb>
    <v>26</v>
  </rv>
  <rv s="0">
    <v>536870912</v>
    <v>Jakarta</v>
    <v>6261fc72-a172-5cdd-9c67-a7644a026c29</v>
    <v>en-US</v>
    <v>Map</v>
  </rv>
  <rv s="1">
    <fb>563324.54</fb>
    <v>24</v>
  </rv>
  <rv s="1">
    <fb>151.17667507135201</fb>
    <v>27</v>
  </rv>
  <rv s="1">
    <fb>3.0305866496949097E-2</fb>
    <v>23</v>
  </rv>
  <rv s="1">
    <fb>811.90690494758496</fb>
    <v>24</v>
  </rv>
  <rv s="1">
    <fb>2.3109999999999999</fb>
    <v>25</v>
  </rv>
  <rv s="1">
    <fb>0.49860398197419897</fb>
    <v>23</v>
  </rv>
  <rv s="1">
    <fb>66.089475456589</fb>
    <v>28</v>
  </rv>
  <rv s="1">
    <fb>0.63</fb>
    <v>29</v>
  </rv>
  <rv s="1">
    <fb>1119190780752.8</fb>
    <v>30</v>
  </rv>
  <rv s="1">
    <fb>1.0641081999999999</fb>
    <v>23</v>
  </rv>
  <rv s="1">
    <fb>0.3631104</fb>
    <v>23</v>
  </rv>
  <rv s="1">
    <fb>21.1</fb>
    <v>28</v>
  </rv>
  <rv s="0">
    <v>805306368</v>
    <v>Prabowo Subianto (President)</v>
    <v>0356dbb9-1da7-3c83-437a-0e7f85c9b902</v>
    <v>en-US</v>
    <v>Generic</v>
  </rv>
  <rv s="0">
    <v>805306368</v>
    <v>Gibran Rakabuming Raka (Vice president)</v>
    <v>014321a1-e983-74ac-d4a9-648e88776d13</v>
    <v>en-US</v>
    <v>Generic</v>
  </rv>
  <rv s="0">
    <v>805306368</v>
    <v>Puan Maharani (Speaker)</v>
    <v>bce5e50c-23e7-f796-fb15-4e7093b47fbe</v>
    <v>en-US</v>
    <v>Generic</v>
  </rv>
  <rv s="3">
    <v>15</v>
  </rv>
  <rv s="4">
    <v>https://www.bing.com/search?q=indonesia&amp;form=skydnc</v>
    <v>Learn more on Bing</v>
  </rv>
  <rv s="1">
    <fb>71.509</fb>
    <v>28</v>
  </rv>
  <rv s="1">
    <fb>523321860000</fb>
    <v>30</v>
  </rv>
  <rv s="1">
    <fb>177</fb>
    <v>28</v>
  </rv>
  <rv s="1">
    <fb>0.48</fb>
    <v>29</v>
  </rv>
  <rv s="3">
    <v>16</v>
  </rv>
  <rv s="1">
    <fb>0.48302203660000004</fb>
    <v>23</v>
  </rv>
  <rv s="1">
    <fb>0.4269</fb>
    <v>25</v>
  </rv>
  <rv s="1">
    <fb>275501339</fb>
    <v>24</v>
  </rv>
  <rv s="1">
    <fb>0.217</fb>
    <v>23</v>
  </rv>
  <rv s="1">
    <fb>0.30399999999999999</fb>
    <v>23</v>
  </rv>
  <rv s="1">
    <fb>0.46100000000000002</fb>
    <v>23</v>
  </rv>
  <rv s="1">
    <fb>2.7999999999999997E-2</fb>
    <v>23</v>
  </rv>
  <rv s="1">
    <fb>6.7000000000000004E-2</fb>
    <v>23</v>
  </rv>
  <rv s="1">
    <fb>0.105</fb>
    <v>23</v>
  </rv>
  <rv s="1">
    <fb>0.14899999999999999</fb>
    <v>23</v>
  </rv>
  <rv s="1">
    <fb>0.67496002197265592</fb>
    <v>23</v>
  </rv>
  <rv s="0">
    <v>536870912</v>
    <v>Bali</v>
    <v>c4f6d9fa-e141-4316-1f4b-6dff75b71985</v>
    <v>en-US</v>
    <v>Map</v>
  </rv>
  <rv s="0">
    <v>536870912</v>
    <v>Bangka Belitung Islands</v>
    <v>3af40073-e8c1-5118-afe5-3cbc63eec4de</v>
    <v>en-US</v>
    <v>Map</v>
  </rv>
  <rv s="0">
    <v>536870912</v>
    <v>Banten</v>
    <v>b4e3eb01-c9fd-7eab-acf2-789027f22206</v>
    <v>en-US</v>
    <v>Map</v>
  </rv>
  <rv s="0">
    <v>536870912</v>
    <v>Bengkulu</v>
    <v>ca439385-218f-1525-c930-ce7acb910fd2</v>
    <v>en-US</v>
    <v>Map</v>
  </rv>
  <rv s="0">
    <v>536870912</v>
    <v>West Java</v>
    <v>931eb2be-2b48-b0ff-4997-05f06cf85b18</v>
    <v>en-US</v>
    <v>Map</v>
  </rv>
  <rv s="0">
    <v>536870912</v>
    <v>Central Java</v>
    <v>39b12ecc-e3fb-184d-0602-e36314b32c5d</v>
    <v>en-US</v>
    <v>Map</v>
  </rv>
  <rv s="0">
    <v>536870912</v>
    <v>East Java</v>
    <v>f76a129e-0160-9c71-d6b5-fb788a91af78</v>
    <v>en-US</v>
    <v>Map</v>
  </rv>
  <rv s="0">
    <v>536870912</v>
    <v>Riau Islands</v>
    <v>e3471e28-8f42-6ecf-4ccf-4698fdb6ba7b</v>
    <v>en-US</v>
    <v>Map</v>
  </rv>
  <rv s="0">
    <v>536870912</v>
    <v>Jambi</v>
    <v>f9f17551-f6f4-8e98-3914-364646c1f529</v>
    <v>en-US</v>
    <v>Map</v>
  </rv>
  <rv s="0">
    <v>536870912</v>
    <v>Central Kalimantan</v>
    <v>8d3f7094-f4c0-94dc-e426-1fcab06739ff</v>
    <v>en-US</v>
    <v>Map</v>
  </rv>
  <rv s="0">
    <v>536870912</v>
    <v>South Kalimantan</v>
    <v>d0e9b3fa-cc83-7afb-07e9-c2d457864e16</v>
    <v>en-US</v>
    <v>Map</v>
  </rv>
  <rv s="0">
    <v>536870912</v>
    <v>West Kalimantan</v>
    <v>5febf7f0-5901-95c6-deac-984325a2c927</v>
    <v>en-US</v>
    <v>Map</v>
  </rv>
  <rv s="0">
    <v>536870912</v>
    <v>East Kalimantan</v>
    <v>1c25ef68-f0fa-78fc-107b-520cea759d8a</v>
    <v>en-US</v>
    <v>Map</v>
  </rv>
  <rv s="0">
    <v>536870912</v>
    <v>Lampung</v>
    <v>c37bf0bc-29d7-8a9d-c9ca-5d41aeee72da</v>
    <v>en-US</v>
    <v>Map</v>
  </rv>
  <rv s="0">
    <v>536870912</v>
    <v>West Nusa Tenggara</v>
    <v>0407c75f-c808-9cce-028b-f2d85975e54a</v>
    <v>en-US</v>
    <v>Map</v>
  </rv>
  <rv s="0">
    <v>536870912</v>
    <v>East Nusa Tenggara</v>
    <v>0f9a80a8-52fa-396b-9da0-b9128a05870d</v>
    <v>en-US</v>
    <v>Map</v>
  </rv>
  <rv s="0">
    <v>536870912</v>
    <v>Gorontalo</v>
    <v>e2330abd-3509-8dcd-5446-d0bdb068233e</v>
    <v>en-US</v>
    <v>Map</v>
  </rv>
  <rv s="0">
    <v>536870912</v>
    <v>Maluku</v>
    <v>39a3c290-4f4b-b61e-f197-a09ae7642267</v>
    <v>en-US</v>
    <v>Map</v>
  </rv>
  <rv s="0">
    <v>536870912</v>
    <v>North Maluku</v>
    <v>4d1d7c2d-e3a4-666c-5b1d-1a8b18de3a5c</v>
    <v>en-US</v>
    <v>Map</v>
  </rv>
  <rv s="0">
    <v>536870912</v>
    <v>Papua</v>
    <v>0f2c1326-0491-269f-31e1-74488078a32a</v>
    <v>en-US</v>
    <v>Map</v>
  </rv>
  <rv s="0">
    <v>536870912</v>
    <v>West Papua</v>
    <v>2bd66757-1154-0845-4ab3-b533eaafb66a</v>
    <v>en-US</v>
    <v>Map</v>
  </rv>
  <rv s="0">
    <v>536870912</v>
    <v>Central Sulawesi</v>
    <v>fca0651b-c50d-6497-3564-cf378d76f7ca</v>
    <v>en-US</v>
    <v>Map</v>
  </rv>
  <rv s="0">
    <v>536870912</v>
    <v>West Sulawesi</v>
    <v>50e1c5b6-8c37-abe2-96fd-7b0ddfe17455</v>
    <v>en-US</v>
    <v>Map</v>
  </rv>
  <rv s="0">
    <v>536870912</v>
    <v>South Sulawesi</v>
    <v>f6bf6682-f96f-24d6-1b1b-b05c77b899cd</v>
    <v>en-US</v>
    <v>Map</v>
  </rv>
  <rv s="0">
    <v>536870912</v>
    <v>North Sulawesi</v>
    <v>70a8dc2d-0ecd-0471-3c78-516c671329a4</v>
    <v>en-US</v>
    <v>Map</v>
  </rv>
  <rv s="0">
    <v>536870912</v>
    <v>Southeast Sulawesi</v>
    <v>4aff599f-5e3f-801e-344a-16dcaacba1b8</v>
    <v>en-US</v>
    <v>Map</v>
  </rv>
  <rv s="0">
    <v>536870912</v>
    <v>South Sumatra</v>
    <v>3f0b33c1-6f1e-a592-3d72-2b8e053c5609</v>
    <v>en-US</v>
    <v>Map</v>
  </rv>
  <rv s="0">
    <v>536870912</v>
    <v>West Sumatra</v>
    <v>3ad5cdb7-7630-6662-ae72-367bbd112dc0</v>
    <v>en-US</v>
    <v>Map</v>
  </rv>
  <rv s="0">
    <v>536870912</v>
    <v>North Sumatra</v>
    <v>42ca1f6c-e43e-bf42-fe72-4ad9e000d932</v>
    <v>en-US</v>
    <v>Map</v>
  </rv>
  <rv s="0">
    <v>536870912</v>
    <v>Aceh</v>
    <v>a7512e23-3525-d514-b5ee-6adb3af70ca0</v>
    <v>en-US</v>
    <v>Map</v>
  </rv>
  <rv s="0">
    <v>536870912</v>
    <v>Special Region of Yogyakarta</v>
    <v>7a5ea5db-f9d5-434b-8ed3-d1dbe5b4e377</v>
    <v>en-US</v>
    <v>Map</v>
  </rv>
  <rv s="0">
    <v>536870912</v>
    <v>North Kalimantan</v>
    <v>669e45da-91e6-45ec-af06-a29b2ed52f69</v>
    <v>en-US</v>
    <v>Map</v>
  </rv>
  <rv s="0">
    <v>536870912</v>
    <v>Riau</v>
    <v>f537ab07-cdad-a175-50d8-b58eb136e125</v>
    <v>en-US</v>
    <v>Map</v>
  </rv>
  <rv s="3">
    <v>17</v>
  </rv>
  <rv s="1">
    <fb>0.10230449477737399</fb>
    <v>23</v>
  </rv>
  <rv s="3">
    <v>18</v>
  </rv>
  <rv s="1">
    <fb>0.30099999999999999</fb>
    <v>23</v>
  </rv>
  <rv s="1">
    <fb>4.6869997978210398E-2</fb>
    <v>31</v>
  </rv>
  <rv s="1">
    <fb>151509724</fb>
    <v>24</v>
  </rv>
  <rv s="6">
    <v>#VALUE!</v>
    <v>en-US</v>
    <v>b4a5bd62-2259-21e3-4627-bf249ae6ee84</v>
    <v>536870912</v>
    <v>1</v>
    <v>57</v>
    <v>38</v>
    <v>Indonesia</v>
    <v>19</v>
    <v>20</v>
    <v>Map</v>
    <v>21</v>
    <v>58</v>
    <v>ID</v>
    <v>244</v>
    <v>245</v>
    <v>246</v>
    <v>247</v>
    <v>248</v>
    <v>249</v>
    <v>250</v>
    <v>251</v>
    <v>252</v>
    <v>IDR</v>
    <v>Indonesia, officially the Republic of Indonesia, is a country in Southeast Asia and Oceania, between the Indian and Pacific oceans. Comprising over 17,000 islands, including Sumatra, Java, Sulawesi, and parts of Borneo and New Guinea, Indonesia ...</v>
    <v>253</v>
    <v>254</v>
    <v>255</v>
    <v>256</v>
    <v>257</v>
    <v>258</v>
    <v>259</v>
    <v>260</v>
    <v>18</v>
    <v>261</v>
    <v>249</v>
    <v>265</v>
    <v>266</v>
    <v>267</v>
    <v>268</v>
    <v>269</v>
    <v>270</v>
    <v>Indonesia</v>
    <v>Indonesia Raya</v>
    <v>271</v>
    <v>Republik Indonesia</v>
    <v>272</v>
    <v>273</v>
    <v>274</v>
    <v>275</v>
    <v>276</v>
    <v>277</v>
    <v>278</v>
    <v>279</v>
    <v>280</v>
    <v>281</v>
    <v>282</v>
    <v>316</v>
    <v>317</v>
    <v>318</v>
    <v>319</v>
    <v>320</v>
    <v>Indonesia</v>
    <v>321</v>
    <v>mdp/vdpid/111</v>
  </rv>
  <rv s="0">
    <v>536870912</v>
    <v>Peru</v>
    <v>02dd0e01-24ad-0f52-3d28-54e36db1ce25</v>
    <v>en-US</v>
    <v>Map</v>
  </rv>
  <rv s="1">
    <fb>0.18505468749999998</fb>
    <v>23</v>
  </rv>
  <rv s="1">
    <fb>1285216</fb>
    <v>24</v>
  </rv>
  <rv s="1">
    <fb>158000</fb>
    <v>24</v>
  </rv>
  <rv s="1">
    <fb>17.949000000000002</fb>
    <v>25</v>
  </rv>
  <rv s="1">
    <fb>51</fb>
    <v>26</v>
  </rv>
  <rv s="0">
    <v>536870912</v>
    <v>Lima</v>
    <v>56111e08-84b2-d298-3309-317c86bbca62</v>
    <v>en-US</v>
    <v>Map</v>
  </rv>
  <rv s="1">
    <fb>57414.218999999997</fb>
    <v>24</v>
  </rv>
  <rv s="1">
    <fb>129.78454434275901</fb>
    <v>27</v>
  </rv>
  <rv s="1">
    <fb>2.1371534256997799E-2</fb>
    <v>23</v>
  </rv>
  <rv s="1">
    <fb>1345.8795888743</fb>
    <v>24</v>
  </rv>
  <rv s="1">
    <fb>2.254</fb>
    <v>25</v>
  </rv>
  <rv s="1">
    <fb>0.57660467529296899</fb>
    <v>23</v>
  </rv>
  <rv s="1">
    <fb>79.555683573486803</fb>
    <v>28</v>
  </rv>
  <rv s="1">
    <fb>0.99</fb>
    <v>29</v>
  </rv>
  <rv s="1">
    <fb>226848050819.52499</fb>
    <v>30</v>
  </rv>
  <rv s="1">
    <fb>1.0694512</fb>
    <v>23</v>
  </rv>
  <rv s="1">
    <fb>0.70737859999999997</fb>
    <v>23</v>
  </rv>
  <rv s="1">
    <fb>11.1</fb>
    <v>28</v>
  </rv>
  <rv s="0">
    <v>805306368</v>
    <v>Dina Boluarte (President)</v>
    <v>555553a8-1ef5-72bc-ec28-32a5d7cceeba</v>
    <v>en-US</v>
    <v>Generic</v>
  </rv>
  <rv s="0">
    <v>805306368</v>
    <v>Gustavo Adrianzén (Prime minister)</v>
    <v>3ed4b7db-9afa-d326-cdb8-78f39a34f73a</v>
    <v>en-US</v>
    <v>Generic</v>
  </rv>
  <rv s="3">
    <v>19</v>
  </rv>
  <rv s="4">
    <v>https://www.bing.com/search?q=peru&amp;form=skydnc</v>
    <v>Learn more on Bing</v>
  </rv>
  <rv s="1">
    <fb>76.516000000000005</fb>
    <v>28</v>
  </rv>
  <rv s="1">
    <fb>98964960000</fb>
    <v>30</v>
  </rv>
  <rv s="1">
    <fb>88</fb>
    <v>28</v>
  </rv>
  <rv s="1">
    <fb>1.28</fb>
    <v>29</v>
  </rv>
  <rv s="3">
    <v>20</v>
  </rv>
  <rv s="1">
    <fb>0.30916759560000001</fb>
    <v>23</v>
  </rv>
  <rv s="1">
    <fb>1.27</fb>
    <v>25</v>
  </rv>
  <rv s="1">
    <fb>34049588</fb>
    <v>24</v>
  </rv>
  <rv s="1">
    <fb>0.22</fb>
    <v>23</v>
  </rv>
  <rv s="1">
    <fb>0.32100000000000001</fb>
    <v>23</v>
  </rv>
  <rv s="1">
    <fb>0.48299999999999998</fb>
    <v>23</v>
  </rv>
  <rv s="1">
    <fb>1.8000000000000002E-2</fb>
    <v>23</v>
  </rv>
  <rv s="1">
    <fb>4.9000000000000002E-2</fb>
    <v>23</v>
  </rv>
  <rv s="1">
    <fb>9.9000000000000005E-2</fb>
    <v>23</v>
  </rv>
  <rv s="1">
    <fb>0.14800000000000002</fb>
    <v>23</v>
  </rv>
  <rv s="1">
    <fb>0.77633003234863296</fb>
    <v>23</v>
  </rv>
  <rv s="0">
    <v>536870912</v>
    <v>Amazonas</v>
    <v>8fd2c397-430b-3b7f-cd67-016b0865bb77</v>
    <v>en-US</v>
    <v>Map</v>
  </rv>
  <rv s="0">
    <v>536870912</v>
    <v>Department of Ancash</v>
    <v>7b707fd9-e2cf-8406-e49c-af6b030955d1</v>
    <v>en-US</v>
    <v>Map</v>
  </rv>
  <rv s="0">
    <v>536870912</v>
    <v>Department of Apurímac</v>
    <v>800ddbab-575a-70c1-73fb-0290eb389167</v>
    <v>en-US</v>
    <v>Map</v>
  </rv>
  <rv s="0">
    <v>536870912</v>
    <v>Department of Arequipa</v>
    <v>5a642799-3e4d-dd3e-7ff3-67f11414b050</v>
    <v>en-US</v>
    <v>Map</v>
  </rv>
  <rv s="0">
    <v>536870912</v>
    <v>Department of Ayacucho</v>
    <v>d1839726-2ca4-b1ef-90be-f17cf629e5a6</v>
    <v>en-US</v>
    <v>Map</v>
  </rv>
  <rv s="0">
    <v>536870912</v>
    <v>Department of Cajamarca</v>
    <v>68429fc3-bf3f-3dd1-75f6-0329ead35de7</v>
    <v>en-US</v>
    <v>Map</v>
  </rv>
  <rv s="0">
    <v>536870912</v>
    <v>Department of Cusco</v>
    <v>d5a43b50-0d9c-e14e-2536-12eac1fa9141</v>
    <v>en-US</v>
    <v>Map</v>
  </rv>
  <rv s="0">
    <v>536870912</v>
    <v>Department of Huancavelica</v>
    <v>c866aaa9-74e9-9c95-da3d-3b862680adb2</v>
    <v>en-US</v>
    <v>Map</v>
  </rv>
  <rv s="0">
    <v>536870912</v>
    <v>Department of Huánuco</v>
    <v>c91622ff-1edf-da71-50d1-875f82c3f5c0</v>
    <v>en-US</v>
    <v>Map</v>
  </rv>
  <rv s="0">
    <v>536870912</v>
    <v>Department of Ica</v>
    <v>89e75a31-d2bc-f604-2b7b-82852a081ccb</v>
    <v>en-US</v>
    <v>Map</v>
  </rv>
  <rv s="0">
    <v>536870912</v>
    <v>Department of Junín</v>
    <v>b7838db7-815d-9260-1afc-73f6844d1fd1</v>
    <v>en-US</v>
    <v>Map</v>
  </rv>
  <rv s="0">
    <v>536870912</v>
    <v>Department of La Libertad</v>
    <v>80573590-c6cd-50b0-765c-f2424644af3e</v>
    <v>en-US</v>
    <v>Map</v>
  </rv>
  <rv s="0">
    <v>536870912</v>
    <v>Department of Lambayeque</v>
    <v>d0c78bd2-c7e3-ba11-5a61-c4f472e0d2f0</v>
    <v>en-US</v>
    <v>Map</v>
  </rv>
  <rv s="0">
    <v>536870912</v>
    <v>Department of Loreto</v>
    <v>f3ea022e-f8be-cc49-e4cc-372b13d31d81</v>
    <v>en-US</v>
    <v>Map</v>
  </rv>
  <rv s="0">
    <v>536870912</v>
    <v>Department of Madre de Dios</v>
    <v>471cf309-64b3-5670-8548-af31fa325bae</v>
    <v>en-US</v>
    <v>Map</v>
  </rv>
  <rv s="0">
    <v>536870912</v>
    <v>Department of Moquegua</v>
    <v>dfc4fc5d-72d8-edd7-de96-0b06b1476e21</v>
    <v>en-US</v>
    <v>Map</v>
  </rv>
  <rv s="0">
    <v>536870912</v>
    <v>Department of Pasco</v>
    <v>ee736d02-c7b1-0a50-e924-b716f580197d</v>
    <v>en-US</v>
    <v>Map</v>
  </rv>
  <rv s="0">
    <v>536870912</v>
    <v>Department of Piura</v>
    <v>cedfe6cd-7566-a773-bc19-8b9f638eb87f</v>
    <v>en-US</v>
    <v>Map</v>
  </rv>
  <rv s="0">
    <v>536870912</v>
    <v>Department of Puno</v>
    <v>4367f597-2f58-5eea-e94e-af80d252cd78</v>
    <v>en-US</v>
    <v>Map</v>
  </rv>
  <rv s="0">
    <v>536870912</v>
    <v>Department of San Martín</v>
    <v>4281890f-8cad-bdb9-ae00-7ae494271b7f</v>
    <v>en-US</v>
    <v>Map</v>
  </rv>
  <rv s="0">
    <v>536870912</v>
    <v>Department of Tacna</v>
    <v>ace388be-cdf0-bdb7-79ea-5702146107bb</v>
    <v>en-US</v>
    <v>Map</v>
  </rv>
  <rv s="0">
    <v>536870912</v>
    <v>Department of Tumbes</v>
    <v>fada96e6-3bd8-2079-e30c-fc8b76650e64</v>
    <v>en-US</v>
    <v>Map</v>
  </rv>
  <rv s="0">
    <v>536870912</v>
    <v>Department of Ucayali</v>
    <v>204e0044-14cd-8bb3-0575-52fd893f3efe</v>
    <v>en-US</v>
    <v>Map</v>
  </rv>
  <rv s="0">
    <v>536870912</v>
    <v>Department of Lima</v>
    <v>1189d6b9-d0e8-419b-4036-0684e693abcf</v>
    <v>en-US</v>
    <v>Map</v>
  </rv>
  <rv s="3">
    <v>21</v>
  </rv>
  <rv s="1">
    <fb>0.14321901146650698</fb>
    <v>23</v>
  </rv>
  <rv s="3">
    <v>22</v>
  </rv>
  <rv s="1">
    <fb>0.36799999999999999</fb>
    <v>23</v>
  </rv>
  <rv s="1">
    <fb>3.3099999427795401E-2</fb>
    <v>31</v>
  </rv>
  <rv s="1">
    <fb>25390339</fb>
    <v>24</v>
  </rv>
  <rv s="6">
    <v>#VALUE!</v>
    <v>en-US</v>
    <v>02dd0e01-24ad-0f52-3d28-54e36db1ce25</v>
    <v>536870912</v>
    <v>1</v>
    <v>63</v>
    <v>38</v>
    <v>Peru</v>
    <v>19</v>
    <v>20</v>
    <v>Map</v>
    <v>21</v>
    <v>64</v>
    <v>PE</v>
    <v>324</v>
    <v>325</v>
    <v>326</v>
    <v>327</v>
    <v>328</v>
    <v>329</v>
    <v>330</v>
    <v>331</v>
    <v>332</v>
    <v>PEN</v>
    <v>Peru, officially the Republic of Peru, is a country in western South America. It is bordered in the north by Ecuador and Colombia, in the east by Brazil, in the southeast by Bolivia, in the south by Chile, and in the south and west by the ...</v>
    <v>333</v>
    <v>334</v>
    <v>335</v>
    <v>336</v>
    <v>337</v>
    <v>338</v>
    <v>339</v>
    <v>340</v>
    <v>18</v>
    <v>341</v>
    <v>329</v>
    <v>344</v>
    <v>345</v>
    <v>346</v>
    <v>347</v>
    <v>348</v>
    <v>349</v>
    <v>Peru</v>
    <v>National Anthem of Peru</v>
    <v>350</v>
    <v>República del Perú</v>
    <v>351</v>
    <v>352</v>
    <v>353</v>
    <v>354</v>
    <v>355</v>
    <v>356</v>
    <v>357</v>
    <v>358</v>
    <v>359</v>
    <v>360</v>
    <v>361</v>
    <v>386</v>
    <v>387</v>
    <v>388</v>
    <v>389</v>
    <v>390</v>
    <v>Peru</v>
    <v>391</v>
    <v>mdp/vdpid/187</v>
  </rv>
  <rv s="0">
    <v>536870912</v>
    <v>Lebanon</v>
    <v>f2d30d7c-bea9-11b5-a8fe-a92d37480c87</v>
    <v>en-US</v>
    <v>Map</v>
  </rv>
  <rv s="1">
    <fb>0.64320625610948201</fb>
    <v>23</v>
  </rv>
  <rv s="1">
    <fb>10452</fb>
    <v>24</v>
  </rv>
  <rv s="1">
    <fb>80000</fb>
    <v>24</v>
  </rv>
  <rv s="1">
    <fb>17.545000000000002</fb>
    <v>25</v>
  </rv>
  <rv s="1">
    <fb>961</fb>
    <v>26</v>
  </rv>
  <rv s="0">
    <v>536870912</v>
    <v>Beirut</v>
    <v>afaaff6f-4112-4894-7e7e-2ca7359df5cf</v>
    <v>en-US</v>
    <v>Map</v>
  </rv>
  <rv s="1">
    <fb>24796.254000000001</fb>
    <v>24</v>
  </rv>
  <rv s="1">
    <fb>130.024611761339</fb>
    <v>27</v>
  </rv>
  <rv s="1">
    <fb>3.0053894939038001E-2</fb>
    <v>23</v>
  </rv>
  <rv s="1">
    <fb>2588.30067018927</fb>
    <v>24</v>
  </rv>
  <rv s="1">
    <fb>2.0870000000000002</fb>
    <v>25</v>
  </rv>
  <rv s="1">
    <fb>0.134291304870785</fb>
    <v>23</v>
  </rv>
  <rv s="1">
    <fb>97.621101107806794</fb>
    <v>28</v>
  </rv>
  <rv s="1">
    <fb>0.74</fb>
    <v>29</v>
  </rv>
  <rv s="1">
    <fb>53367042272.172501</fb>
    <v>30</v>
  </rv>
  <rv s="1">
    <fb>0.95052829999999999</fb>
    <v>23</v>
  </rv>
  <rv s="1">
    <fb>0.26255430000000002</fb>
    <v>23</v>
  </rv>
  <rv s="0">
    <v>805306368</v>
    <v>Joseph Aoun (President)</v>
    <v>e9d3593e-caec-e6cc-5f1b-60b2a5bb2d18</v>
    <v>en-US</v>
    <v>Generic</v>
  </rv>
  <rv s="0">
    <v>805306368</v>
    <v>Nawaf Salam (Prime minister)</v>
    <v>aa7a8c16-22d1-5542-2f49-ce5a398301ae</v>
    <v>en-US</v>
    <v>Generic</v>
  </rv>
  <rv s="3">
    <v>23</v>
  </rv>
  <rv s="4">
    <v>https://www.bing.com/search?q=lebanon&amp;form=skydnc</v>
    <v>Learn more on Bing</v>
  </rv>
  <rv s="1">
    <fb>78.875</fb>
    <v>28</v>
  </rv>
  <rv s="1">
    <fb>7735800000</fb>
    <v>30</v>
  </rv>
  <rv s="1">
    <fb>29</fb>
    <v>28</v>
  </rv>
  <rv s="1">
    <fb>2.15</fb>
    <v>29</v>
  </rv>
  <rv s="3">
    <v>24</v>
  </rv>
  <rv s="1">
    <fb>0.32069597230000002</fb>
    <v>23</v>
  </rv>
  <rv s="1">
    <fb>2.1038000000000001</fb>
    <v>25</v>
  </rv>
  <rv s="1">
    <fb>5489739</fb>
    <v>24</v>
  </rv>
  <rv s="1">
    <fb>0.22500000000000001</fb>
    <v>23</v>
  </rv>
  <rv s="1">
    <fb>0.248</fb>
    <v>23</v>
  </rv>
  <rv s="1">
    <fb>0.4</fb>
    <v>23</v>
  </rv>
  <rv s="1">
    <fb>3.1E-2</fb>
    <v>23</v>
  </rv>
  <rv s="1">
    <fb>7.9000000000000001E-2</fb>
    <v>23</v>
  </rv>
  <rv s="1">
    <fb>0.127</fb>
    <v>23</v>
  </rv>
  <rv s="1">
    <fb>0.17</fb>
    <v>23</v>
  </rv>
  <rv s="1">
    <fb>0.47013000488281298</fb>
    <v>23</v>
  </rv>
  <rv s="0">
    <v>536870912</v>
    <v>Beirut Governorate</v>
    <v>51248dc1-d152-b73a-bc60-aab6ea034eb4</v>
    <v>en-US</v>
    <v>Map</v>
  </rv>
  <rv s="0">
    <v>536870912</v>
    <v>Beqaa Governorate</v>
    <v>c9845962-193c-cf5c-bb2b-a1342db23cc0</v>
    <v>en-US</v>
    <v>Map</v>
  </rv>
  <rv s="0">
    <v>536870912</v>
    <v>Mount Lebanon Governorate</v>
    <v>7677f064-de66-965a-3358-73cd8c1b8d48</v>
    <v>en-US</v>
    <v>Map</v>
  </rv>
  <rv s="0">
    <v>536870912</v>
    <v>North Governorate</v>
    <v>638cd249-dbdd-b287-a3fb-c88a57e7cca0</v>
    <v>en-US</v>
    <v>Map</v>
  </rv>
  <rv s="0">
    <v>536870912</v>
    <v>South Governorate</v>
    <v>c8fdcdf5-28fe-7307-75c0-2c2f1d3e1162</v>
    <v>en-US</v>
    <v>Map</v>
  </rv>
  <rv s="0">
    <v>536870912</v>
    <v>Nabatieh Governorate</v>
    <v>99641455-8de4-a1c7-0c50-4e75b9f48b98</v>
    <v>en-US</v>
    <v>Map</v>
  </rv>
  <rv s="3">
    <v>25</v>
  </rv>
  <rv s="1">
    <fb>0.153087429268704</fb>
    <v>23</v>
  </rv>
  <rv s="3">
    <v>26</v>
  </rv>
  <rv s="1">
    <fb>0.32200000000000001</fb>
    <v>23</v>
  </rv>
  <rv s="1">
    <fb>6.2290000915527298E-2</fb>
    <v>31</v>
  </rv>
  <rv s="1">
    <fb>6084994</fb>
    <v>24</v>
  </rv>
  <rv s="6">
    <v>#VALUE!</v>
    <v>en-US</v>
    <v>f2d30d7c-bea9-11b5-a8fe-a92d37480c87</v>
    <v>536870912</v>
    <v>1</v>
    <v>69</v>
    <v>38</v>
    <v>Lebanon</v>
    <v>19</v>
    <v>20</v>
    <v>Map</v>
    <v>21</v>
    <v>70</v>
    <v>LB</v>
    <v>394</v>
    <v>395</v>
    <v>396</v>
    <v>397</v>
    <v>398</v>
    <v>399</v>
    <v>400</v>
    <v>401</v>
    <v>402</v>
    <v>LBP</v>
    <v>Lebanon, officially the Republic of Lebanon, is a country in the Levant region of West Asia. Situated at the crossroads of the Mediterranean Basin and the Arabian Peninsula, it is bordered by Syria to the north and east, Israel to the south, and ...</v>
    <v>403</v>
    <v>404</v>
    <v>405</v>
    <v>406</v>
    <v>407</v>
    <v>408</v>
    <v>409</v>
    <v>410</v>
    <v>18</v>
    <v>205</v>
    <v>399</v>
    <v>413</v>
    <v>414</v>
    <v>415</v>
    <v>416</v>
    <v>417</v>
    <v>418</v>
    <v>Lebanon</v>
    <v>National Anthem of Lebanon</v>
    <v>419</v>
    <v>République libanaise</v>
    <v>420</v>
    <v>421</v>
    <v>422</v>
    <v>423</v>
    <v>424</v>
    <v>425</v>
    <v>426</v>
    <v>427</v>
    <v>428</v>
    <v>429</v>
    <v>430</v>
    <v>437</v>
    <v>438</v>
    <v>439</v>
    <v>440</v>
    <v>441</v>
    <v>Lebanon</v>
    <v>442</v>
    <v>mdp/vdpid/139</v>
  </rv>
  <rv s="0">
    <v>536870912</v>
    <v>Bangladesh</v>
    <v>c5fa012f-7347-0857-872b-2a5efc180846</v>
    <v>en-US</v>
    <v>Map</v>
  </rv>
  <rv s="1">
    <fb>0.70632326656967803</fb>
    <v>23</v>
  </rv>
  <rv s="1">
    <fb>147570</fb>
    <v>24</v>
  </rv>
  <rv s="1">
    <fb>221000</fb>
    <v>24</v>
  </rv>
  <rv s="1">
    <fb>18.184000000000001</fb>
    <v>25</v>
  </rv>
  <rv s="1">
    <fb>880</fb>
    <v>26</v>
  </rv>
  <rv s="0">
    <v>536870912</v>
    <v>Dhaka</v>
    <v>1052f933-5988-4433-c3d9-2f3435647afa</v>
    <v>en-US</v>
    <v>Map</v>
  </rv>
  <rv s="1">
    <fb>84245.657999999996</fb>
    <v>24</v>
  </rv>
  <rv s="1">
    <fb>179.67982174704801</fb>
    <v>27</v>
  </rv>
  <rv s="1">
    <fb>5.5919963993063301E-2</fb>
    <v>23</v>
  </rv>
  <rv s="1">
    <fb>320.20415820544599</fb>
    <v>24</v>
  </rv>
  <rv s="1">
    <fb>2.036</fb>
    <v>25</v>
  </rv>
  <rv s="1">
    <fb>0.109579782162869</fb>
    <v>23</v>
  </rv>
  <rv s="1">
    <fb>73.768937945008602</fb>
    <v>28</v>
  </rv>
  <rv s="1">
    <fb>1.1200000000000001</fb>
    <v>29</v>
  </rv>
  <rv s="1">
    <fb>302571254131.13501</fb>
    <v>30</v>
  </rv>
  <rv s="1">
    <fb>1.1646634</fb>
    <v>23</v>
  </rv>
  <rv s="1">
    <fb>0.20565069999999999</fb>
    <v>23</v>
  </rv>
  <rv s="1">
    <fb>25.1</fb>
    <v>28</v>
  </rv>
  <rv s="0">
    <v>805306368</v>
    <v>Mohammed Shahabuddin (President)</v>
    <v>81863085-8a84-bee4-9846-5f6416f69608</v>
    <v>en-US</v>
    <v>Generic</v>
  </rv>
  <rv s="0">
    <v>805306368</v>
    <v>Syed Refaat Ahmed (Chief justice)</v>
    <v>47596499-4372-eb81-1c57-855d1489d91c</v>
    <v>en-US</v>
    <v>Generic</v>
  </rv>
  <rv s="3">
    <v>27</v>
  </rv>
  <rv s="4">
    <v>https://www.bing.com/search?q=bangladesh&amp;form=skydnc</v>
    <v>Learn more on Bing</v>
  </rv>
  <rv s="1">
    <fb>72.319999999999993</fb>
    <v>28</v>
  </rv>
  <rv s="1">
    <fb>77390500000</fb>
    <v>30</v>
  </rv>
  <rv s="1">
    <fb>173</fb>
    <v>28</v>
  </rv>
  <rv s="1">
    <fb>0.51</fb>
    <v>29</v>
  </rv>
  <rv s="3">
    <v>28</v>
  </rv>
  <rv s="1">
    <fb>0.71816336719999996</fb>
    <v>23</v>
  </rv>
  <rv s="1">
    <fb>0.58089999999999997</fb>
    <v>25</v>
  </rv>
  <rv s="1">
    <fb>171186372</fb>
    <v>24</v>
  </rv>
  <rv s="1">
    <fb>0.214</fb>
    <v>23</v>
  </rv>
  <rv s="1">
    <fb>0.26800000000000002</fb>
    <v>23</v>
  </rv>
  <rv s="1">
    <fb>0.41399999999999998</fb>
    <v>23</v>
  </rv>
  <rv s="1">
    <fb>3.7000000000000005E-2</fb>
    <v>23</v>
  </rv>
  <rv s="1">
    <fb>8.5999999999999993E-2</fb>
    <v>23</v>
  </rv>
  <rv s="1">
    <fb>0.124</fb>
    <v>23</v>
  </rv>
  <rv s="1">
    <fb>0.161</fb>
    <v>23</v>
  </rv>
  <rv s="1">
    <fb>0.58993000030517595</fb>
    <v>23</v>
  </rv>
  <rv s="0">
    <v>536870912</v>
    <v>Barisal Division</v>
    <v>43584efe-2ddf-e5bc-52eb-b8751204a21f</v>
    <v>en-US</v>
    <v>Map</v>
  </rv>
  <rv s="0">
    <v>536870912</v>
    <v>Chittagong Division</v>
    <v>ab343ce3-a920-bd96-4d55-5e1805a83766</v>
    <v>en-US</v>
    <v>Map</v>
  </rv>
  <rv s="0">
    <v>536870912</v>
    <v>Dhaka Division</v>
    <v>31821045-9519-4206-56bc-2eb01fb6c71d</v>
    <v>en-US</v>
    <v>Map</v>
  </rv>
  <rv s="0">
    <v>536870912</v>
    <v>Khulna Division</v>
    <v>91466b95-10c0-e30b-bbf1-e01564c351b9</v>
    <v>en-US</v>
    <v>Map</v>
  </rv>
  <rv s="0">
    <v>536870912</v>
    <v>Rajshahi Division</v>
    <v>6f0455a3-b5ec-6b6f-0928-3986232961a4</v>
    <v>en-US</v>
    <v>Map</v>
  </rv>
  <rv s="0">
    <v>536870912</v>
    <v>Sylhet Division</v>
    <v>4a31f1b4-b678-5cbd-607c-39d79576b18d</v>
    <v>en-US</v>
    <v>Map</v>
  </rv>
  <rv s="0">
    <v>536870912</v>
    <v>Rangpur Division</v>
    <v>57cd882a-c5de-439c-3c97-9b97d81cfb7e</v>
    <v>en-US</v>
    <v>Map</v>
  </rv>
  <rv s="0">
    <v>536870912</v>
    <v>Mymensingh Division</v>
    <v>f1980674-ef33-451b-9ec0-a7b694dad827</v>
    <v>en-US</v>
    <v>Map</v>
  </rv>
  <rv s="3">
    <v>29</v>
  </rv>
  <rv s="1">
    <fb>8.7650276516234193E-2</fb>
    <v>23</v>
  </rv>
  <rv s="3">
    <v>30</v>
  </rv>
  <rv s="1">
    <fb>0.33399999999999996</fb>
    <v>23</v>
  </rv>
  <rv s="1">
    <fb>4.1900000572204596E-2</fb>
    <v>31</v>
  </rv>
  <rv s="1">
    <fb>60987417</fb>
    <v>24</v>
  </rv>
  <rv s="6">
    <v>#VALUE!</v>
    <v>en-US</v>
    <v>c5fa012f-7347-0857-872b-2a5efc180846</v>
    <v>536870912</v>
    <v>1</v>
    <v>75</v>
    <v>38</v>
    <v>Bangladesh</v>
    <v>19</v>
    <v>20</v>
    <v>Map</v>
    <v>21</v>
    <v>76</v>
    <v>BD</v>
    <v>445</v>
    <v>446</v>
    <v>447</v>
    <v>448</v>
    <v>449</v>
    <v>450</v>
    <v>451</v>
    <v>452</v>
    <v>453</v>
    <v>BDT</v>
    <v>Bangladesh, officially the People's Republic of Bangladesh, is a country in South Asia. It is the eighth-most populous country in the world and among the most densely populated with a population exceeding 170 million within an area of 147,570 ...</v>
    <v>454</v>
    <v>455</v>
    <v>456</v>
    <v>457</v>
    <v>458</v>
    <v>459</v>
    <v>460</v>
    <v>461</v>
    <v>18</v>
    <v>462</v>
    <v>450</v>
    <v>465</v>
    <v>466</v>
    <v>467</v>
    <v>468</v>
    <v>469</v>
    <v>470</v>
    <v>Bangladesh</v>
    <v>Amar Sonar Bangla</v>
    <v>471</v>
    <v>গণপ্রজাতন্ত্রী বাংলাদেশ</v>
    <v>472</v>
    <v>473</v>
    <v>474</v>
    <v>475</v>
    <v>476</v>
    <v>477</v>
    <v>478</v>
    <v>479</v>
    <v>480</v>
    <v>481</v>
    <v>482</v>
    <v>491</v>
    <v>492</v>
    <v>493</v>
    <v>494</v>
    <v>495</v>
    <v>Bangladesh</v>
    <v>496</v>
    <v>mdp/vdpid/23</v>
  </rv>
  <rv s="0">
    <v>536870912</v>
    <v>Myanmar</v>
    <v>403039e1-0344-6b36-8fb6-123e2767192e</v>
    <v>en-US</v>
    <v>Map</v>
  </rv>
  <rv s="1">
    <fb>0.19538188277086999</fb>
    <v>23</v>
  </rv>
  <rv s="1">
    <fb>676577.2</fb>
    <v>24</v>
  </rv>
  <rv s="1">
    <fb>513000</fb>
    <v>24</v>
  </rv>
  <rv s="1">
    <fb>17.552</fb>
    <v>25</v>
  </rv>
  <rv s="1">
    <fb>95</fb>
    <v>26</v>
  </rv>
  <rv s="0">
    <v>536870912</v>
    <v>Naypyidaw</v>
    <v>df9278da-189d-76cf-6686-5d6e12deb605</v>
    <v>en-US</v>
    <v>Map</v>
  </rv>
  <rv s="1">
    <fb>25280.297999999999</fb>
    <v>24</v>
  </rv>
  <rv s="1">
    <fb>168.18270065936699</fb>
    <v>27</v>
  </rv>
  <rv s="1">
    <fb>8.8250669680456195E-2</fb>
    <v>23</v>
  </rv>
  <rv s="1">
    <fb>215.29889544359901</fb>
    <v>24</v>
  </rv>
  <rv s="1">
    <fb>2.1539999999999999</fb>
    <v>25</v>
  </rv>
  <rv s="1">
    <fb>0.43631101257694299</fb>
    <v>23</v>
  </rv>
  <rv s="1">
    <fb>44.2898952399838</fb>
    <v>28</v>
  </rv>
  <rv s="1">
    <fb>76085852617.1371</fb>
    <v>30</v>
  </rv>
  <rv s="1">
    <fb>1.1230666999999999</fb>
    <v>23</v>
  </rv>
  <rv s="1">
    <fb>0.1881594</fb>
    <v>23</v>
  </rv>
  <rv s="1">
    <fb>36.799999999999997</fb>
    <v>28</v>
  </rv>
  <rv s="0">
    <v>536870912</v>
    <v>Yangon</v>
    <v>4e695ae0-edc6-6c76-7ab3-29aac71540d2</v>
    <v>en-US</v>
    <v>Map</v>
  </rv>
  <rv s="0">
    <v>805306368</v>
    <v>Min Aung Hlaing (President)</v>
    <v>e7a53bf8-cc3a-4416-9e73-c6d65f1c755c</v>
    <v>en-US</v>
    <v>Generic</v>
  </rv>
  <rv s="0">
    <v>805306368</v>
    <v>Min Aung Hlaing (Chairman)</v>
    <v>e7a53bf8-cc3a-4416-9e73-c6d65f1c755c</v>
    <v>en-US</v>
    <v>Generic</v>
  </rv>
  <rv s="0">
    <v>805306368</v>
    <v>Min Aung Hlaing (Prime minister)</v>
    <v>e7a53bf8-cc3a-4416-9e73-c6d65f1c755c</v>
    <v>en-US</v>
    <v>Generic</v>
  </rv>
  <rv s="0">
    <v>805306368</v>
    <v>Soe Win (Deputy prime minister)</v>
    <v>82978d9c-d0ee-3489-8a33-63a6c4a9da25</v>
    <v>en-US</v>
    <v>Generic</v>
  </rv>
  <rv s="3">
    <v>31</v>
  </rv>
  <rv s="4">
    <v>https://www.bing.com/search?q=burma&amp;form=skydnc</v>
    <v>Learn more on Bing</v>
  </rv>
  <rv s="1">
    <fb>66.867000000000004</fb>
    <v>28</v>
  </rv>
  <rv s="1">
    <fb>250</fb>
    <v>28</v>
  </rv>
  <rv s="1">
    <fb>0.39</fb>
    <v>29</v>
  </rv>
  <rv s="3">
    <v>32</v>
  </rv>
  <rv s="1">
    <fb>0.73910675850000007</fb>
    <v>23</v>
  </rv>
  <rv s="1">
    <fb>0.67700000000000005</fb>
    <v>25</v>
  </rv>
  <rv s="1">
    <fb>54179306</fb>
    <v>24</v>
  </rv>
  <rv s="1">
    <fb>0.255</fb>
    <v>23</v>
  </rv>
  <rv s="1">
    <fb>0.39899999999999997</fb>
    <v>23</v>
  </rv>
  <rv s="1">
    <fb>3.7999999999999999E-2</fb>
    <v>23</v>
  </rv>
  <rv s="1">
    <fb>0.13</fb>
    <v>23</v>
  </rv>
  <rv s="1">
    <fb>0.16600000000000001</fb>
    <v>23</v>
  </rv>
  <rv s="1">
    <fb>0.61665000915527302</fb>
    <v>23</v>
  </rv>
  <rv s="0">
    <v>536870912</v>
    <v>Rakhine State</v>
    <v>7f5cf9bf-6a7d-34cf-56b9-977c5d2c4c28</v>
    <v>en-US</v>
    <v>Map</v>
  </rv>
  <rv s="0">
    <v>536870912</v>
    <v>Chin State</v>
    <v>8767daf8-6c44-f4eb-6952-b31b3116dfdc</v>
    <v>en-US</v>
    <v>Map</v>
  </rv>
  <rv s="0">
    <v>536870912</v>
    <v>Kachin State</v>
    <v>b37f2071-79b3-08c2-84ff-b5d2f7a84b50</v>
    <v>en-US</v>
    <v>Map</v>
  </rv>
  <rv s="0">
    <v>536870912</v>
    <v>Shan State</v>
    <v>e156690a-20dc-8fec-2221-6b900a5faac3</v>
    <v>en-US</v>
    <v>Map</v>
  </rv>
  <rv s="0">
    <v>536870912</v>
    <v>Kayah State</v>
    <v>7e558f70-1a57-2f54-267a-0b2f5e276566</v>
    <v>en-US</v>
    <v>Map</v>
  </rv>
  <rv s="0">
    <v>536870912</v>
    <v>Kayin State</v>
    <v>0b0aceeb-7d5a-c7fb-2fd9-223daff2915f</v>
    <v>en-US</v>
    <v>Map</v>
  </rv>
  <rv s="0">
    <v>536870912</v>
    <v>Mon State</v>
    <v>f2e9fbb5-4623-ba3a-a364-d55ba46d5f89</v>
    <v>en-US</v>
    <v>Map</v>
  </rv>
  <rv s="0">
    <v>536870912</v>
    <v>Sagaing Region</v>
    <v>e45333f7-2673-3131-0573-3d3292d7d372</v>
    <v>en-US</v>
    <v>Map</v>
  </rv>
  <rv s="0">
    <v>536870912</v>
    <v>Tanintharyi Region</v>
    <v>4ad2bbb0-a1cf-5faa-71c3-9006b452138c</v>
    <v>en-US</v>
    <v>Map</v>
  </rv>
  <rv s="0">
    <v>536870912</v>
    <v>Ayeyarwady Region</v>
    <v>79fa91fb-1f1a-bedf-d43c-719505f21579</v>
    <v>en-US</v>
    <v>Map</v>
  </rv>
  <rv s="0">
    <v>536870912</v>
    <v>Yangon Region</v>
    <v>fd1c9c78-e8ec-f259-baa1-fa7f54d9953d</v>
    <v>en-US</v>
    <v>Map</v>
  </rv>
  <rv s="0">
    <v>536870912</v>
    <v>Bago Region</v>
    <v>a8109f5a-d15c-fc8e-df32-b9b9720cb90b</v>
    <v>en-US</v>
    <v>Map</v>
  </rv>
  <rv s="0">
    <v>536870912</v>
    <v>Magway Region</v>
    <v>863af825-4d0c-a30c-0216-cfb5e4c37073</v>
    <v>en-US</v>
    <v>Map</v>
  </rv>
  <rv s="0">
    <v>536870912</v>
    <v>Mandalay Region</v>
    <v>efcc164d-4675-ecd6-872f-210989854d60</v>
    <v>en-US</v>
    <v>Map</v>
  </rv>
  <rv s="0">
    <v>536870912</v>
    <v>Naypyidaw Union Territory</v>
    <v>6e3c6c16-bfed-4b3f-909a-af9490096dc2</v>
    <v>en-US</v>
    <v>Map</v>
  </rv>
  <rv s="3">
    <v>33</v>
  </rv>
  <rv s="1">
    <fb>5.36699529080766E-2</fb>
    <v>23</v>
  </rv>
  <rv s="3">
    <v>34</v>
  </rv>
  <rv s="1">
    <fb>0.312</fb>
    <v>23</v>
  </rv>
  <rv s="1">
    <fb>1.57700002193451E-2</fb>
    <v>31</v>
  </rv>
  <rv s="1">
    <fb>16674093</fb>
    <v>24</v>
  </rv>
  <rv s="8">
    <v>#VALUE!</v>
    <v>en-US</v>
    <v>403039e1-0344-6b36-8fb6-123e2767192e</v>
    <v>536870912</v>
    <v>1</v>
    <v>81</v>
    <v>82</v>
    <v>Myanmar</v>
    <v>19</v>
    <v>20</v>
    <v>Map</v>
    <v>21</v>
    <v>83</v>
    <v>MM</v>
    <v>499</v>
    <v>500</v>
    <v>501</v>
    <v>502</v>
    <v>503</v>
    <v>504</v>
    <v>505</v>
    <v>506</v>
    <v>507</v>
    <v>MMK</v>
    <v>Myanmar, officially the Republic of the Union of Myanmar and also rendered as Burma, is a country in northwest Southeast Asia. It is the largest country by area in Mainland Southeast Asia and has a population of about 55 million. It is bordered ...</v>
    <v>508</v>
    <v>509</v>
    <v>510</v>
    <v>511</v>
    <v>131</v>
    <v>512</v>
    <v>513</v>
    <v>514</v>
    <v>18</v>
    <v>515</v>
    <v>516</v>
    <v>521</v>
    <v>522</v>
    <v>523</v>
    <v>524</v>
    <v>525</v>
    <v>Myanmar</v>
    <v>Kaba Ma Kyei</v>
    <v>526</v>
    <v>Republic of the Union of Myanmar</v>
    <v>527</v>
    <v>528</v>
    <v>529</v>
    <v>136</v>
    <v>530</v>
    <v>531</v>
    <v>532</v>
    <v>84</v>
    <v>533</v>
    <v>534</v>
    <v>535</v>
    <v>551</v>
    <v>552</v>
    <v>553</v>
    <v>554</v>
    <v>555</v>
    <v>Myanmar</v>
    <v>556</v>
    <v>mdp/vdpid/27</v>
  </rv>
  <rv s="0">
    <v>536870912</v>
    <v>Liberia</v>
    <v>95192591-973c-cf6a-417a-9b3fa9907caa</v>
    <v>en-US</v>
    <v>Map</v>
  </rv>
  <rv s="1">
    <fb>0.28031561461793997</fb>
    <v>23</v>
  </rv>
  <rv s="1">
    <fb>111369</fb>
    <v>24</v>
  </rv>
  <rv s="1">
    <fb>2000</fb>
    <v>24</v>
  </rv>
  <rv s="1">
    <fb>33.042000000000002</fb>
    <v>25</v>
  </rv>
  <rv s="1">
    <fb>231</fb>
    <v>26</v>
  </rv>
  <rv s="0">
    <v>536870912</v>
    <v>Monrovia</v>
    <v>ef4ff957-4fe8-883f-eb4e-51b097bb1cd9</v>
    <v>en-US</v>
    <v>Map</v>
  </rv>
  <rv s="1">
    <fb>1386.126</fb>
    <v>24</v>
  </rv>
  <rv s="1">
    <fb>223.12978802062801</fb>
    <v>27</v>
  </rv>
  <rv s="1">
    <fb>0.23563514895374202</fb>
    <v>23</v>
  </rv>
  <rv s="1">
    <fb>4.3150000000000004</fb>
    <v>25</v>
  </rv>
  <rv s="1">
    <fb>0.43075166112956803</fb>
    <v>23</v>
  </rv>
  <rv s="1">
    <fb>0.8</fb>
    <v>29</v>
  </rv>
  <rv s="1">
    <fb>3070518100</fb>
    <v>30</v>
  </rv>
  <rv s="1">
    <fb>0.85109190000000001</fb>
    <v>23</v>
  </rv>
  <rv s="1">
    <fb>0.11922530000000001</fb>
    <v>23</v>
  </rv>
  <rv s="1">
    <fb>53.5</fb>
    <v>28</v>
  </rv>
  <rv s="0">
    <v>805306368</v>
    <v>Joseph Boakai (President)</v>
    <v>41852ea0-d977-c68e-2a17-e7de4012a02c</v>
    <v>en-US</v>
    <v>Generic</v>
  </rv>
  <rv s="0">
    <v>805306368</v>
    <v>Jeremiah Koung (Vice president)</v>
    <v>38158556-2122-a551-5444-4f1e0ed0d906</v>
    <v>en-US</v>
    <v>Generic</v>
  </rv>
  <rv s="0">
    <v>805306368</v>
    <v>Jonathan F. Koffa (Speaker)</v>
    <v>4953a640-eb89-7ad9-cb64-e8f71ec811ca</v>
    <v>en-US</v>
    <v>Generic</v>
  </rv>
  <rv s="0">
    <v>805306368</v>
    <v>Sie-A-Nyene Yuoh (Chief justice)</v>
    <v>1949a044-b028-9be8-8288-d4778a0181c0</v>
    <v>en-US</v>
    <v>Generic</v>
  </rv>
  <rv s="3">
    <v>35</v>
  </rv>
  <rv s="4">
    <v>https://www.bing.com/search?q=liberia&amp;form=skydnc</v>
    <v>Learn more on Bing</v>
  </rv>
  <rv s="1">
    <fb>63.73</fb>
    <v>28</v>
  </rv>
  <rv s="1">
    <fb>661</fb>
    <v>28</v>
  </rv>
  <rv s="1">
    <fb>0.17</fb>
    <v>29</v>
  </rv>
  <rv s="3">
    <v>36</v>
  </rv>
  <rv s="1">
    <fb>0.1963532674</fb>
    <v>23</v>
  </rv>
  <rv s="1">
    <fb>3.73E-2</fb>
    <v>25</v>
  </rv>
  <rv s="1">
    <fb>5302681</fb>
    <v>24</v>
  </rv>
  <rv s="1">
    <fb>0.223</fb>
    <v>23</v>
  </rv>
  <rv s="1">
    <fb>0.27100000000000002</fb>
    <v>23</v>
  </rv>
  <rv s="1">
    <fb>7.2000000000000008E-2</fb>
    <v>23</v>
  </rv>
  <rv s="1">
    <fb>0.11599999999999999</fb>
    <v>23</v>
  </rv>
  <rv s="1">
    <fb>0.16</fb>
    <v>23</v>
  </rv>
  <rv s="1">
    <fb>0.7631500244140631</fb>
    <v>23</v>
  </rv>
  <rv s="0">
    <v>536870912</v>
    <v>Bomi County</v>
    <v>213c11f5-5f82-2d59-c2f6-5563efe6fe51</v>
    <v>en-US</v>
    <v>Map</v>
  </rv>
  <rv s="0">
    <v>536870912</v>
    <v>Bong County</v>
    <v>b21e8ba9-2afb-7122-75a1-18f259487975</v>
    <v>en-US</v>
    <v>Map</v>
  </rv>
  <rv s="0">
    <v>536870912</v>
    <v>Gbarpolu County</v>
    <v>fe1f8697-3001-e4ee-07df-84b02073269a</v>
    <v>en-US</v>
    <v>Map</v>
  </rv>
  <rv s="0">
    <v>536870912</v>
    <v>Grand Bassa County</v>
    <v>a8135369-20e8-e5a6-9b50-2994ccbb934c</v>
    <v>en-US</v>
    <v>Map</v>
  </rv>
  <rv s="0">
    <v>536870912</v>
    <v>Grand Cape Mount County</v>
    <v>05ada0f3-8ec3-ba70-cc61-eaf4375c0dab</v>
    <v>en-US</v>
    <v>Map</v>
  </rv>
  <rv s="0">
    <v>536870912</v>
    <v>Grand Gedeh County</v>
    <v>cc14e117-c801-17cc-9ea5-f9a88daf4f82</v>
    <v>en-US</v>
    <v>Map</v>
  </rv>
  <rv s="0">
    <v>536870912</v>
    <v>Grand Kru County</v>
    <v>075eee02-1783-4e13-39cc-95fa317b23e0</v>
    <v>en-US</v>
    <v>Map</v>
  </rv>
  <rv s="0">
    <v>536870912</v>
    <v>Lofa County</v>
    <v>5a2741e4-9127-a0d3-3eba-cdae90710607</v>
    <v>en-US</v>
    <v>Map</v>
  </rv>
  <rv s="0">
    <v>536870912</v>
    <v>Margibi County</v>
    <v>be0abe4e-f4a0-77e4-bbb3-6b8f861c4e3e</v>
    <v>en-US</v>
    <v>Map</v>
  </rv>
  <rv s="0">
    <v>536870912</v>
    <v>Maryland County</v>
    <v>f897806e-0dc2-2b4c-8e40-6f137a38f53c</v>
    <v>en-US</v>
    <v>Map</v>
  </rv>
  <rv s="0">
    <v>536870912</v>
    <v>Montserrado County</v>
    <v>21440288-266a-669b-ecc4-cfd55860d830</v>
    <v>en-US</v>
    <v>Map</v>
  </rv>
  <rv s="0">
    <v>536870912</v>
    <v>Nimba County</v>
    <v>61a49794-53d2-0a79-06f5-6c82de1c59dc</v>
    <v>en-US</v>
    <v>Map</v>
  </rv>
  <rv s="0">
    <v>536870912</v>
    <v>Rivercess County</v>
    <v>5b0405c8-9c4b-5652-de78-0913953487ee</v>
    <v>en-US</v>
    <v>Map</v>
  </rv>
  <rv s="0">
    <v>536870912</v>
    <v>River Gee County</v>
    <v>6c16b75b-39eb-259c-fc86-b1bd3c6e235e</v>
    <v>en-US</v>
    <v>Map</v>
  </rv>
  <rv s="0">
    <v>536870912</v>
    <v>Sinoe County</v>
    <v>706fd40f-95de-c3f5-cce3-67c1caef8e7a</v>
    <v>en-US</v>
    <v>Map</v>
  </rv>
  <rv s="3">
    <v>37</v>
  </rv>
  <rv s="1">
    <fb>0.12909168787088401</fb>
    <v>23</v>
  </rv>
  <rv s="3">
    <v>38</v>
  </rv>
  <rv s="1">
    <fb>0.46200000000000002</fb>
    <v>23</v>
  </rv>
  <rv s="1">
    <fb>2.8139998912811302E-2</fb>
    <v>31</v>
  </rv>
  <rv s="1">
    <fb>2548426</fb>
    <v>24</v>
  </rv>
  <rv s="9">
    <v>#VALUE!</v>
    <v>en-US</v>
    <v>95192591-973c-cf6a-417a-9b3fa9907caa</v>
    <v>536870912</v>
    <v>1</v>
    <v>88</v>
    <v>89</v>
    <v>Liberia</v>
    <v>19</v>
    <v>20</v>
    <v>Map</v>
    <v>21</v>
    <v>90</v>
    <v>LR</v>
    <v>559</v>
    <v>560</v>
    <v>561</v>
    <v>562</v>
    <v>563</v>
    <v>564</v>
    <v>565</v>
    <v>566</v>
    <v>567</v>
    <v>LRD</v>
    <v>Liberia, officially the Republic of Liberia, is a country on the West African coast. It is bordered by Sierra Leone to its northwest, Guinea to its north, Ivory Coast to its east, and the Atlantic Ocean to its south and southwest. It has a ...</v>
    <v>568</v>
    <v>569</v>
    <v>570</v>
    <v>571</v>
    <v>572</v>
    <v>573</v>
    <v>18</v>
    <v>574</v>
    <v>564</v>
    <v>579</v>
    <v>580</v>
    <v>581</v>
    <v>582</v>
    <v>583</v>
    <v>Liberia</v>
    <v>All Hail, Liberia, Hail!</v>
    <v>584</v>
    <v>Repubblica di Libèria</v>
    <v>585</v>
    <v>586</v>
    <v>587</v>
    <v>588</v>
    <v>589</v>
    <v>82</v>
    <v>222</v>
    <v>590</v>
    <v>591</v>
    <v>592</v>
    <v>593</v>
    <v>609</v>
    <v>610</v>
    <v>611</v>
    <v>612</v>
    <v>613</v>
    <v>Liberia</v>
    <v>614</v>
    <v>mdp/vdpid/142</v>
  </rv>
  <rv s="0">
    <v>536870912</v>
    <v>Kosovo</v>
    <v>e8c61c62-a327-1fd5-24aa-30b830695e65</v>
    <v>en-US</v>
    <v>Map</v>
  </rv>
  <rv s="1">
    <fb>10909.029920000001</fb>
    <v>24</v>
  </rv>
  <rv s="1">
    <fb>383</fb>
    <v>26</v>
  </rv>
  <rv s="0">
    <v>536870912</v>
    <v>ᵃ</v>
    <v>48d659de-27c5-b594-66a5-ca68d542464c</v>
    <v>en-US</v>
    <v>Map</v>
  </rv>
  <rv s="1">
    <fb>6959638874</fb>
    <v>30</v>
  </rv>
  <rv s="0">
    <v>536870912</v>
    <v>Pristina</v>
    <v>d4576ad7-c326-5312-0fa8-d5e86cf099d8</v>
    <v>en-US</v>
    <v>Map</v>
  </rv>
  <rv s="0">
    <v>805306368</v>
    <v>Vjosa Osmani (President)</v>
    <v>b383cc04-448a-a195-5945-2ecde0078413</v>
    <v>en-US</v>
    <v>Generic</v>
  </rv>
  <rv s="0">
    <v>805306368</v>
    <v>Albin Kurti (Prime minister)</v>
    <v>993ad0be-94e2-9cb1-bd8d-b2778503a963</v>
    <v>en-US</v>
    <v>Generic</v>
  </rv>
  <rv s="3">
    <v>39</v>
  </rv>
  <rv s="4">
    <v>https://www.bing.com/search?q=kosovo&amp;form=skydnc</v>
    <v>Learn more on Bing</v>
  </rv>
  <rv s="1">
    <fb>1.1100000000000001</fb>
    <v>29</v>
  </rv>
  <rv s="3">
    <v>40</v>
  </rv>
  <rv s="1">
    <fb>1586659</fb>
    <v>24</v>
  </rv>
  <rv s="0">
    <v>536870912</v>
    <v>District of Prizren</v>
    <v>bd332aed-1a0c-c1dd-5ae3-a0f09b3a5de3</v>
    <v>en-US</v>
    <v>Map</v>
  </rv>
  <rv s="0">
    <v>536870912</v>
    <v>District of Gjilan</v>
    <v>90c2ed95-261e-28b7-6e2a-e60a0edffa69</v>
    <v>en-US</v>
    <v>Map</v>
  </rv>
  <rv s="0">
    <v>536870912</v>
    <v>District of Mitrovica</v>
    <v>da8361f6-3f20-2f45-e35f-b3ec75d61d34</v>
    <v>en-US</v>
    <v>Map</v>
  </rv>
  <rv s="0">
    <v>536870912</v>
    <v>District of Pristina</v>
    <v>c76f263e-78e5-e43c-51b3-529c1fdcfffa</v>
    <v>en-US</v>
    <v>Map</v>
  </rv>
  <rv s="0">
    <v>536870912</v>
    <v>District of Peja</v>
    <v>f1047206-5921-927f-d59f-91bdf980d45e</v>
    <v>en-US</v>
    <v>Map</v>
  </rv>
  <rv s="0">
    <v>536870912</v>
    <v>District of Gjakova</v>
    <v>d8a256df-b8ad-98c7-37ee-ddbd232a5696</v>
    <v>en-US</v>
    <v>Map</v>
  </rv>
  <rv s="0">
    <v>536870912</v>
    <v>District of Ferizaj</v>
    <v>a0e76f79-34fe-2450-e012-853d3764b968</v>
    <v>en-US</v>
    <v>Map</v>
  </rv>
  <rv s="3">
    <v>41</v>
  </rv>
  <rv s="3">
    <v>42</v>
  </rv>
  <rv s="10">
    <v>#VALUE!</v>
    <v>en-US</v>
    <v>e8c61c62-a327-1fd5-24aa-30b830695e65</v>
    <v>536870912</v>
    <v>1</v>
    <v>93</v>
    <v>94</v>
    <v>Kosovo</v>
    <v>19</v>
    <v>20</v>
    <v>Map</v>
    <v>21</v>
    <v>95</v>
    <v>617</v>
    <v>618</v>
    <v>619</v>
    <v>EUR</v>
    <v>Kosovo, officially the Republic of Kosovo, is a landlocked country in Southeast Europe with partial diplomatic recognition. It is bordered by Albania to the southwest, Montenegro to the west, Serbia to the north and east, and North Macedonia to ...</v>
    <v>620</v>
    <v>18</v>
    <v>621</v>
    <v>624</v>
    <v>625</v>
    <v>626</v>
    <v>Kosovo</v>
    <v>Anthem of the Republic of Kosovo</v>
    <v>627</v>
    <v>Republika e Kosovës</v>
    <v>628</v>
    <v>636</v>
    <v>637</v>
    <v>Kosovo</v>
    <v>mdp/vdpid/9914689</v>
  </rv>
  <rv s="0">
    <v>536870912</v>
    <v>Guatemala</v>
    <v>3d01de6a-8ed9-25cb-a652-cd408b2f3daf</v>
    <v>en-US</v>
    <v>Map</v>
  </rv>
  <rv s="1">
    <fb>0.35983575961179498</fb>
    <v>23</v>
  </rv>
  <rv s="1">
    <fb>108889</fb>
    <v>24</v>
  </rv>
  <rv s="1">
    <fb>43000</fb>
    <v>24</v>
  </rv>
  <rv s="1">
    <fb>24.561</fb>
    <v>25</v>
  </rv>
  <rv s="1">
    <fb>502</fb>
    <v>26</v>
  </rv>
  <rv s="0">
    <v>536870912</v>
    <v>Guatemala City</v>
    <v>e595416a-1039-c34c-75ac-9ed87ae194b0</v>
    <v>en-US</v>
    <v>Map</v>
  </rv>
  <rv s="1">
    <fb>16776.525000000001</fb>
    <v>24</v>
  </rv>
  <rv s="1">
    <fb>142.921394880398</fb>
    <v>27</v>
  </rv>
  <rv s="1">
    <fb>3.69998398008601E-2</fb>
    <v>23</v>
  </rv>
  <rv s="1">
    <fb>577.897354201025</fb>
    <v>24</v>
  </rv>
  <rv s="1">
    <fb>2.87</fb>
    <v>25</v>
  </rv>
  <rv s="1">
    <fb>0.32695036372305403</fb>
    <v>23</v>
  </rv>
  <rv s="1">
    <fb>37.378596963442199</fb>
    <v>28</v>
  </rv>
  <rv s="1">
    <fb>76710385879.662704</fb>
    <v>30</v>
  </rv>
  <rv s="1">
    <fb>1.0190261999999999</fb>
    <v>23</v>
  </rv>
  <rv s="1">
    <fb>0.2178329</fb>
    <v>23</v>
  </rv>
  <rv s="1">
    <fb>22.1</fb>
    <v>28</v>
  </rv>
  <rv s="0">
    <v>805306368</v>
    <v>Bernardo Arévalo (President)</v>
    <v>c2c1360c-29d1-67d6-e0f9-970455468a7c</v>
    <v>en-US</v>
    <v>Generic</v>
  </rv>
  <rv s="0">
    <v>805306368</v>
    <v>Karin Herrera (Vice president)</v>
    <v>a5c52e4b-f5c7-0673-7166-7aa516a307d9</v>
    <v>en-US</v>
    <v>Generic</v>
  </rv>
  <rv s="3">
    <v>43</v>
  </rv>
  <rv s="4">
    <v>https://www.bing.com/search?q=guatemala&amp;form=skydnc</v>
    <v>Learn more on Bing</v>
  </rv>
  <rv s="1">
    <fb>74.063000000000002</fb>
    <v>28</v>
  </rv>
  <rv s="1">
    <fb>95</fb>
    <v>28</v>
  </rv>
  <rv s="1">
    <fb>1.6</fb>
    <v>29</v>
  </rv>
  <rv s="3">
    <v>44</v>
  </rv>
  <rv s="1">
    <fb>0.5576571736</fb>
    <v>23</v>
  </rv>
  <rv s="1">
    <fb>0.35489999999999999</fb>
    <v>25</v>
  </rv>
  <rv s="1">
    <fb>17357886</fb>
    <v>24</v>
  </rv>
  <rv s="1">
    <fb>0.20100000000000001</fb>
    <v>23</v>
  </rv>
  <rv s="1">
    <fb>0.38100000000000001</fb>
    <v>23</v>
  </rv>
  <rv s="1">
    <fb>0.53600000000000003</fb>
    <v>23</v>
  </rv>
  <rv s="1">
    <fb>1.7000000000000001E-2</fb>
    <v>23</v>
  </rv>
  <rv s="1">
    <fb>4.4999999999999998E-2</fb>
    <v>23</v>
  </rv>
  <rv s="1">
    <fb>0.13200000000000001</fb>
    <v>23</v>
  </rv>
  <rv s="1">
    <fb>0.62349998474121104</fb>
    <v>23</v>
  </rv>
  <rv s="0">
    <v>536870912</v>
    <v>Alta Verapaz Department</v>
    <v>381e3e42-7a15-a354-6dad-f74a02232a41</v>
    <v>en-US</v>
    <v>Map</v>
  </rv>
  <rv s="0">
    <v>536870912</v>
    <v>Baja Verapaz Department</v>
    <v>bca3ec95-4821-ade2-b0fc-b75f833ca51c</v>
    <v>en-US</v>
    <v>Map</v>
  </rv>
  <rv s="0">
    <v>536870912</v>
    <v>Chimaltenango Department</v>
    <v>f1745554-5ae8-ecf1-59fd-6af2aea988c5</v>
    <v>en-US</v>
    <v>Map</v>
  </rv>
  <rv s="0">
    <v>536870912</v>
    <v>Chiquimula Department</v>
    <v>30bc9e99-0043-87fc-8f3b-fb0cef9bf2b4</v>
    <v>en-US</v>
    <v>Map</v>
  </rv>
  <rv s="0">
    <v>536870912</v>
    <v>Petén Department</v>
    <v>8c865c1e-04d4-5790-f140-3438b0dbe8a6</v>
    <v>en-US</v>
    <v>Map</v>
  </rv>
  <rv s="0">
    <v>536870912</v>
    <v>El Progreso Department</v>
    <v>7ff89c33-8b3c-0bd8-77f9-ec7248ec720f</v>
    <v>en-US</v>
    <v>Map</v>
  </rv>
  <rv s="0">
    <v>536870912</v>
    <v>Quiché Department</v>
    <v>eecce26d-daad-373e-55f4-f2740f42f402</v>
    <v>en-US</v>
    <v>Map</v>
  </rv>
  <rv s="0">
    <v>536870912</v>
    <v>Escuintla Department</v>
    <v>abd75e25-b2c9-90ca-4fac-de9b4c5a7cf0</v>
    <v>en-US</v>
    <v>Map</v>
  </rv>
  <rv s="0">
    <v>536870912</v>
    <v>Guatemala Department</v>
    <v>1a31de51-7ef1-3e03-6240-dde1a488e191</v>
    <v>en-US</v>
    <v>Map</v>
  </rv>
  <rv s="0">
    <v>536870912</v>
    <v>Huehuetenango Department</v>
    <v>dc427828-8884-d89b-5e20-9c4db48d9311</v>
    <v>en-US</v>
    <v>Map</v>
  </rv>
  <rv s="0">
    <v>536870912</v>
    <v>Izabal Department</v>
    <v>581acd22-c156-0dd0-2ea5-99fd7da38105</v>
    <v>en-US</v>
    <v>Map</v>
  </rv>
  <rv s="0">
    <v>536870912</v>
    <v>Jalapa Department</v>
    <v>9fa1196a-5717-1cb6-b7c0-d4892a1d4ba8</v>
    <v>en-US</v>
    <v>Map</v>
  </rv>
  <rv s="0">
    <v>536870912</v>
    <v>Jutiapa Department</v>
    <v>6d800b28-dad5-b072-ee37-b3bc5daa8c5e</v>
    <v>en-US</v>
    <v>Map</v>
  </rv>
  <rv s="0">
    <v>536870912</v>
    <v>Quetzaltenango Department</v>
    <v>edf55a6e-f9fe-9c89-7273-2cb88cf661db</v>
    <v>en-US</v>
    <v>Map</v>
  </rv>
  <rv s="0">
    <v>536870912</v>
    <v>Retalhuleu Department</v>
    <v>46dc9f99-5d18-06c3-57f0-f505e44ea577</v>
    <v>en-US</v>
    <v>Map</v>
  </rv>
  <rv s="0">
    <v>536870912</v>
    <v>Sacatepéquez Department</v>
    <v>f55da8fc-713d-49b9-9940-4a56ca5b71ee</v>
    <v>en-US</v>
    <v>Map</v>
  </rv>
  <rv s="0">
    <v>536870912</v>
    <v>San Marcos Department</v>
    <v>44adc098-6846-0dd7-959c-6919902ece12</v>
    <v>en-US</v>
    <v>Map</v>
  </rv>
  <rv s="0">
    <v>536870912</v>
    <v>Santa Rosa Department, Guatemala</v>
    <v>8a56ff9f-689c-51b6-2d01-8c101a4a5a90</v>
    <v>en-US</v>
    <v>Map</v>
  </rv>
  <rv s="0">
    <v>536870912</v>
    <v>Sololá Department</v>
    <v>362640e8-1f00-a696-287f-7e08764c4b97</v>
    <v>en-US</v>
    <v>Map</v>
  </rv>
  <rv s="0">
    <v>536870912</v>
    <v>Suchitepéquez Department</v>
    <v>ee120c09-4352-be58-fb89-611858334f29</v>
    <v>en-US</v>
    <v>Map</v>
  </rv>
  <rv s="0">
    <v>536870912</v>
    <v>Totonicapán Department</v>
    <v>ffdfafdc-be79-3444-f809-ee868b4472da</v>
    <v>en-US</v>
    <v>Map</v>
  </rv>
  <rv s="0">
    <v>536870912</v>
    <v>Zacapa Department</v>
    <v>8a303b4e-cd02-ab4a-5331-66b5ede5f123</v>
    <v>en-US</v>
    <v>Map</v>
  </rv>
  <rv s="3">
    <v>45</v>
  </rv>
  <rv s="1">
    <fb>0.10591263848138499</fb>
    <v>23</v>
  </rv>
  <rv s="3">
    <v>46</v>
  </rv>
  <rv s="1">
    <fb>0.35200000000000004</fb>
    <v>23</v>
  </rv>
  <rv s="1">
    <fb>2.4590001106262197E-2</fb>
    <v>31</v>
  </rv>
  <rv s="1">
    <fb>8540945</fb>
    <v>24</v>
  </rv>
  <rv s="8">
    <v>#VALUE!</v>
    <v>en-US</v>
    <v>3d01de6a-8ed9-25cb-a652-cd408b2f3daf</v>
    <v>536870912</v>
    <v>1</v>
    <v>100</v>
    <v>82</v>
    <v>Guatemala</v>
    <v>19</v>
    <v>20</v>
    <v>Map</v>
    <v>21</v>
    <v>101</v>
    <v>GT</v>
    <v>640</v>
    <v>641</v>
    <v>642</v>
    <v>643</v>
    <v>644</v>
    <v>645</v>
    <v>646</v>
    <v>647</v>
    <v>648</v>
    <v>GTQ</v>
    <v>Guatemala, officially the Republic of Guatemala, is a country in Central America. It is bordered to the north and west by Mexico, to the northeast by Belize, to the east by Honduras, and to the southeast by El Salvador. It is hydrologically ...</v>
    <v>649</v>
    <v>650</v>
    <v>651</v>
    <v>652</v>
    <v>61</v>
    <v>653</v>
    <v>654</v>
    <v>655</v>
    <v>18</v>
    <v>656</v>
    <v>645</v>
    <v>659</v>
    <v>660</v>
    <v>661</v>
    <v>662</v>
    <v>663</v>
    <v>Guatemala</v>
    <v>National anthem of Guatemala</v>
    <v>664</v>
    <v>Guatemala</v>
    <v>665</v>
    <v>666</v>
    <v>667</v>
    <v>668</v>
    <v>669</v>
    <v>670</v>
    <v>671</v>
    <v>672</v>
    <v>479</v>
    <v>673</v>
    <v>674</v>
    <v>697</v>
    <v>698</v>
    <v>699</v>
    <v>700</v>
    <v>701</v>
    <v>Guatemala</v>
    <v>702</v>
    <v>mdp/vdpid/99</v>
  </rv>
  <rv s="0">
    <v>536870912</v>
    <v>North Macedonia</v>
    <v>d33b7a6b-3c3e-ee43-7793-52058921000a</v>
    <v>en-US</v>
    <v>Map</v>
  </rv>
  <rv s="1">
    <fb>25713</fb>
    <v>24</v>
  </rv>
  <rv s="1">
    <fb>389</fb>
    <v>26</v>
  </rv>
  <rv s="0">
    <v>536870912</v>
    <v>Skopje</v>
    <v>1801752c-771c-78d5-76fc-41b82750ecfe</v>
    <v>en-US</v>
    <v>Map</v>
  </rv>
  <rv s="1">
    <fb>10220781069</fb>
    <v>30</v>
  </rv>
  <rv s="0">
    <v>805306368</v>
    <v>Gordana Siljanovska-Davkova (President)</v>
    <v>8ccf2b6d-bc06-cfb5-df88-41a6be9b5104</v>
    <v>en-US</v>
    <v>Generic</v>
  </rv>
  <rv s="0">
    <v>805306368</v>
    <v>Hristijan Mickoski (Prime minister)</v>
    <v>17358448-4c6f-b36b-677d-834090107713</v>
    <v>en-US</v>
    <v>Generic</v>
  </rv>
  <rv s="3">
    <v>47</v>
  </rv>
  <rv s="4">
    <v>https://www.bing.com/search?q=republic+of+macedonia&amp;form=skydnc</v>
    <v>Learn more on Bing</v>
  </rv>
  <rv s="3">
    <v>48</v>
  </rv>
  <rv s="1">
    <fb>0.355695926</fb>
    <v>23</v>
  </rv>
  <rv s="1">
    <fb>2057679</fb>
    <v>24</v>
  </rv>
  <rv s="0">
    <v>536870912</v>
    <v>Berovo Municipality</v>
    <v>3f2bb898-b4da-3c1a-a75d-ace5e48f91dd</v>
    <v>en-US</v>
    <v>Map</v>
  </rv>
  <rv s="0">
    <v>536870912</v>
    <v>Češinovo-Obleševo Municipality</v>
    <v>b763f1e4-a0e5-b109-1e56-a0b1b13d94de</v>
    <v>en-US</v>
    <v>Map</v>
  </rv>
  <rv s="0">
    <v>536870912</v>
    <v>Delčevo Municipality</v>
    <v>8fe5293a-b9f8-ace2-6ac4-38cc583e659f</v>
    <v>en-US</v>
    <v>Map</v>
  </rv>
  <rv s="0">
    <v>536870912</v>
    <v>Karbinci Municipality</v>
    <v>6436bd0a-983e-463a-c758-a597a02b3be9</v>
    <v>en-US</v>
    <v>Map</v>
  </rv>
  <rv s="0">
    <v>536870912</v>
    <v>Kočani Municipality</v>
    <v>c6d6c880-1cdb-9483-04a7-0b477531146c</v>
    <v>en-US</v>
    <v>Map</v>
  </rv>
  <rv s="0">
    <v>536870912</v>
    <v>Kratovo Municipality</v>
    <v>dd25066b-c30d-b2be-4200-a0accc71c351</v>
    <v>en-US</v>
    <v>Map</v>
  </rv>
  <rv s="0">
    <v>536870912</v>
    <v>Kriva Palanka Municipality</v>
    <v>8fb81fad-fe93-a929-4d70-8b2c783ed78d</v>
    <v>en-US</v>
    <v>Map</v>
  </rv>
  <rv s="0">
    <v>536870912</v>
    <v>Kumanovo Municipality</v>
    <v>7c6377e7-2d34-9aae-0720-60021a233de7</v>
    <v>en-US</v>
    <v>Map</v>
  </rv>
  <rv s="0">
    <v>536870912</v>
    <v>Lozovo Municipality</v>
    <v>5877fa90-d22e-760a-4c68-14af66cc773c</v>
    <v>en-US</v>
    <v>Map</v>
  </rv>
  <rv s="0">
    <v>536870912</v>
    <v>Makedonska Kamenica Municipality</v>
    <v>cb948ed7-e751-c84e-da61-e797e4fed171</v>
    <v>en-US</v>
    <v>Map</v>
  </rv>
  <rv s="0">
    <v>536870912</v>
    <v>Pehčevo Municipality</v>
    <v>44cddf87-a0e5-d549-45d8-dfe75a973432</v>
    <v>en-US</v>
    <v>Map</v>
  </rv>
  <rv s="0">
    <v>536870912</v>
    <v>Probištip Municipality</v>
    <v>6d564c70-b76e-4935-a432-aa7a38cb9b8f</v>
    <v>en-US</v>
    <v>Map</v>
  </rv>
  <rv s="0">
    <v>536870912</v>
    <v>Štip Municipality</v>
    <v>e606d52a-e423-190d-4535-08daeebeea91</v>
    <v>en-US</v>
    <v>Map</v>
  </rv>
  <rv s="0">
    <v>536870912</v>
    <v>Sveti Nikole Municipality</v>
    <v>e33efcd0-450b-abbc-feb1-c6aff2869edb</v>
    <v>en-US</v>
    <v>Map</v>
  </rv>
  <rv s="0">
    <v>536870912</v>
    <v>Vinica Municipality, North Macedonia</v>
    <v>b45f3e9b-d061-e747-0832-4657071942ad</v>
    <v>en-US</v>
    <v>Map</v>
  </rv>
  <rv s="0">
    <v>536870912</v>
    <v>Zrnovci Municipality</v>
    <v>a83d4ba2-31fd-36ec-9298-03f37af866f9</v>
    <v>en-US</v>
    <v>Map</v>
  </rv>
  <rv s="0">
    <v>536870912</v>
    <v>Lipkovo Municipality</v>
    <v>f4c9bda6-940b-462a-0153-9bf8240ec32d</v>
    <v>en-US</v>
    <v>Map</v>
  </rv>
  <rv s="0">
    <v>536870912</v>
    <v>Rankovce Municipality</v>
    <v>bb185451-a36a-2e24-d330-576bb2e5bf10</v>
    <v>en-US</v>
    <v>Map</v>
  </rv>
  <rv s="0">
    <v>536870912</v>
    <v>Staro Nagoričane Municipality</v>
    <v>36a70229-634d-da34-10a0-b3b484e6c85f</v>
    <v>en-US</v>
    <v>Map</v>
  </rv>
  <rv s="0">
    <v>536870912</v>
    <v>Bitola Municipality</v>
    <v>27c3d35b-dc09-df20-8f64-98e12919b8de</v>
    <v>en-US</v>
    <v>Map</v>
  </rv>
  <rv s="0">
    <v>536870912</v>
    <v>Demir Hisar Municipality</v>
    <v>a41d7036-44f8-176a-7205-9c9f0f2f0bba</v>
    <v>en-US</v>
    <v>Map</v>
  </rv>
  <rv s="0">
    <v>536870912</v>
    <v>Dolneni Municipality</v>
    <v>0d28f5da-2d90-1f49-ef3e-b8d4fb3634f0</v>
    <v>en-US</v>
    <v>Map</v>
  </rv>
  <rv s="0">
    <v>536870912</v>
    <v>Krivogaštani Municipality</v>
    <v>51a11200-f4df-e9fb-71f8-c3b51bfdb2b9</v>
    <v>en-US</v>
    <v>Map</v>
  </rv>
  <rv s="0">
    <v>536870912</v>
    <v>Kruševo Municipality</v>
    <v>c004d9f6-00dc-2342-3e15-31d51a720b22</v>
    <v>en-US</v>
    <v>Map</v>
  </rv>
  <rv s="0">
    <v>536870912</v>
    <v>Mogila Municipality</v>
    <v>592e41f4-07c7-4922-12e0-ae1f1022e4b4</v>
    <v>en-US</v>
    <v>Map</v>
  </rv>
  <rv s="0">
    <v>536870912</v>
    <v>Novaci Municipality</v>
    <v>e8159a29-0733-eba2-e3c2-a09f786e1d5b</v>
    <v>en-US</v>
    <v>Map</v>
  </rv>
  <rv s="0">
    <v>536870912</v>
    <v>Prilep Municipality</v>
    <v>c89c2cf5-2fd2-4603-96cc-2937dd2859e6</v>
    <v>en-US</v>
    <v>Map</v>
  </rv>
  <rv s="0">
    <v>536870912</v>
    <v>Resen Municipality</v>
    <v>3c0fc9cd-3015-98a1-6bca-c6623d269b22</v>
    <v>en-US</v>
    <v>Map</v>
  </rv>
  <rv s="0">
    <v>536870912</v>
    <v>Bogovinje Municipality</v>
    <v>2a2d65ec-4de8-eca7-a7df-260d981a998a</v>
    <v>en-US</v>
    <v>Map</v>
  </rv>
  <rv s="0">
    <v>536870912</v>
    <v>Jegunovce Municipality</v>
    <v>feee739c-d923-3fc3-c5fc-f3ccc5294f97</v>
    <v>en-US</v>
    <v>Map</v>
  </rv>
  <rv s="0">
    <v>536870912</v>
    <v>Mavrovo i Rostuše Municipality</v>
    <v>de67644e-46ae-d8b3-db89-599e3d3f054b</v>
    <v>en-US</v>
    <v>Map</v>
  </rv>
  <rv s="0">
    <v>536870912</v>
    <v>Tearce Municipality</v>
    <v>dc7491ec-5b41-780e-7cab-0a2c7d85ffa7</v>
    <v>en-US</v>
    <v>Map</v>
  </rv>
  <rv s="0">
    <v>536870912</v>
    <v>Tetovo Municipality</v>
    <v>6df0070f-e1e9-fbfa-1701-c700afa305ef</v>
    <v>en-US</v>
    <v>Map</v>
  </rv>
  <rv s="0">
    <v>536870912</v>
    <v>Vrapčište Municipality</v>
    <v>1cd9dea6-1031-5c60-af29-ea04633e9959</v>
    <v>en-US</v>
    <v>Map</v>
  </rv>
  <rv s="0">
    <v>536870912</v>
    <v>Želino Municipality</v>
    <v>49d0d122-5c4c-8b80-1d21-fb40bbfa22a3</v>
    <v>en-US</v>
    <v>Map</v>
  </rv>
  <rv s="0">
    <v>536870912</v>
    <v>Aerodrom Municipality, Skopje</v>
    <v>9c852cc4-260d-6936-420a-4ae82254a9b2</v>
    <v>en-US</v>
    <v>Map</v>
  </rv>
  <rv s="0">
    <v>536870912</v>
    <v>Aračinovo Municipality</v>
    <v>5251121c-7b06-08bc-8340-3efdf2c62562</v>
    <v>en-US</v>
    <v>Map</v>
  </rv>
  <rv s="0">
    <v>536870912</v>
    <v>Butel Municipality</v>
    <v>4efa6d8e-d15d-3041-de36-5cbfa3537101</v>
    <v>en-US</v>
    <v>Map</v>
  </rv>
  <rv s="0">
    <v>536870912</v>
    <v>Čair Municipality</v>
    <v>e61d1e46-bbd8-2625-1d69-c8563b40059e</v>
    <v>en-US</v>
    <v>Map</v>
  </rv>
  <rv s="0">
    <v>536870912</v>
    <v>Centar Municipality, Skopje</v>
    <v>f35c8631-4bc1-1533-89b2-4871bafbb891</v>
    <v>en-US</v>
    <v>Map</v>
  </rv>
  <rv s="0">
    <v>536870912</v>
    <v>Čučer-Sandevo Municipality</v>
    <v>43e14f47-968d-23e6-64fe-3d11a8211115</v>
    <v>en-US</v>
    <v>Map</v>
  </rv>
  <rv s="0">
    <v>536870912</v>
    <v>Gazi Baba Municipality</v>
    <v>9c038ad7-92e0-ae8d-b40f-7c91b895b680</v>
    <v>en-US</v>
    <v>Map</v>
  </rv>
  <rv s="0">
    <v>536870912</v>
    <v>Gjorče Petrov Municipality</v>
    <v>db06302d-6edc-5867-808d-25cf4a1f3043</v>
    <v>en-US</v>
    <v>Map</v>
  </rv>
  <rv s="0">
    <v>536870912</v>
    <v>Ilinden Municipality</v>
    <v>a93958e6-30bc-91fe-ff72-ed02fa1946ef</v>
    <v>en-US</v>
    <v>Map</v>
  </rv>
  <rv s="0">
    <v>536870912</v>
    <v>Karpoš Municipality</v>
    <v>e46cff7f-88c8-2706-a56d-215901e39ed2</v>
    <v>en-US</v>
    <v>Map</v>
  </rv>
  <rv s="0">
    <v>536870912</v>
    <v>Petrovec Municipality</v>
    <v>c037fe03-c086-fc7a-b01e-eeb0ccc7f418</v>
    <v>en-US</v>
    <v>Map</v>
  </rv>
  <rv s="0">
    <v>536870912</v>
    <v>Sopište Municipality</v>
    <v>c8c5b4e7-5890-7fe3-b397-c70c86ec2840</v>
    <v>en-US</v>
    <v>Map</v>
  </rv>
  <rv s="0">
    <v>536870912</v>
    <v>Studeničani Municipality</v>
    <v>b90a1d2e-08b1-239d-a438-46a4c4c08bc3</v>
    <v>en-US</v>
    <v>Map</v>
  </rv>
  <rv s="0">
    <v>536870912</v>
    <v>Zelenikovo Municipality</v>
    <v>a398c91f-3b23-8e50-bc64-e076be507c4d</v>
    <v>en-US</v>
    <v>Map</v>
  </rv>
  <rv s="0">
    <v>536870912</v>
    <v>Bogdanci Municipality</v>
    <v>cced382b-5a16-0cb5-5bbb-5ae0f6cf6493</v>
    <v>en-US</v>
    <v>Map</v>
  </rv>
  <rv s="0">
    <v>536870912</v>
    <v>Bosilovo Municipality</v>
    <v>f1c85dbb-681d-b7ba-d300-db8357908bd8</v>
    <v>en-US</v>
    <v>Map</v>
  </rv>
  <rv s="0">
    <v>536870912</v>
    <v>Gevgelija Municipality</v>
    <v>186e2049-4195-ee91-6e85-dcafb79dd6e0</v>
    <v>en-US</v>
    <v>Map</v>
  </rv>
  <rv s="0">
    <v>536870912</v>
    <v>Konče Municipality</v>
    <v>64553aeb-1852-9c05-f6fe-30f976c7183d</v>
    <v>en-US</v>
    <v>Map</v>
  </rv>
  <rv s="0">
    <v>536870912</v>
    <v>Novo Selo Municipality</v>
    <v>1002f970-1f8c-2f75-06b3-0a8d4681a488</v>
    <v>en-US</v>
    <v>Map</v>
  </rv>
  <rv s="0">
    <v>536870912</v>
    <v>Radoviš Municipality</v>
    <v>01e028a5-b2c5-d274-4db3-688a501fec23</v>
    <v>en-US</v>
    <v>Map</v>
  </rv>
  <rv s="0">
    <v>536870912</v>
    <v>Dojran Municipality</v>
    <v>b3b89a4d-10e4-e90b-1f8e-b2cbf5a76cd9</v>
    <v>en-US</v>
    <v>Map</v>
  </rv>
  <rv s="0">
    <v>536870912</v>
    <v>Strumica Municipality</v>
    <v>41ab0d5a-54f0-c8c5-f628-41b3476cb286</v>
    <v>en-US</v>
    <v>Map</v>
  </rv>
  <rv s="0">
    <v>536870912</v>
    <v>Valandovo Municipality</v>
    <v>4724c948-53bf-3c27-c67b-3e412c43cd56</v>
    <v>en-US</v>
    <v>Map</v>
  </rv>
  <rv s="0">
    <v>536870912</v>
    <v>Vasilevo Municipality</v>
    <v>36e4c9ad-4e28-1743-d59c-c82238f6a60a</v>
    <v>en-US</v>
    <v>Map</v>
  </rv>
  <rv s="0">
    <v>536870912</v>
    <v>Centar Župa Municipality</v>
    <v>3b6b2cfc-6f17-f5a2-dca3-93ce5159c683</v>
    <v>en-US</v>
    <v>Map</v>
  </rv>
  <rv s="0">
    <v>536870912</v>
    <v>Debar Municipality</v>
    <v>c59e98ec-cd56-7bb3-f492-1eba24190f6c</v>
    <v>en-US</v>
    <v>Map</v>
  </rv>
  <rv s="0">
    <v>536870912</v>
    <v>Debarca Municipality</v>
    <v>789a8249-8d75-5b18-16e3-181518902147</v>
    <v>en-US</v>
    <v>Map</v>
  </rv>
  <rv s="0">
    <v>536870912</v>
    <v>Kičevo Municipality</v>
    <v>9719a08c-3337-9bed-99ac-73590d047381</v>
    <v>en-US</v>
    <v>Map</v>
  </rv>
  <rv s="0">
    <v>536870912</v>
    <v>Makedonski Brod Municipality</v>
    <v>e417c362-75fc-d4ae-d459-1f195777e666</v>
    <v>en-US</v>
    <v>Map</v>
  </rv>
  <rv s="0">
    <v>536870912</v>
    <v>Ohrid Municipality</v>
    <v>683aa773-56ca-f40a-2a52-f70a2761fa3e</v>
    <v>en-US</v>
    <v>Map</v>
  </rv>
  <rv s="0">
    <v>536870912</v>
    <v>Plasnica Municipality</v>
    <v>212db54f-7483-d8ca-ba6d-3562a99adc5d</v>
    <v>en-US</v>
    <v>Map</v>
  </rv>
  <rv s="0">
    <v>536870912</v>
    <v>Struga Municipality</v>
    <v>734cef51-ec28-465d-814b-b344274d9f2e</v>
    <v>en-US</v>
    <v>Map</v>
  </rv>
  <rv s="0">
    <v>536870912</v>
    <v>Vevčani Municipality</v>
    <v>b9d08f31-b5ce-eb86-0039-6c8f095d16bf</v>
    <v>en-US</v>
    <v>Map</v>
  </rv>
  <rv s="0">
    <v>536870912</v>
    <v>Čaška Municipality</v>
    <v>2cbad885-bff9-deff-1dc1-876e0c36abe5</v>
    <v>en-US</v>
    <v>Map</v>
  </rv>
  <rv s="0">
    <v>536870912</v>
    <v>Demir Kapija Municipality</v>
    <v>a529aaec-172c-f2dc-06ad-627ccabb0480</v>
    <v>en-US</v>
    <v>Map</v>
  </rv>
  <rv s="0">
    <v>536870912</v>
    <v>Gradsko Municipality</v>
    <v>dec2bcd2-a40a-7fc1-15a4-e96d2e0efe80</v>
    <v>en-US</v>
    <v>Map</v>
  </rv>
  <rv s="0">
    <v>536870912</v>
    <v>Kavadarci Municipality</v>
    <v>12bd4bae-9dc0-5c68-e4b6-cf8fa3a63e63</v>
    <v>en-US</v>
    <v>Map</v>
  </rv>
  <rv s="0">
    <v>536870912</v>
    <v>Negotino Municipality</v>
    <v>94d39729-0caf-ca91-c40f-55fab8bd6113</v>
    <v>en-US</v>
    <v>Map</v>
  </rv>
  <rv s="0">
    <v>536870912</v>
    <v>Rosoman Municipality</v>
    <v>8749cbd2-37cf-4ce8-27ea-1be5d05b938d</v>
    <v>en-US</v>
    <v>Map</v>
  </rv>
  <rv s="0">
    <v>536870912</v>
    <v>Veles Municipality</v>
    <v>2453451e-b2cb-b4a3-c79f-60c840d4aac9</v>
    <v>en-US</v>
    <v>Map</v>
  </rv>
  <rv s="0">
    <v>536870912</v>
    <v>Gostivar Municipality</v>
    <v>8ed03d69-eae7-53c4-489d-1fb873f823c4</v>
    <v>en-US</v>
    <v>Map</v>
  </rv>
  <rv s="3">
    <v>49</v>
  </rv>
  <rv s="3">
    <v>50</v>
  </rv>
  <rv s="11">
    <v>#VALUE!</v>
    <v>en-US</v>
    <v>d33b7a6b-3c3e-ee43-7793-52058921000a</v>
    <v>536870912</v>
    <v>1</v>
    <v>105</v>
    <v>106</v>
    <v>North Macedonia</v>
    <v>19</v>
    <v>20</v>
    <v>Map</v>
    <v>21</v>
    <v>107</v>
    <v>705</v>
    <v>706</v>
    <v>707</v>
    <v>MKD</v>
    <v>North Macedonia, officially the Republic of North Macedonia, is a landlocked country in Southeast Europe. It shares land borders with Greece to the south, Albania to the west, Bulgaria to the east, Kosovo to the northwest and Serbia to the ...</v>
    <v>708</v>
    <v>18</v>
    <v>707</v>
    <v>711</v>
    <v>712</v>
    <v>North Macedonia</v>
    <v>Denes nad Makedonija</v>
    <v>713</v>
    <v>Δημοκρατία της Βόρειας Μακεδονίας</v>
    <v>714</v>
    <v>715</v>
    <v>792</v>
    <v>793</v>
    <v>North Macedonia</v>
    <v>mdp/vdpid/19618</v>
  </rv>
  <rv s="0">
    <v>536870912</v>
    <v>Georgia</v>
    <v>4fe7777a-3d26-0e6a-243d-ae6d45c843c6</v>
    <v>en-US</v>
    <v>Map</v>
  </rv>
  <rv s="1">
    <fb>0.34451000143905602</fb>
    <v>23</v>
  </rv>
  <rv s="1">
    <fb>69700</fb>
    <v>24</v>
  </rv>
  <rv s="1">
    <fb>26000</fb>
    <v>24</v>
  </rv>
  <rv s="1">
    <fb>13.472</fb>
    <v>25</v>
  </rv>
  <rv s="1">
    <fb>995</fb>
    <v>26</v>
  </rv>
  <rv s="0">
    <v>536870912</v>
    <v>Tbilisi</v>
    <v>31ae24b1-d13b-8788-7bd5-9f35a3a73a51</v>
    <v>en-US</v>
    <v>Map</v>
  </rv>
  <rv s="1">
    <fb>10128.254000000001</fb>
    <v>24</v>
  </rv>
  <rv s="1">
    <fb>133.61246666666699</fb>
    <v>27</v>
  </rv>
  <rv s="1">
    <fb>4.8528982169673093E-2</fb>
    <v>23</v>
  </rv>
  <rv s="1">
    <fb>2693.9727602251301</fb>
    <v>24</v>
  </rv>
  <rv s="1">
    <fb>2.06</fb>
    <v>25</v>
  </rv>
  <rv s="1">
    <fb>0.40615914553802701</fb>
    <v>23</v>
  </rv>
  <rv s="1">
    <fb>72.209535338091399</fb>
    <v>28</v>
  </rv>
  <rv s="1">
    <fb>0.76</fb>
    <v>29</v>
  </rv>
  <rv s="1">
    <fb>17743195770.199799</fb>
    <v>30</v>
  </rv>
  <rv s="1">
    <fb>0.98630840000000009</fb>
    <v>23</v>
  </rv>
  <rv s="1">
    <fb>0.63915500000000003</fb>
    <v>23</v>
  </rv>
  <rv s="1">
    <fb>8.6999999999999993</fb>
    <v>28</v>
  </rv>
  <rv s="0">
    <v>805306368</v>
    <v>Mikheil Kavelashvili (President)</v>
    <v>80dbaffb-1f80-e888-b586-f48f6e50b086</v>
    <v>en-US</v>
    <v>Generic</v>
  </rv>
  <rv s="0">
    <v>805306368</v>
    <v>Irakli Kobakhidze (Prime minister)</v>
    <v>9a2e147c-a1c0-bb2f-5e13-9c945a449729</v>
    <v>en-US</v>
    <v>Generic</v>
  </rv>
  <rv s="3">
    <v>51</v>
  </rv>
  <rv s="4">
    <v>https://www.bing.com/search?q=georgia+country&amp;form=skydnc</v>
    <v>Learn more on Bing</v>
  </rv>
  <rv s="1">
    <fb>73.599999999999994</fb>
    <v>28</v>
  </rv>
  <rv s="1">
    <fb>25</fb>
    <v>28</v>
  </rv>
  <rv s="1">
    <fb>0.05</fb>
    <v>29</v>
  </rv>
  <rv s="3">
    <v>52</v>
  </rv>
  <rv s="1">
    <fb>0.57324335049999997</fb>
    <v>23</v>
  </rv>
  <rv s="1">
    <fb>7.1200999999999999</fb>
    <v>25</v>
  </rv>
  <rv s="1">
    <fb>3712502</fb>
    <v>24</v>
  </rv>
  <rv s="1">
    <fb>0.22600000000000001</fb>
    <v>23</v>
  </rv>
  <rv s="1">
    <fb>0.27500000000000002</fb>
    <v>23</v>
  </rv>
  <rv s="1">
    <fb>0.43200000000000005</fb>
    <v>23</v>
  </rv>
  <rv s="1">
    <fb>2.4E-2</fb>
    <v>23</v>
  </rv>
  <rv s="1">
    <fb>6.5000000000000002E-2</fb>
    <v>23</v>
  </rv>
  <rv s="1">
    <fb>0.115</fb>
    <v>23</v>
  </rv>
  <rv s="1">
    <fb>0.68330001831054699</fb>
    <v>23</v>
  </rv>
  <rv s="0">
    <v>536870912</v>
    <v>Samegrelo-Zemo Svaneti</v>
    <v>4c57c2ff-4126-2927-dcb3-d13b075bcea2</v>
    <v>en-US</v>
    <v>Map</v>
  </rv>
  <rv s="0">
    <v>536870912</v>
    <v>Imereti</v>
    <v>1e812f4a-2025-a07a-65fb-7d5182bf6910</v>
    <v>en-US</v>
    <v>Map</v>
  </rv>
  <rv s="0">
    <v>536870912</v>
    <v>Kakheti</v>
    <v>2d9dd9c7-4159-0218-a43f-842dc3bac8ca</v>
    <v>en-US</v>
    <v>Map</v>
  </rv>
  <rv s="0">
    <v>536870912</v>
    <v>Samtskhe–Javakheti</v>
    <v>4a965a54-ebbf-cb0a-4ed0-1f3237b44c59</v>
    <v>en-US</v>
    <v>Map</v>
  </rv>
  <rv s="0">
    <v>536870912</v>
    <v>Shida Kartli</v>
    <v>2b343c6e-cd2f-1b9c-d41e-cd43884fa7e5</v>
    <v>en-US</v>
    <v>Map</v>
  </rv>
  <rv s="0">
    <v>536870912</v>
    <v>Kvemo Kartli</v>
    <v>ba6884b7-61d6-dace-1237-09861b476d99</v>
    <v>en-US</v>
    <v>Map</v>
  </rv>
  <rv s="0">
    <v>536870912</v>
    <v>Adjara</v>
    <v>0f3c77ac-b855-2bbf-cabd-becc162de66e</v>
    <v>en-US</v>
    <v>Map</v>
  </rv>
  <rv s="0">
    <v>536870912</v>
    <v>Guria</v>
    <v>985f9020-74ac-338a-790d-45e460a15cb6</v>
    <v>en-US</v>
    <v>Map</v>
  </rv>
  <rv s="0">
    <v>536870912</v>
    <v>Mtskheta-Mtianeti</v>
    <v>cc9fefb9-3949-2811-290b-ce0947330ff8</v>
    <v>en-US</v>
    <v>Map</v>
  </rv>
  <rv s="0">
    <v>536870912</v>
    <v>Racha-Lechkhumi and Kvemo Svaneti</v>
    <v>aee8a977-0832-715b-2b13-982ae47620d4</v>
    <v>en-US</v>
    <v>Map</v>
  </rv>
  <rv s="3">
    <v>53</v>
  </rv>
  <rv s="1">
    <fb>0.21739978564734097</fb>
    <v>23</v>
  </rv>
  <rv s="3">
    <v>54</v>
  </rv>
  <rv s="1">
    <fb>0.143979997634888</fb>
    <v>31</v>
  </rv>
  <rv s="1">
    <fb>2196476</fb>
    <v>24</v>
  </rv>
  <rv s="8">
    <v>#VALUE!</v>
    <v>en-US</v>
    <v>4fe7777a-3d26-0e6a-243d-ae6d45c843c6</v>
    <v>536870912</v>
    <v>1</v>
    <v>112</v>
    <v>82</v>
    <v>Georgia</v>
    <v>19</v>
    <v>20</v>
    <v>Map</v>
    <v>21</v>
    <v>113</v>
    <v>GE</v>
    <v>796</v>
    <v>797</v>
    <v>798</v>
    <v>799</v>
    <v>800</v>
    <v>801</v>
    <v>802</v>
    <v>803</v>
    <v>804</v>
    <v>GEL</v>
    <v>Georgia is a country in Eastern Europe and West Asia. It is part of the Caucasus region, bounded by the Black Sea to the west, Russia to the north and northeast, Turkey to the southwest, Armenia to the south, and Azerbaijan to the southeast. ...</v>
    <v>805</v>
    <v>806</v>
    <v>807</v>
    <v>808</v>
    <v>809</v>
    <v>810</v>
    <v>811</v>
    <v>812</v>
    <v>18</v>
    <v>813</v>
    <v>801</v>
    <v>816</v>
    <v>817</v>
    <v>818</v>
    <v>819</v>
    <v>820</v>
    <v>Georgia</v>
    <v>Tavisupleba</v>
    <v>821</v>
    <v>საქართველო</v>
    <v>822</v>
    <v>823</v>
    <v>824</v>
    <v>825</v>
    <v>826</v>
    <v>827</v>
    <v>828</v>
    <v>829</v>
    <v>830</v>
    <v>39</v>
    <v>831</v>
    <v>842</v>
    <v>843</v>
    <v>844</v>
    <v>359</v>
    <v>845</v>
    <v>Georgia</v>
    <v>846</v>
    <v>mdp/vdpid/88</v>
  </rv>
  <rv s="0">
    <v>536870912</v>
    <v>Mozambique</v>
    <v>a7f78d5f-1f90-031f-0dbd-c31c66e057d5</v>
    <v>en-US</v>
    <v>Map</v>
  </rv>
  <rv s="1">
    <fb>0.63518909433098503</fb>
    <v>23</v>
  </rv>
  <rv s="1">
    <fb>801590</fb>
    <v>24</v>
  </rv>
  <rv s="1">
    <fb>11000</fb>
    <v>24</v>
  </rv>
  <rv s="1">
    <fb>37.520000000000003</fb>
    <v>25</v>
  </rv>
  <rv s="1">
    <fb>258</fb>
    <v>26</v>
  </rv>
  <rv s="0">
    <v>536870912</v>
    <v>Maputo</v>
    <v>d995e878-d96c-85c9-a3eb-fae711074afd</v>
    <v>en-US</v>
    <v>Map</v>
  </rv>
  <rv s="1">
    <fb>7942.7219999999998</fb>
    <v>24</v>
  </rv>
  <rv s="1">
    <fb>182.31478337639101</fb>
    <v>27</v>
  </rv>
  <rv s="1">
    <fb>2.7811063118294198E-2</fb>
    <v>23</v>
  </rv>
  <rv s="1">
    <fb>478.92117232933498</fb>
    <v>24</v>
  </rv>
  <rv s="1">
    <fb>4.8520000000000003</fb>
    <v>25</v>
  </rv>
  <rv s="1">
    <fb>0.47983928332994202</fb>
    <v>23</v>
  </rv>
  <rv s="1">
    <fb>12.6199534718635</fb>
    <v>28</v>
  </rv>
  <rv s="1">
    <fb>0.65</fb>
    <v>29</v>
  </rv>
  <rv s="1">
    <fb>14934159925.523399</fb>
    <v>30</v>
  </rv>
  <rv s="1">
    <fb>1.1260497999999999</fb>
    <v>23</v>
  </rv>
  <rv s="1">
    <fb>7.3125499999999996E-2</fb>
    <v>23</v>
  </rv>
  <rv s="1">
    <fb>54</fb>
    <v>28</v>
  </rv>
  <rv s="0">
    <v>805306368</v>
    <v>Daniel Chapo (President)</v>
    <v>db7012c2-0af9-88e4-9ea1-19537331dd45</v>
    <v>en-US</v>
    <v>Generic</v>
  </rv>
  <rv s="0">
    <v>805306368</v>
    <v>Maria Benvinda Levy (Prime minister)</v>
    <v>1c131e3c-98d5-72f6-b903-029c3d9dad0b</v>
    <v>en-US</v>
    <v>Generic</v>
  </rv>
  <rv s="3">
    <v>55</v>
  </rv>
  <rv s="4">
    <v>https://www.bing.com/search?q=mozambique&amp;form=skydnc</v>
    <v>Learn more on Bing</v>
  </rv>
  <rv s="1">
    <fb>60.162999999999997</fb>
    <v>28</v>
  </rv>
  <rv s="1">
    <fb>289</fb>
    <v>28</v>
  </rv>
  <rv s="1">
    <fb>0.27</fb>
    <v>29</v>
  </rv>
  <rv s="3">
    <v>56</v>
  </rv>
  <rv s="1">
    <fb>6.8464365599999993E-2</fb>
    <v>23</v>
  </rv>
  <rv s="1">
    <fb>8.3799999999999999E-2</fb>
    <v>25</v>
  </rv>
  <rv s="1">
    <fb>32969518</fb>
    <v>24</v>
  </rv>
  <rv s="1">
    <fb>0.17399999999999999</fb>
    <v>23</v>
  </rv>
  <rv s="1">
    <fb>0.45500000000000002</fb>
    <v>23</v>
  </rv>
  <rv s="1">
    <fb>0.59499999999999997</fb>
    <v>23</v>
  </rv>
  <rv s="1">
    <fb>1.6E-2</fb>
    <v>23</v>
  </rv>
  <rv s="1">
    <fb>4.2000000000000003E-2</fb>
    <v>23</v>
  </rv>
  <rv s="1">
    <fb>7.5999999999999998E-2</fb>
    <v>23</v>
  </rv>
  <rv s="1">
    <fb>0.11199999999999999</fb>
    <v>23</v>
  </rv>
  <rv s="1">
    <fb>0.78097000122070304</fb>
    <v>23</v>
  </rv>
  <rv s="0">
    <v>536870912</v>
    <v>Cabo Delgado Province</v>
    <v>e5092fb2-807d-6dde-7af0-8c5ce915dc09</v>
    <v>en-US</v>
    <v>Map</v>
  </rv>
  <rv s="0">
    <v>536870912</v>
    <v>Gaza Province</v>
    <v>ed9118ad-6a52-a758-4ad2-3bb6d7ad6a72</v>
    <v>en-US</v>
    <v>Map</v>
  </rv>
  <rv s="0">
    <v>536870912</v>
    <v>Inhambane Province</v>
    <v>d5ef9c0c-291b-87ed-3596-2c66485f7bcb</v>
    <v>en-US</v>
    <v>Map</v>
  </rv>
  <rv s="0">
    <v>536870912</v>
    <v>Manica Province</v>
    <v>d1fb7605-afd7-bf22-9c3e-885d5343919c</v>
    <v>en-US</v>
    <v>Map</v>
  </rv>
  <rv s="0">
    <v>536870912</v>
    <v>Maputo Province</v>
    <v>4af3ad4a-4b1f-83c9-d3b3-6993c601770f</v>
    <v>en-US</v>
    <v>Map</v>
  </rv>
  <rv s="0">
    <v>536870912</v>
    <v>Nampula Province</v>
    <v>b45ef35f-3689-e855-c77c-99ce450bac9e</v>
    <v>en-US</v>
    <v>Map</v>
  </rv>
  <rv s="0">
    <v>536870912</v>
    <v>Niassa Province</v>
    <v>42011373-ef53-85b1-2f7e-7ac3b4192e52</v>
    <v>en-US</v>
    <v>Map</v>
  </rv>
  <rv s="0">
    <v>536870912</v>
    <v>Sofala Province</v>
    <v>4f472e22-3748-7fd0-52b2-aff1245d8f5d</v>
    <v>en-US</v>
    <v>Map</v>
  </rv>
  <rv s="0">
    <v>536870912</v>
    <v>Tete Province</v>
    <v>cfa93a22-ea12-c7f6-686b-5c7b7852f88e</v>
    <v>en-US</v>
    <v>Map</v>
  </rv>
  <rv s="0">
    <v>536870912</v>
    <v>Zambezia Province</v>
    <v>1ff2b2ab-acf2-31bb-c86a-1a3705c17787</v>
    <v>en-US</v>
    <v>Map</v>
  </rv>
  <rv s="3">
    <v>57</v>
  </rv>
  <rv s="1">
    <fb>2.1625512934769699E-4</fb>
    <v>23</v>
  </rv>
  <rv s="3">
    <v>58</v>
  </rv>
  <rv s="1">
    <fb>0.36099999999999999</fb>
    <v>23</v>
  </rv>
  <rv s="1">
    <fb>3.2409999370575003E-2</fb>
    <v>31</v>
  </rv>
  <rv s="1">
    <fb>11092106</fb>
    <v>24</v>
  </rv>
  <rv s="8">
    <v>#VALUE!</v>
    <v>en-US</v>
    <v>a7f78d5f-1f90-031f-0dbd-c31c66e057d5</v>
    <v>536870912</v>
    <v>1</v>
    <v>118</v>
    <v>82</v>
    <v>Mozambique</v>
    <v>19</v>
    <v>20</v>
    <v>Map</v>
    <v>21</v>
    <v>119</v>
    <v>MZ</v>
    <v>849</v>
    <v>850</v>
    <v>851</v>
    <v>852</v>
    <v>853</v>
    <v>854</v>
    <v>855</v>
    <v>856</v>
    <v>857</v>
    <v>MZN</v>
    <v>Mozambique, officially the Republic of Mozambique, is a country located in Southeast Africa bordered by the Indian Ocean to the east, Tanzania to the north, Malawi and Zambia to the northwest, Zimbabwe to the west, and Eswatini and South Africa ...</v>
    <v>858</v>
    <v>859</v>
    <v>860</v>
    <v>861</v>
    <v>862</v>
    <v>863</v>
    <v>864</v>
    <v>865</v>
    <v>18</v>
    <v>866</v>
    <v>854</v>
    <v>869</v>
    <v>870</v>
    <v>871</v>
    <v>872</v>
    <v>873</v>
    <v>Mozambique</v>
    <v>Pátria Amada</v>
    <v>874</v>
    <v>República de Moçambique</v>
    <v>875</v>
    <v>876</v>
    <v>877</v>
    <v>878</v>
    <v>879</v>
    <v>880</v>
    <v>881</v>
    <v>882</v>
    <v>883</v>
    <v>884</v>
    <v>885</v>
    <v>896</v>
    <v>897</v>
    <v>898</v>
    <v>899</v>
    <v>900</v>
    <v>Mozambique</v>
    <v>901</v>
    <v>mdp/vdpid/168</v>
  </rv>
  <rv s="0">
    <v>536870912</v>
    <v>Uganda</v>
    <v>7d4e292c-ed0f-b242-321c-a056c115e6cc</v>
    <v>en-US</v>
    <v>Map</v>
  </rv>
  <rv s="1">
    <fb>0.71888090963494899</fb>
    <v>23</v>
  </rv>
  <rv s="1">
    <fb>241038</fb>
    <v>24</v>
  </rv>
  <rv s="1">
    <fb>46000</fb>
    <v>24</v>
  </rv>
  <rv s="1">
    <fb>38.134999999999998</fb>
    <v>25</v>
  </rv>
  <rv s="1">
    <fb>256</fb>
    <v>26</v>
  </rv>
  <rv s="0">
    <v>536870912</v>
    <v>Kampala</v>
    <v>67dc76a5-510b-2628-8dfa-cbbf87564c1c</v>
    <v>en-US</v>
    <v>Map</v>
  </rv>
  <rv s="1">
    <fb>5680.183</fb>
    <v>24</v>
  </rv>
  <rv s="1">
    <fb>173.871268176331</fb>
    <v>27</v>
  </rv>
  <rv s="1">
    <fb>2.8690942502055398E-2</fb>
    <v>23</v>
  </rv>
  <rv s="1">
    <fb>4.9550000000000001</fb>
    <v>25</v>
  </rv>
  <rv s="1">
    <fb>9.6838223061446696E-2</fb>
    <v>23</v>
  </rv>
  <rv s="1">
    <fb>0.94</fb>
    <v>29</v>
  </rv>
  <rv s="1">
    <fb>34387229486.400803</fb>
    <v>30</v>
  </rv>
  <rv s="1">
    <fb>1.0270471000000001</fb>
    <v>23</v>
  </rv>
  <rv s="1">
    <fb>4.8366400000000004E-2</fb>
    <v>23</v>
  </rv>
  <rv s="1">
    <fb>33.799999999999997</fb>
    <v>28</v>
  </rv>
  <rv s="0">
    <v>805306368</v>
    <v>Yoweri Museveni (President)</v>
    <v>64dcefe8-9e50-6c08-a717-3213c308913a</v>
    <v>en-US</v>
    <v>Generic</v>
  </rv>
  <rv s="0">
    <v>805306368</v>
    <v>Jessica Alupo (Vice president)</v>
    <v>d4586258-cc35-d9b7-4504-0bcd193c3259</v>
    <v>en-US</v>
    <v>Generic</v>
  </rv>
  <rv s="0">
    <v>805306368</v>
    <v>Robinah Nabbanja (Prime minister)</v>
    <v>48911f0c-c5ae-841e-ad36-d7f43af76493</v>
    <v>en-US</v>
    <v>Generic</v>
  </rv>
  <rv s="3">
    <v>59</v>
  </rv>
  <rv s="4">
    <v>https://www.bing.com/search?q=uganda&amp;form=skydnc</v>
    <v>Learn more on Bing</v>
  </rv>
  <rv s="1">
    <fb>62.972999999999999</fb>
    <v>28</v>
  </rv>
  <rv s="1">
    <fb>375</fb>
    <v>28</v>
  </rv>
  <rv s="1">
    <fb>0.01</fb>
    <v>29</v>
  </rv>
  <rv s="3">
    <v>60</v>
  </rv>
  <rv s="1">
    <fb>0.40501093429999996</fb>
    <v>23</v>
  </rv>
  <rv s="1">
    <fb>0.16800000000000001</fb>
    <v>25</v>
  </rv>
  <rv s="1">
    <fb>47249585</fb>
    <v>24</v>
  </rv>
  <rv s="1">
    <fb>0.20399999999999999</fb>
    <v>23</v>
  </rv>
  <rv s="1">
    <fb>0.34200000000000003</fb>
    <v>23</v>
  </rv>
  <rv s="1">
    <fb>0.498</fb>
    <v>23</v>
  </rv>
  <rv s="1">
    <fb>2.5000000000000001E-2</fb>
    <v>23</v>
  </rv>
  <rv s="1">
    <fb>6.0999999999999999E-2</fb>
    <v>23</v>
  </rv>
  <rv s="1">
    <fb>9.8000000000000004E-2</fb>
    <v>23</v>
  </rv>
  <rv s="1">
    <fb>0.13800000000000001</fb>
    <v>23</v>
  </rv>
  <rv s="1">
    <fb>0.703369979858398</fb>
    <v>23</v>
  </rv>
  <rv s="0">
    <v>536870912</v>
    <v>Buikwe District</v>
    <v>f2d05439-5ff8-6b50-30cf-2de0bd18486b</v>
    <v>en-US</v>
    <v>Map</v>
  </rv>
  <rv s="0">
    <v>536870912</v>
    <v>Bukomansimbi District</v>
    <v>8ec77aae-1d78-247d-142a-a1b24a683ac6</v>
    <v>en-US</v>
    <v>Map</v>
  </rv>
  <rv s="0">
    <v>536870912</v>
    <v>Butambala District</v>
    <v>1696851b-eca8-466d-8416-035ee72a7504</v>
    <v>en-US</v>
    <v>Map</v>
  </rv>
  <rv s="0">
    <v>536870912</v>
    <v>Buvuma District</v>
    <v>416c9b18-8eab-41df-90f0-a88344a8ff8e</v>
    <v>en-US</v>
    <v>Map</v>
  </rv>
  <rv s="0">
    <v>536870912</v>
    <v>Gomba District</v>
    <v>708b530f-631c-49cc-b584-8772420f1bd6</v>
    <v>en-US</v>
    <v>Map</v>
  </rv>
  <rv s="0">
    <v>536870912</v>
    <v>Kalangala District</v>
    <v>58006821-1b21-7c0d-aa1a-cc52a621c055</v>
    <v>en-US</v>
    <v>Map</v>
  </rv>
  <rv s="0">
    <v>536870912</v>
    <v>Kalungu District</v>
    <v>6c800f8c-8e3e-ff73-84fd-7d26b506a62c</v>
    <v>en-US</v>
    <v>Map</v>
  </rv>
  <rv s="0">
    <v>536870912</v>
    <v>Kampala District</v>
    <v>c83cc293-6fb4-3b16-2054-3f9547fff4a3</v>
    <v>en-US</v>
    <v>Map</v>
  </rv>
  <rv s="0">
    <v>536870912</v>
    <v>Kayunga District</v>
    <v>370c3c3a-0e9d-db15-f2d2-412b1843cdb4</v>
    <v>en-US</v>
    <v>Map</v>
  </rv>
  <rv s="0">
    <v>536870912</v>
    <v>Kiboga District</v>
    <v>7098ef10-c952-8824-8790-67b6e0941d29</v>
    <v>en-US</v>
    <v>Map</v>
  </rv>
  <rv s="0">
    <v>536870912</v>
    <v>Kyankwanzi District</v>
    <v>4e677004-908e-1591-6fdf-cb50ffe78955</v>
    <v>en-US</v>
    <v>Map</v>
  </rv>
  <rv s="0">
    <v>536870912</v>
    <v>Luweero District</v>
    <v>c392e326-e5cc-b98d-074d-67f021fc0fd5</v>
    <v>en-US</v>
    <v>Map</v>
  </rv>
  <rv s="0">
    <v>536870912</v>
    <v>Lwengo District</v>
    <v>00af7840-bc24-7461-e13d-426be139ba35</v>
    <v>en-US</v>
    <v>Map</v>
  </rv>
  <rv s="0">
    <v>536870912</v>
    <v>Lyantonde District</v>
    <v>96a41db4-7c72-96b4-2716-be8ff9b54bc1</v>
    <v>en-US</v>
    <v>Map</v>
  </rv>
  <rv s="0">
    <v>536870912</v>
    <v>Masaka District</v>
    <v>fdbaf2dc-1526-073f-4c14-17bbfaaea07f</v>
    <v>en-US</v>
    <v>Map</v>
  </rv>
  <rv s="0">
    <v>536870912</v>
    <v>Mityana District</v>
    <v>349d406a-b304-30dd-2477-b8c66412da0f</v>
    <v>en-US</v>
    <v>Map</v>
  </rv>
  <rv s="0">
    <v>536870912</v>
    <v>Mpigi District</v>
    <v>a40a0def-8780-45c6-e099-6aa139f00ea5</v>
    <v>en-US</v>
    <v>Map</v>
  </rv>
  <rv s="0">
    <v>536870912</v>
    <v>Mubende District</v>
    <v>3cbf7551-fa5f-aad7-9286-d23f5d922824</v>
    <v>en-US</v>
    <v>Map</v>
  </rv>
  <rv s="0">
    <v>536870912</v>
    <v>Mukono District</v>
    <v>e480dfcc-09c7-9c93-4144-80ef8b7bdfc6</v>
    <v>en-US</v>
    <v>Map</v>
  </rv>
  <rv s="0">
    <v>536870912</v>
    <v>Nakaseke District</v>
    <v>5c0e5eb9-7540-dcb2-c61f-7f163e27ca0d</v>
    <v>en-US</v>
    <v>Map</v>
  </rv>
  <rv s="0">
    <v>536870912</v>
    <v>Nakasongola District</v>
    <v>5b572f0b-1499-e070-55f3-965f13ba8e82</v>
    <v>en-US</v>
    <v>Map</v>
  </rv>
  <rv s="0">
    <v>536870912</v>
    <v>Rakai District</v>
    <v>c49b1a37-023c-a446-57a8-ae53ec038f4a</v>
    <v>en-US</v>
    <v>Map</v>
  </rv>
  <rv s="0">
    <v>536870912</v>
    <v>Sembabule District</v>
    <v>33029761-5f47-be41-6171-3b18eae54c98</v>
    <v>en-US</v>
    <v>Map</v>
  </rv>
  <rv s="0">
    <v>536870912</v>
    <v>Wakiso District</v>
    <v>92994034-0e70-8ea3-c37f-3ecbeff6f9bf</v>
    <v>en-US</v>
    <v>Map</v>
  </rv>
  <rv s="0">
    <v>536870912</v>
    <v>Amuria District</v>
    <v>62b6eaa7-09bf-3e57-dd64-6e07cefb791c</v>
    <v>en-US</v>
    <v>Map</v>
  </rv>
  <rv s="0">
    <v>536870912</v>
    <v>Budaka District</v>
    <v>d498d986-dc74-9fb3-d622-049468a3ca7c</v>
    <v>en-US</v>
    <v>Map</v>
  </rv>
  <rv s="0">
    <v>536870912</v>
    <v>Bududa District</v>
    <v>8657e48e-c424-565b-31db-ec71b8d19f95</v>
    <v>en-US</v>
    <v>Map</v>
  </rv>
  <rv s="0">
    <v>536870912</v>
    <v>Bugiri District</v>
    <v>cd2c9903-0268-600c-2301-b18517147e32</v>
    <v>en-US</v>
    <v>Map</v>
  </rv>
  <rv s="0">
    <v>536870912</v>
    <v>Bukedea District</v>
    <v>f8770798-37e6-8c33-0dcb-ba1e6fc8264f</v>
    <v>en-US</v>
    <v>Map</v>
  </rv>
  <rv s="0">
    <v>536870912</v>
    <v>Bukwo District</v>
    <v>b0ac9f47-f5ef-8f68-b61f-1bb7249dce79</v>
    <v>en-US</v>
    <v>Map</v>
  </rv>
  <rv s="0">
    <v>536870912</v>
    <v>Bulambuli District</v>
    <v>0157d6f5-cb41-a186-0cdd-b0e889f2633d</v>
    <v>en-US</v>
    <v>Map</v>
  </rv>
  <rv s="0">
    <v>536870912</v>
    <v>Busia District</v>
    <v>17e18ab6-99aa-b26b-5dad-972405c9cef1</v>
    <v>en-US</v>
    <v>Map</v>
  </rv>
  <rv s="0">
    <v>536870912</v>
    <v>Butaleja District</v>
    <v>6ec87612-56ac-797c-19ca-04732aa20455</v>
    <v>en-US</v>
    <v>Map</v>
  </rv>
  <rv s="0">
    <v>536870912</v>
    <v>Buyende District</v>
    <v>8076d2d9-f5c3-a7d3-0508-44efbb5cb9f9</v>
    <v>en-US</v>
    <v>Map</v>
  </rv>
  <rv s="0">
    <v>536870912</v>
    <v>Iganga District</v>
    <v>26be4719-c7f6-c6a8-a9a8-77855569bf38</v>
    <v>en-US</v>
    <v>Map</v>
  </rv>
  <rv s="0">
    <v>536870912</v>
    <v>Jinja District</v>
    <v>391480b0-1696-2af0-5402-d63f88f6a374</v>
    <v>en-US</v>
    <v>Map</v>
  </rv>
  <rv s="0">
    <v>536870912</v>
    <v>Kaberamaido District</v>
    <v>ba81d5dd-db0c-6458-874d-9b6520a4f927</v>
    <v>en-US</v>
    <v>Map</v>
  </rv>
  <rv s="0">
    <v>536870912</v>
    <v>Kaliro District</v>
    <v>d25ae4be-60c8-28ad-b542-0579eb5e5e08</v>
    <v>en-US</v>
    <v>Map</v>
  </rv>
  <rv s="0">
    <v>536870912</v>
    <v>Kamuli District</v>
    <v>2ab20290-b9ef-ff6d-5a71-a1488c48dba9</v>
    <v>en-US</v>
    <v>Map</v>
  </rv>
  <rv s="0">
    <v>536870912</v>
    <v>Kapchorwa District</v>
    <v>a10a6813-4134-8e2a-ab93-5b103a547690</v>
    <v>en-US</v>
    <v>Map</v>
  </rv>
  <rv s="0">
    <v>536870912</v>
    <v>Katakwi District</v>
    <v>6a7d6c62-081e-feef-1891-12a7d94affaa</v>
    <v>en-US</v>
    <v>Map</v>
  </rv>
  <rv s="0">
    <v>536870912</v>
    <v>Kibuku District</v>
    <v>7c9a91b5-1b20-c9bf-b578-ccc27a797688</v>
    <v>en-US</v>
    <v>Map</v>
  </rv>
  <rv s="0">
    <v>536870912</v>
    <v>Kumi District</v>
    <v>e6191e07-e190-3dfd-23bb-afebb37771aa</v>
    <v>en-US</v>
    <v>Map</v>
  </rv>
  <rv s="0">
    <v>536870912</v>
    <v>Kween District</v>
    <v>14446749-1edf-430d-a957-9549fad0639f</v>
    <v>en-US</v>
    <v>Map</v>
  </rv>
  <rv s="0">
    <v>536870912</v>
    <v>Luuka District</v>
    <v>1c905aa8-cfad-c3c3-7dd1-44006298f4d6</v>
    <v>en-US</v>
    <v>Map</v>
  </rv>
  <rv s="0">
    <v>536870912</v>
    <v>Manafwa District</v>
    <v>c3af2571-26f0-4cdc-8404-f925367b46ab</v>
    <v>en-US</v>
    <v>Map</v>
  </rv>
  <rv s="0">
    <v>536870912</v>
    <v>Mayuge District</v>
    <v>56dc6b83-adb7-85f5-76cf-152842f1a9fb</v>
    <v>en-US</v>
    <v>Map</v>
  </rv>
  <rv s="0">
    <v>536870912</v>
    <v>Mbale District</v>
    <v>43976d14-a481-641c-05cf-fcfc64808710</v>
    <v>en-US</v>
    <v>Map</v>
  </rv>
  <rv s="0">
    <v>536870912</v>
    <v>Namayingo District</v>
    <v>9df0191e-0c52-3bbd-6550-761b97792eaf</v>
    <v>en-US</v>
    <v>Map</v>
  </rv>
  <rv s="0">
    <v>536870912</v>
    <v>Namutumba District</v>
    <v>6402dcf1-8914-1dce-87a0-1d38079f98c1</v>
    <v>en-US</v>
    <v>Map</v>
  </rv>
  <rv s="0">
    <v>536870912</v>
    <v>Ngora District</v>
    <v>36906f64-bf0f-b140-6046-bb958997fe07</v>
    <v>en-US</v>
    <v>Map</v>
  </rv>
  <rv s="0">
    <v>536870912</v>
    <v>Pallisa District</v>
    <v>118ed6a1-7a16-b582-2fe5-b5756970beac</v>
    <v>en-US</v>
    <v>Map</v>
  </rv>
  <rv s="0">
    <v>536870912</v>
    <v>Serere District</v>
    <v>91191892-8a33-db6c-26ac-5caaefce7c56</v>
    <v>en-US</v>
    <v>Map</v>
  </rv>
  <rv s="0">
    <v>536870912</v>
    <v>Sironko District</v>
    <v>2b6fab9c-0eff-254e-b2c3-6da8a6a6badc</v>
    <v>en-US</v>
    <v>Map</v>
  </rv>
  <rv s="0">
    <v>536870912</v>
    <v>Soroti District</v>
    <v>4d164bfe-cb33-98ab-4b82-d2bcf1e0e8d9</v>
    <v>en-US</v>
    <v>Map</v>
  </rv>
  <rv s="0">
    <v>536870912</v>
    <v>Tororo District</v>
    <v>dce4500c-36f9-2b4c-f31f-96d86bde4f96</v>
    <v>en-US</v>
    <v>Map</v>
  </rv>
  <rv s="0">
    <v>536870912</v>
    <v>Abim District</v>
    <v>29419ebc-02d5-d463-1718-3ddb57ae5fa8</v>
    <v>en-US</v>
    <v>Map</v>
  </rv>
  <rv s="0">
    <v>536870912</v>
    <v>Adjumani District</v>
    <v>f1ccc807-1fbf-9ec8-576c-bb8edfa3d2f0</v>
    <v>en-US</v>
    <v>Map</v>
  </rv>
  <rv s="0">
    <v>536870912</v>
    <v>Agago District</v>
    <v>b222976f-8edd-b694-6458-aa73ed6b3813</v>
    <v>en-US</v>
    <v>Map</v>
  </rv>
  <rv s="0">
    <v>536870912</v>
    <v>Alebtong District</v>
    <v>6b1f40e5-ee78-1be9-f408-14344b3ca2cd</v>
    <v>en-US</v>
    <v>Map</v>
  </rv>
  <rv s="0">
    <v>536870912</v>
    <v>Amolatar District</v>
    <v>a09c2577-38a8-d27b-ea09-771cc3fac468</v>
    <v>en-US</v>
    <v>Map</v>
  </rv>
  <rv s="0">
    <v>536870912</v>
    <v>Amudat District</v>
    <v>ecc13e2b-baa6-8e85-4b58-8d2b49796271</v>
    <v>en-US</v>
    <v>Map</v>
  </rv>
  <rv s="0">
    <v>536870912</v>
    <v>Amuru District</v>
    <v>d9026d8b-8b48-53b6-c503-538a14819689</v>
    <v>en-US</v>
    <v>Map</v>
  </rv>
  <rv s="0">
    <v>536870912</v>
    <v>Apac District</v>
    <v>105fe9c4-60a3-c53a-4273-31345d63648f</v>
    <v>en-US</v>
    <v>Map</v>
  </rv>
  <rv s="0">
    <v>536870912</v>
    <v>Arua District</v>
    <v>d10bc05c-b917-5132-fc07-c25892a2104a</v>
    <v>en-US</v>
    <v>Map</v>
  </rv>
  <rv s="0">
    <v>536870912</v>
    <v>Dokolo District</v>
    <v>8251b00b-c485-1978-73e7-88bcde6320d4</v>
    <v>en-US</v>
    <v>Map</v>
  </rv>
  <rv s="0">
    <v>536870912</v>
    <v>Gulu District</v>
    <v>5c0ee095-c4e1-a7d2-497f-be1b6a1eb173</v>
    <v>en-US</v>
    <v>Map</v>
  </rv>
  <rv s="0">
    <v>536870912</v>
    <v>Kaabong District</v>
    <v>91b83a77-147e-9a6c-bbf8-4101cc86b1c7</v>
    <v>en-US</v>
    <v>Map</v>
  </rv>
  <rv s="0">
    <v>536870912</v>
    <v>Kitgum District</v>
    <v>50215a5b-1892-7209-2bd3-698149bfa23b</v>
    <v>en-US</v>
    <v>Map</v>
  </rv>
  <rv s="0">
    <v>536870912</v>
    <v>Koboko District</v>
    <v>27d6756f-de04-c1aa-6001-e4dbf8cdea9c</v>
    <v>en-US</v>
    <v>Map</v>
  </rv>
  <rv s="0">
    <v>536870912</v>
    <v>Kole District</v>
    <v>5b170021-649b-a2a0-8c68-7baca0933acb</v>
    <v>en-US</v>
    <v>Map</v>
  </rv>
  <rv s="0">
    <v>536870912</v>
    <v>Kotido District</v>
    <v>bc702f99-12ce-1a40-b9a7-4052844938fd</v>
    <v>en-US</v>
    <v>Map</v>
  </rv>
  <rv s="0">
    <v>536870912</v>
    <v>Lamwo District</v>
    <v>b403abf2-5a6e-7a8e-2a9a-1322456652fa</v>
    <v>en-US</v>
    <v>Map</v>
  </rv>
  <rv s="0">
    <v>536870912</v>
    <v>Lira District</v>
    <v>27bfe193-81e1-de65-9276-6a05bec4202c</v>
    <v>en-US</v>
    <v>Map</v>
  </rv>
  <rv s="0">
    <v>536870912</v>
    <v>Maracha District</v>
    <v>f49a2190-86b5-4a0c-9af1-e39345080f68</v>
    <v>en-US</v>
    <v>Map</v>
  </rv>
  <rv s="0">
    <v>536870912</v>
    <v>Moroto District</v>
    <v>dc0215d6-6809-a84b-50db-cf59190a5e3c</v>
    <v>en-US</v>
    <v>Map</v>
  </rv>
  <rv s="0">
    <v>536870912</v>
    <v>Moyo District</v>
    <v>fae9c60f-c426-b205-4769-62bdbade277f</v>
    <v>en-US</v>
    <v>Map</v>
  </rv>
  <rv s="0">
    <v>536870912</v>
    <v>Nakapiripirit District</v>
    <v>b0413110-b35a-5dc4-d613-1884a3a3f825</v>
    <v>en-US</v>
    <v>Map</v>
  </rv>
  <rv s="0">
    <v>536870912</v>
    <v>Napak District</v>
    <v>2623ca7b-24ff-6bc5-0f7f-54cf577efb03</v>
    <v>en-US</v>
    <v>Map</v>
  </rv>
  <rv s="0">
    <v>536870912</v>
    <v>Nebbi District</v>
    <v>dc446f39-de00-40cb-995a-214cc7bf68db</v>
    <v>en-US</v>
    <v>Map</v>
  </rv>
  <rv s="0">
    <v>536870912</v>
    <v>Nwoya District</v>
    <v>f3e049a4-0c17-ce1b-c574-2bfc5b84979b</v>
    <v>en-US</v>
    <v>Map</v>
  </rv>
  <rv s="0">
    <v>536870912</v>
    <v>Otuke District</v>
    <v>2996036d-3a48-3622-acc9-95d959d4a908</v>
    <v>en-US</v>
    <v>Map</v>
  </rv>
  <rv s="0">
    <v>536870912</v>
    <v>Oyam District</v>
    <v>74e5f8bd-ae17-ac2f-cc45-97ac94fad502</v>
    <v>en-US</v>
    <v>Map</v>
  </rv>
  <rv s="0">
    <v>536870912</v>
    <v>Pader District</v>
    <v>d87460b6-de91-068e-d672-471043777b03</v>
    <v>en-US</v>
    <v>Map</v>
  </rv>
  <rv s="0">
    <v>536870912</v>
    <v>Yumbe District</v>
    <v>9b6d24af-f700-20f2-bae5-f166b7710505</v>
    <v>en-US</v>
    <v>Map</v>
  </rv>
  <rv s="0">
    <v>536870912</v>
    <v>Zombo District</v>
    <v>ae245e52-5be7-fe52-70bb-b4d848626fb6</v>
    <v>en-US</v>
    <v>Map</v>
  </rv>
  <rv s="0">
    <v>536870912</v>
    <v>Buhweju District</v>
    <v>79190a2f-d12c-433e-764a-b3471324f6d6</v>
    <v>en-US</v>
    <v>Map</v>
  </rv>
  <rv s="0">
    <v>536870912</v>
    <v>Buliisa District</v>
    <v>cd8e84d5-4bb8-4f3c-a0b5-d8872f3b9bb6</v>
    <v>en-US</v>
    <v>Map</v>
  </rv>
  <rv s="0">
    <v>536870912</v>
    <v>Bundibugyo District</v>
    <v>5070546d-172d-504d-84b2-cb60beaa53cb</v>
    <v>en-US</v>
    <v>Map</v>
  </rv>
  <rv s="0">
    <v>536870912</v>
    <v>Bushenyi District</v>
    <v>b510ce84-718b-5a27-dea9-1001b7f638bb</v>
    <v>en-US</v>
    <v>Map</v>
  </rv>
  <rv s="0">
    <v>536870912</v>
    <v>Hoima District</v>
    <v>c88659b1-d54d-0803-c9db-28c20330b186</v>
    <v>en-US</v>
    <v>Map</v>
  </rv>
  <rv s="0">
    <v>536870912</v>
    <v>Ibanda District</v>
    <v>4c4632c3-35e2-d358-9121-e37a61d23cdc</v>
    <v>en-US</v>
    <v>Map</v>
  </rv>
  <rv s="0">
    <v>536870912</v>
    <v>Isingiro District</v>
    <v>bd8b4022-a46f-425a-8116-afb371a30b09</v>
    <v>en-US</v>
    <v>Map</v>
  </rv>
  <rv s="0">
    <v>536870912</v>
    <v>Kabale District</v>
    <v>dfad3502-a75c-be56-bf1e-0e579198a3c1</v>
    <v>en-US</v>
    <v>Map</v>
  </rv>
  <rv s="0">
    <v>536870912</v>
    <v>Kabarole District</v>
    <v>f4797522-0c91-ea89-11cb-574094365b9f</v>
    <v>en-US</v>
    <v>Map</v>
  </rv>
  <rv s="0">
    <v>536870912</v>
    <v>Kamwenge District</v>
    <v>3f708bdd-7305-f197-4802-a9576e4317e7</v>
    <v>en-US</v>
    <v>Map</v>
  </rv>
  <rv s="0">
    <v>536870912</v>
    <v>Kanungu District</v>
    <v>783daab0-54ba-da4d-8fed-48310841ca5c</v>
    <v>en-US</v>
    <v>Map</v>
  </rv>
  <rv s="0">
    <v>536870912</v>
    <v>Kasese District</v>
    <v>921b9091-cac8-b129-f1b4-b2306086d5a1</v>
    <v>en-US</v>
    <v>Map</v>
  </rv>
  <rv s="0">
    <v>536870912</v>
    <v>Kibaale District</v>
    <v>485b9be2-73eb-235b-ff88-53e8af67fdd2</v>
    <v>en-US</v>
    <v>Map</v>
  </rv>
  <rv s="0">
    <v>536870912</v>
    <v>Kiruhura District</v>
    <v>6b35e7d6-57b4-ef6d-4ffa-c04a106794c9</v>
    <v>en-US</v>
    <v>Map</v>
  </rv>
  <rv s="0">
    <v>536870912</v>
    <v>Kiryandongo District</v>
    <v>5e41d164-5f19-e9a8-af85-bd30778b9e78</v>
    <v>en-US</v>
    <v>Map</v>
  </rv>
  <rv s="0">
    <v>536870912</v>
    <v>Kisoro District</v>
    <v>76a0add3-0ea7-4a53-0204-438f9d016993</v>
    <v>en-US</v>
    <v>Map</v>
  </rv>
  <rv s="0">
    <v>536870912</v>
    <v>Kyegegwa District</v>
    <v>ded72a78-23a1-49df-b898-21114048313a</v>
    <v>en-US</v>
    <v>Map</v>
  </rv>
  <rv s="0">
    <v>536870912</v>
    <v>Kyenjojo District</v>
    <v>e6967dc8-9abc-c412-90c2-8ad0876a1536</v>
    <v>en-US</v>
    <v>Map</v>
  </rv>
  <rv s="0">
    <v>536870912</v>
    <v>Masindi District</v>
    <v>bfcc000b-e7b3-cc6c-8ecb-81a5d281523c</v>
    <v>en-US</v>
    <v>Map</v>
  </rv>
  <rv s="0">
    <v>536870912</v>
    <v>Mbarara district</v>
    <v>3004c94f-fb81-fc83-acc3-5c52730ceff3</v>
    <v>en-US</v>
    <v>Map</v>
  </rv>
  <rv s="0">
    <v>536870912</v>
    <v>Mitooma District</v>
    <v>152412be-02d2-bc45-3f5e-170438024993</v>
    <v>en-US</v>
    <v>Map</v>
  </rv>
  <rv s="0">
    <v>536870912</v>
    <v>Ntoroko District</v>
    <v>c9888485-ec74-39ba-61aa-c26227c200d9</v>
    <v>en-US</v>
    <v>Map</v>
  </rv>
  <rv s="0">
    <v>536870912</v>
    <v>Ntungamo District</v>
    <v>469cac16-03ad-c4e1-11a8-d287cb371cb5</v>
    <v>en-US</v>
    <v>Map</v>
  </rv>
  <rv s="0">
    <v>536870912</v>
    <v>Rubirizi District</v>
    <v>cb6b8cb7-2962-5fc6-1822-dc2db8f09c3d</v>
    <v>en-US</v>
    <v>Map</v>
  </rv>
  <rv s="0">
    <v>536870912</v>
    <v>Rukungiri District</v>
    <v>630e5dde-32bd-e5c3-c218-8f587b1061df</v>
    <v>en-US</v>
    <v>Map</v>
  </rv>
  <rv s="0">
    <v>536870912</v>
    <v>Sheema District</v>
    <v>37314be3-8b82-c23e-ceba-03e0baa8b112</v>
    <v>en-US</v>
    <v>Map</v>
  </rv>
  <rv s="3">
    <v>61</v>
  </rv>
  <rv s="1">
    <fb>0.117391967515158</fb>
    <v>23</v>
  </rv>
  <rv s="3">
    <v>62</v>
  </rv>
  <rv s="1">
    <fb>0.33700000000000002</fb>
    <v>23</v>
  </rv>
  <rv s="1">
    <fb>1.8430000543594401E-2</fb>
    <v>31</v>
  </rv>
  <rv s="1">
    <fb>10784516</fb>
    <v>24</v>
  </rv>
  <rv s="9">
    <v>#VALUE!</v>
    <v>en-US</v>
    <v>7d4e292c-ed0f-b242-321c-a056c115e6cc</v>
    <v>536870912</v>
    <v>1</v>
    <v>124</v>
    <v>89</v>
    <v>Uganda</v>
    <v>19</v>
    <v>20</v>
    <v>Map</v>
    <v>21</v>
    <v>125</v>
    <v>UG</v>
    <v>904</v>
    <v>905</v>
    <v>906</v>
    <v>907</v>
    <v>908</v>
    <v>909</v>
    <v>910</v>
    <v>911</v>
    <v>912</v>
    <v>UGX</v>
    <v>Uganda, officially the Republic of Uganda, is a landlocked country in East Africa. It is bordered to the east by Kenya, to the north by South Sudan, to the west by the Democratic Republic of the Congo, to the south-west by Rwanda, and to the ...</v>
    <v>913</v>
    <v>914</v>
    <v>915</v>
    <v>916</v>
    <v>917</v>
    <v>918</v>
    <v>18</v>
    <v>919</v>
    <v>909</v>
    <v>923</v>
    <v>924</v>
    <v>925</v>
    <v>926</v>
    <v>927</v>
    <v>Uganda</v>
    <v>Oh Uganda, Land of Beauty</v>
    <v>928</v>
    <v>Uganda</v>
    <v>929</v>
    <v>930</v>
    <v>931</v>
    <v>932</v>
    <v>933</v>
    <v>934</v>
    <v>935</v>
    <v>936</v>
    <v>937</v>
    <v>938</v>
    <v>939</v>
    <v>1052</v>
    <v>1053</v>
    <v>1054</v>
    <v>1055</v>
    <v>1056</v>
    <v>Uganda</v>
    <v>1057</v>
    <v>mdp/vdpid/240</v>
  </rv>
  <rv s="0">
    <v>536870912</v>
    <v>Rwanda</v>
    <v>eb5f926e-ec19-3d93-b71c-da7503c96e60</v>
    <v>en-US</v>
    <v>Map</v>
  </rv>
  <rv s="1">
    <fb>0.73437371348677705</fb>
    <v>23</v>
  </rv>
  <rv s="1">
    <fb>26338</fb>
    <v>24</v>
  </rv>
  <rv s="1">
    <fb>35000</fb>
    <v>24</v>
  </rv>
  <rv s="1">
    <fb>31.696000000000002</fb>
    <v>25</v>
  </rv>
  <rv s="1">
    <fb>250</fb>
    <v>26</v>
  </rv>
  <rv s="0">
    <v>536870912</v>
    <v>Kigali</v>
    <v>4312f5fb-d203-6f22-75c2-2e76025511fb</v>
    <v>en-US</v>
    <v>Map</v>
  </rv>
  <rv s="1">
    <fb>1114.768</fb>
    <v>24</v>
  </rv>
  <rv s="1">
    <fb>151.08936856969899</fb>
    <v>27</v>
  </rv>
  <rv s="1">
    <fb>3.3533429931691103E-2</fb>
    <v>23</v>
  </rv>
  <rv s="1">
    <fb>4.0439999999999996</fb>
    <v>25</v>
  </rv>
  <rv s="1">
    <fb>0.197324680905135</fb>
    <v>23</v>
  </rv>
  <rv s="1">
    <fb>1.17</fb>
    <v>29</v>
  </rv>
  <rv s="1">
    <fb>10122472590.172001</fb>
    <v>30</v>
  </rv>
  <rv s="1">
    <fb>1.3304155</fb>
    <v>23</v>
  </rv>
  <rv s="1">
    <fb>6.7257200000000003E-2</fb>
    <v>23</v>
  </rv>
  <rv s="1">
    <fb>27</fb>
    <v>28</v>
  </rv>
  <rv s="0">
    <v>805306368</v>
    <v>Paul Kagame (President)</v>
    <v>c0781b90-3993-56d6-0563-317d96d61770</v>
    <v>en-US</v>
    <v>Generic</v>
  </rv>
  <rv s="0">
    <v>805306368</v>
    <v>Édouard Ngirente (Prime minister)</v>
    <v>5b722680-1c86-b874-f26e-483514ed8e91</v>
    <v>en-US</v>
    <v>Generic</v>
  </rv>
  <rv s="3">
    <v>63</v>
  </rv>
  <rv s="4">
    <v>https://www.bing.com/search?q=rwanda&amp;form=skydnc</v>
    <v>Learn more on Bing</v>
  </rv>
  <rv s="1">
    <fb>68.7</fb>
    <v>28</v>
  </rv>
  <rv s="1">
    <fb>3214220000</fb>
    <v>30</v>
  </rv>
  <rv s="1">
    <fb>248</fb>
    <v>28</v>
  </rv>
  <rv s="3">
    <v>64</v>
  </rv>
  <rv s="1">
    <fb>0.25965821559999996</fb>
    <v>23</v>
  </rv>
  <rv s="1">
    <fb>0.13400000000000001</fb>
    <v>25</v>
  </rv>
  <rv s="1">
    <fb>13776698</fb>
    <v>24</v>
  </rv>
  <rv s="1">
    <fb>0.19800000000000001</fb>
    <v>23</v>
  </rv>
  <rv s="1">
    <fb>0.35600000000000004</fb>
    <v>23</v>
  </rv>
  <rv s="1">
    <fb>0.50800000000000001</fb>
    <v>23</v>
  </rv>
  <rv s="1">
    <fb>0.06</fb>
    <v>23</v>
  </rv>
  <rv s="1">
    <fb>0.13600000000000001</fb>
    <v>23</v>
  </rv>
  <rv s="1">
    <fb>0.83654998779296907</fb>
    <v>23</v>
  </rv>
  <rv s="0">
    <v>536870912</v>
    <v>Northern Province, Rwanda</v>
    <v>8eb85005-df1a-23e3-832a-250fa2fbc1a4</v>
    <v>en-US</v>
    <v>Map</v>
  </rv>
  <rv s="0">
    <v>536870912</v>
    <v>Eastern Province, Rwanda</v>
    <v>9800f774-8039-2f6f-c5ad-5665e89cb49c</v>
    <v>en-US</v>
    <v>Map</v>
  </rv>
  <rv s="0">
    <v>536870912</v>
    <v>Southern Province, Rwanda</v>
    <v>e0ae656e-e7ce-e8ff-5cb3-b59fd1407c17</v>
    <v>en-US</v>
    <v>Map</v>
  </rv>
  <rv s="0">
    <v>536870912</v>
    <v>Western Province, Rwanda</v>
    <v>42eb4682-c969-8380-27e4-f906bc76abaf</v>
    <v>en-US</v>
    <v>Map</v>
  </rv>
  <rv s="3">
    <v>65</v>
  </rv>
  <rv s="1">
    <fb>0.14263284937979501</fb>
    <v>23</v>
  </rv>
  <rv s="3">
    <v>66</v>
  </rv>
  <rv s="1">
    <fb>0.33200000000000002</fb>
    <v>23</v>
  </rv>
  <rv s="1">
    <fb>1.02999997138977E-2</fb>
    <v>31</v>
  </rv>
  <rv s="1">
    <fb>2186104</fb>
    <v>24</v>
  </rv>
  <rv s="12">
    <v>#VALUE!</v>
    <v>en-US</v>
    <v>eb5f926e-ec19-3d93-b71c-da7503c96e60</v>
    <v>536870912</v>
    <v>1</v>
    <v>130</v>
    <v>131</v>
    <v>Rwanda</v>
    <v>19</v>
    <v>20</v>
    <v>Map</v>
    <v>21</v>
    <v>132</v>
    <v>RW</v>
    <v>1060</v>
    <v>1061</v>
    <v>1062</v>
    <v>1063</v>
    <v>1064</v>
    <v>1065</v>
    <v>1066</v>
    <v>1067</v>
    <v>1068</v>
    <v>RWF</v>
    <v>Rwanda, officially the Republic of Rwanda, is a landlocked country in the Great Rift Valley of East Africa, where the African Great Lakes region and Southeast Africa converge. Located a few degrees south of the Equator, Rwanda is bordered by ...</v>
    <v>1069</v>
    <v>1070</v>
    <v>1071</v>
    <v>1072</v>
    <v>1073</v>
    <v>1074</v>
    <v>18</v>
    <v>1075</v>
    <v>1065</v>
    <v>1078</v>
    <v>1079</v>
    <v>1080</v>
    <v>1081</v>
    <v>1082</v>
    <v>Rwanda</v>
    <v>Rwanda Nziza</v>
    <v>1083</v>
    <v>Ruanda</v>
    <v>1084</v>
    <v>1085</v>
    <v>1086</v>
    <v>1087</v>
    <v>1088</v>
    <v>1089</v>
    <v>828</v>
    <v>1090</v>
    <v>937</v>
    <v>1091</v>
    <v>1092</v>
    <v>1097</v>
    <v>1098</v>
    <v>1099</v>
    <v>1100</v>
    <v>1101</v>
    <v>Rwanda</v>
    <v>1102</v>
    <v>mdp/vdpid/204</v>
  </rv>
  <rv s="0">
    <v>536870912</v>
    <v>South Sudan</v>
    <v>635b509c-70bc-d390-59d2-111df3a4c6bf</v>
    <v>en-US</v>
    <v>Map</v>
  </rv>
  <rv s="1">
    <fb>644329</fb>
    <v>24</v>
  </rv>
  <rv s="1">
    <fb>185000</fb>
    <v>24</v>
  </rv>
  <rv s="1">
    <fb>35.01</fb>
    <v>25</v>
  </rv>
  <rv s="1">
    <fb>211</fb>
    <v>26</v>
  </rv>
  <rv s="0">
    <v>536870912</v>
    <v>Juba</v>
    <v>4dfb3035-1f71-020c-ac75-1fd8e9de5a25</v>
    <v>en-US</v>
    <v>Map</v>
  </rv>
  <rv s="1">
    <fb>1727.1569999999999</fb>
    <v>24</v>
  </rv>
  <rv s="1">
    <fb>4583.7054616258101</fb>
    <v>27</v>
  </rv>
  <rv s="1">
    <fb>1.8785162569662401</fb>
    <v>23</v>
  </rv>
  <rv s="1">
    <fb>43.5817242123859</fb>
    <v>24</v>
  </rv>
  <rv s="1">
    <fb>4.6959999999999997</fb>
    <v>25</v>
  </rv>
  <rv s="1">
    <fb>72.222634783900205</fb>
    <v>28</v>
  </rv>
  <rv s="1">
    <fb>0.28000000000000003</fb>
    <v>29</v>
  </rv>
  <rv s="1">
    <fb>11997800751.0613</fb>
    <v>30</v>
  </rv>
  <rv s="1">
    <fb>0.72989909999999991</fb>
    <v>23</v>
  </rv>
  <rv s="1">
    <fb>63.7</fb>
    <v>28</v>
  </rv>
  <rv s="0">
    <v>805306368</v>
    <v>Salva Kiir Mayardit (President)</v>
    <v>c0ae52ac-d436-411b-b133-bb255da42af4</v>
    <v>en-US</v>
    <v>Generic</v>
  </rv>
  <rv s="0">
    <v>805306368</v>
    <v>Riek Machar (Vice president)</v>
    <v>68ed28f3-fb00-a527-16cb-cdd5c41d370e</v>
    <v>en-US</v>
    <v>Generic</v>
  </rv>
  <rv s="0">
    <v>805306368</v>
    <v>Jemma Nunu Kumba (Speaker)</v>
    <v>7c089c61-5460-31b4-dc01-29cbc64a5baf</v>
    <v>en-US</v>
    <v>Generic</v>
  </rv>
  <rv s="0">
    <v>805306368</v>
    <v>Chan Reec Madut (Chief justice)</v>
    <v>72ac3d5e-732a-a00f-fd6b-0139d7be7182</v>
    <v>en-US</v>
    <v>Generic</v>
  </rv>
  <rv s="3">
    <v>67</v>
  </rv>
  <rv s="4">
    <v>https://www.bing.com/search?q=south+sudan&amp;form=skydnc</v>
    <v>Learn more on Bing</v>
  </rv>
  <rv s="1">
    <fb>57.603999999999999</fb>
    <v>28</v>
  </rv>
  <rv s="1">
    <fb>1150</fb>
    <v>28</v>
  </rv>
  <rv s="1">
    <fb>0.61346893280000003</fb>
    <v>23</v>
  </rv>
  <rv s="1">
    <fb>10913164</fb>
    <v>24</v>
  </rv>
  <rv s="1">
    <fb>0.22800000000000001</fb>
    <v>23</v>
  </rv>
  <rv s="1">
    <fb>0.50600000000000001</fb>
    <v>23</v>
  </rv>
  <rv s="1">
    <fb>1.3000000000000001E-2</fb>
    <v>23</v>
  </rv>
  <rv s="1">
    <fb>0.14199999999999999</fb>
    <v>23</v>
  </rv>
  <rv s="1">
    <fb>0.72386001586914106</fb>
    <v>23</v>
  </rv>
  <rv s="0">
    <v>536870912</v>
    <v>Jonglei State</v>
    <v>55bb8850-8170-898d-2687-c0773460903b</v>
    <v>en-US</v>
    <v>Map</v>
  </rv>
  <rv s="0">
    <v>536870912</v>
    <v>Abyei</v>
    <v>6173b5eb-ce20-e968-2a66-3b7ba351556c</v>
    <v>en-US</v>
    <v>Map</v>
  </rv>
  <rv s="3">
    <v>68</v>
  </rv>
  <rv s="3">
    <v>69</v>
  </rv>
  <rv s="1">
    <fb>0.314</fb>
    <v>23</v>
  </rv>
  <rv s="1">
    <fb>0.122440004348755</fb>
    <v>31</v>
  </rv>
  <rv s="1">
    <fb>2201250</fb>
    <v>24</v>
  </rv>
  <rv s="13">
    <v>#VALUE!</v>
    <v>en-US</v>
    <v>635b509c-70bc-d390-59d2-111df3a4c6bf</v>
    <v>536870912</v>
    <v>1</v>
    <v>137</v>
    <v>138</v>
    <v>South Sudan</v>
    <v>19</v>
    <v>20</v>
    <v>Map</v>
    <v>21</v>
    <v>139</v>
    <v>SS</v>
    <v>1105</v>
    <v>1106</v>
    <v>1107</v>
    <v>1108</v>
    <v>1109</v>
    <v>1110</v>
    <v>1111</v>
    <v>1112</v>
    <v>SSP</v>
    <v>South Sudan, officially the Republic of South Sudan, is a landlocked country in East Africa. It is bordered on the north by Sudan; on the east by Ethiopia; on the south by the Democratic Republic of the Congo, Uganda and Kenya; and on the west ...</v>
    <v>1113</v>
    <v>1114</v>
    <v>1115</v>
    <v>1116</v>
    <v>1117</v>
    <v>1118</v>
    <v>18</v>
    <v>1119</v>
    <v>1109</v>
    <v>1124</v>
    <v>1125</v>
    <v>1126</v>
    <v>1127</v>
    <v>South Sudan</v>
    <v>South Sudan Oyee!</v>
    <v>132</v>
    <v>la République du Soudan du Sud</v>
    <v>1128</v>
    <v>1129</v>
    <v>1130</v>
    <v>1100</v>
    <v>1131</v>
    <v>1132</v>
    <v>83</v>
    <v>479</v>
    <v>1133</v>
    <v>1134</v>
    <v>1137</v>
    <v>1138</v>
    <v>1139</v>
    <v>1140</v>
    <v>South Sudan</v>
    <v>1141</v>
    <v>mdp/vdpid/276</v>
  </rv>
  <rv s="0">
    <v>536870912</v>
    <v>Bolivia</v>
    <v>2da62ca9-5c7a-8f0a-b312-b40ce201f0d0</v>
    <v>en-US</v>
    <v>Map</v>
  </rv>
  <rv s="1">
    <fb>0.34787224222283797</fb>
    <v>23</v>
  </rv>
  <rv s="1">
    <fb>1098581</fb>
    <v>24</v>
  </rv>
  <rv s="1">
    <fb>71000</fb>
    <v>24</v>
  </rv>
  <rv s="1">
    <fb>21.75</fb>
    <v>25</v>
  </rv>
  <rv s="1">
    <fb>591</fb>
    <v>26</v>
  </rv>
  <rv s="0">
    <v>536870912</v>
    <v>Sucre</v>
    <v>f8e304d7-f705-ae11-2527-4417e0689505</v>
    <v>en-US</v>
    <v>Map</v>
  </rv>
  <rv s="1">
    <fb>21605.964</fb>
    <v>24</v>
  </rv>
  <rv s="1">
    <fb>148.31751847535801</fb>
    <v>27</v>
  </rv>
  <rv s="1">
    <fb>1.83954504969032E-2</fb>
    <v>23</v>
  </rv>
  <rv s="1">
    <fb>742.53839974288599</fb>
    <v>24</v>
  </rv>
  <rv s="1">
    <fb>2.73</fb>
    <v>25</v>
  </rv>
  <rv s="1">
    <fb>0.50286162651158495</fb>
    <v>23</v>
  </rv>
  <rv s="1">
    <fb>84.153289986877496</fb>
    <v>28</v>
  </rv>
  <rv s="1">
    <fb>0.71</fb>
    <v>29</v>
  </rv>
  <rv s="1">
    <fb>40895322865.412399</fb>
    <v>30</v>
  </rv>
  <rv s="1">
    <fb>0.98150919999999997</fb>
    <v>23</v>
  </rv>
  <rv s="1">
    <fb>21.8</fb>
    <v>28</v>
  </rv>
  <rv s="0">
    <v>536870912</v>
    <v>Santa Cruz de la Sierra</v>
    <v>af7cf39e-638f-ff6b-c0bc-d59f11e7993e</v>
    <v>en-US</v>
    <v>Map</v>
  </rv>
  <rv s="0">
    <v>805306368</v>
    <v>Luis Arce (President)</v>
    <v>d1f13422-1d15-493d-8364-b20f08fc79ae</v>
    <v>en-US</v>
    <v>Generic</v>
  </rv>
  <rv s="0">
    <v>805306368</v>
    <v>David Choquehuanca (Vice president)</v>
    <v>4084c748-353c-a859-544a-e1be262507f3</v>
    <v>en-US</v>
    <v>Generic</v>
  </rv>
  <rv s="3">
    <v>70</v>
  </rv>
  <rv s="4">
    <v>https://www.bing.com/search?q=bolivia&amp;form=skydnc</v>
    <v>Learn more on Bing</v>
  </rv>
  <rv s="1">
    <fb>71.239000000000004</fb>
    <v>28</v>
  </rv>
  <rv s="1">
    <fb>155</fb>
    <v>28</v>
  </rv>
  <rv s="1">
    <fb>1.36</fb>
    <v>29</v>
  </rv>
  <rv s="3">
    <v>71</v>
  </rv>
  <rv s="1">
    <fb>0.25921914619999997</fb>
    <v>23</v>
  </rv>
  <rv s="1">
    <fb>1.5901000000000001</fb>
    <v>25</v>
  </rv>
  <rv s="1">
    <fb>12224110</fb>
    <v>24</v>
  </rv>
  <rv s="1">
    <fb>0.22899999999999998</fb>
    <v>23</v>
  </rv>
  <rv s="1">
    <fb>0.47200000000000003</fb>
    <v>23</v>
  </rv>
  <rv s="1">
    <fb>1.4999999999999999E-2</fb>
    <v>23</v>
  </rv>
  <rv s="1">
    <fb>4.5999999999999999E-2</fb>
    <v>23</v>
  </rv>
  <rv s="1">
    <fb>0.10099999999999999</fb>
    <v>23</v>
  </rv>
  <rv s="1">
    <fb>0.153</fb>
    <v>23</v>
  </rv>
  <rv s="1">
    <fb>0.718130035400391</fb>
    <v>23</v>
  </rv>
  <rv s="0">
    <v>536870912</v>
    <v>Beni Department</v>
    <v>2c2bad54-59b5-c8ba-a70d-7afc08c53963</v>
    <v>en-US</v>
    <v>Map</v>
  </rv>
  <rv s="0">
    <v>536870912</v>
    <v>Chuquisaca Department</v>
    <v>02bf17fb-0e5b-d89f-1f80-9faaf75f002a</v>
    <v>en-US</v>
    <v>Map</v>
  </rv>
  <rv s="0">
    <v>536870912</v>
    <v>Cochabamba Department</v>
    <v>773b6e15-7981-19c3-9b72-f562f8e78fd5</v>
    <v>en-US</v>
    <v>Map</v>
  </rv>
  <rv s="0">
    <v>536870912</v>
    <v>La Paz Department</v>
    <v>29c87a7e-90c5-955f-b0fc-971e7610a8fc</v>
    <v>en-US</v>
    <v>Map</v>
  </rv>
  <rv s="0">
    <v>536870912</v>
    <v>Oruro Department</v>
    <v>2431b55d-5fe3-644e-77d3-89d8bace76db</v>
    <v>en-US</v>
    <v>Map</v>
  </rv>
  <rv s="0">
    <v>536870912</v>
    <v>Santa Cruz Department</v>
    <v>4fbb234c-7880-72ad-ed91-20faf0a1ce64</v>
    <v>en-US</v>
    <v>Map</v>
  </rv>
  <rv s="0">
    <v>536870912</v>
    <v>Potosí Department</v>
    <v>a546933d-2809-ff8f-ceed-3714ac903a55</v>
    <v>en-US</v>
    <v>Map</v>
  </rv>
  <rv s="0">
    <v>536870912</v>
    <v>Tarija Department</v>
    <v>bef97951-fecf-0d6d-8e48-4bac07be159e</v>
    <v>en-US</v>
    <v>Map</v>
  </rv>
  <rv s="0">
    <v>536870912</v>
    <v>Pando Department</v>
    <v>eed3cf44-05da-c432-d53e-c47683dc5a6b</v>
    <v>en-US</v>
    <v>Map</v>
  </rv>
  <rv s="3">
    <v>72</v>
  </rv>
  <rv s="1">
    <fb>0.169648658038032</fb>
    <v>23</v>
  </rv>
  <rv s="3">
    <v>73</v>
  </rv>
  <rv s="1">
    <fb>0.83700000000000008</fb>
    <v>23</v>
  </rv>
  <rv s="1">
    <fb>3.4979999065399198E-2</fb>
    <v>31</v>
  </rv>
  <rv s="1">
    <fb>8033035</fb>
    <v>24</v>
  </rv>
  <rv s="14">
    <v>#VALUE!</v>
    <v>en-US</v>
    <v>2da62ca9-5c7a-8f0a-b312-b40ce201f0d0</v>
    <v>536870912</v>
    <v>1</v>
    <v>144</v>
    <v>145</v>
    <v>Bolivia</v>
    <v>19</v>
    <v>20</v>
    <v>Map</v>
    <v>21</v>
    <v>146</v>
    <v>BO</v>
    <v>1144</v>
    <v>1145</v>
    <v>1146</v>
    <v>1147</v>
    <v>1148</v>
    <v>1149</v>
    <v>1150</v>
    <v>1151</v>
    <v>1152</v>
    <v>BOB</v>
    <v>Bolivia, officially the Plurinational State of Bolivia, is a landlocked country located in central South America. The country features diverse geography, including vast Amazonian plains, tropical lowlands, mountains, the Gran Chaco Province, ...</v>
    <v>1153</v>
    <v>1154</v>
    <v>1155</v>
    <v>1156</v>
    <v>1157</v>
    <v>1158</v>
    <v>1159</v>
    <v>18</v>
    <v>1160</v>
    <v>1161</v>
    <v>1164</v>
    <v>1165</v>
    <v>1166</v>
    <v>1167</v>
    <v>1168</v>
    <v>Bolivia</v>
    <v>National anthem of Bolivia</v>
    <v>1169</v>
    <v>Estado Plurinacional de Bolivia</v>
    <v>1170</v>
    <v>1171</v>
    <v>1172</v>
    <v>1173</v>
    <v>276</v>
    <v>1174</v>
    <v>1175</v>
    <v>1176</v>
    <v>1177</v>
    <v>1178</v>
    <v>1179</v>
    <v>1189</v>
    <v>1190</v>
    <v>1191</v>
    <v>1192</v>
    <v>1193</v>
    <v>Bolivia</v>
    <v>1194</v>
    <v>mdp/vdpid/26</v>
  </rv>
  <rv s="0">
    <v>536870912</v>
    <v>Zambia</v>
    <v>b8b30682-32da-bc4a-79df-7634e7a4a031</v>
    <v>en-US</v>
    <v>Map</v>
  </rv>
  <rv s="1">
    <fb>0.32063923378038406</fb>
    <v>23</v>
  </rv>
  <rv s="1">
    <fb>752618</fb>
    <v>24</v>
  </rv>
  <rv s="1">
    <fb>16000</fb>
    <v>24</v>
  </rv>
  <rv s="1">
    <fb>36.192</fb>
    <v>25</v>
  </rv>
  <rv s="1">
    <fb>260</fb>
    <v>26</v>
  </rv>
  <rv s="0">
    <v>536870912</v>
    <v>Lusaka</v>
    <v>7de4c181-8645-0103-ad1c-c0461c192a4d</v>
    <v>en-US</v>
    <v>Map</v>
  </rv>
  <rv s="1">
    <fb>5141.134</fb>
    <v>24</v>
  </rv>
  <rv s="1">
    <fb>212.308758955396</fb>
    <v>27</v>
  </rv>
  <rv s="1">
    <fb>9.150316443162991E-2</fb>
    <v>23</v>
  </rv>
  <rv s="1">
    <fb>717.349167873017</fb>
    <v>24</v>
  </rv>
  <rv s="1">
    <fb>4.633</fb>
    <v>25</v>
  </rv>
  <rv s="1">
    <fb>0.65199153119493103</fb>
    <v>23</v>
  </rv>
  <rv s="1">
    <fb>10.563324103313899</fb>
    <v>28</v>
  </rv>
  <rv s="1">
    <fb>1.4</fb>
    <v>29</v>
  </rv>
  <rv s="1">
    <fb>23064722446.351299</fb>
    <v>30</v>
  </rv>
  <rv s="1">
    <fb>0.98715520000000001</fb>
    <v>23</v>
  </rv>
  <rv s="1">
    <fb>4.1160300000000004E-2</fb>
    <v>23</v>
  </rv>
  <rv s="1">
    <fb>40.4</fb>
    <v>28</v>
  </rv>
  <rv s="0">
    <v>805306368</v>
    <v>Hakainde Hichilema (President)</v>
    <v>ea9a4668-10b5-9389-3f1d-c7669c7eea8c</v>
    <v>en-US</v>
    <v>Generic</v>
  </rv>
  <rv s="0">
    <v>805306368</v>
    <v>Mutale Nalumango (Vice president)</v>
    <v>11442c5a-5529-5046-ffd6-2b9d141b02b2</v>
    <v>en-US</v>
    <v>Generic</v>
  </rv>
  <rv s="0">
    <v>805306368</v>
    <v>Nelly Mutti (Speaker)</v>
    <v>5ebd3b70-4964-1714-d23f-b53dd75d9098</v>
    <v>en-US</v>
    <v>Generic</v>
  </rv>
  <rv s="0">
    <v>805306368</v>
    <v>Mumba Malila (Chief justice)</v>
    <v>84ab6a04-5c1a-3679-6911-9cdf423b493d</v>
    <v>en-US</v>
    <v>Generic</v>
  </rv>
  <rv s="3">
    <v>74</v>
  </rv>
  <rv s="4">
    <v>https://www.bing.com/search?q=zambia&amp;form=skydnc</v>
    <v>Learn more on Bing</v>
  </rv>
  <rv s="1">
    <fb>63.51</fb>
    <v>28</v>
  </rv>
  <rv s="1">
    <fb>3184470000</fb>
    <v>30</v>
  </rv>
  <rv s="1">
    <fb>213</fb>
    <v>28</v>
  </rv>
  <rv s="1">
    <fb>0.24</fb>
    <v>29</v>
  </rv>
  <rv s="1">
    <fb>0.27528931629999998</fb>
    <v>23</v>
  </rv>
  <rv s="1">
    <fb>1.1867000000000001</fb>
    <v>25</v>
  </rv>
  <rv s="1">
    <fb>20017675</fb>
    <v>24</v>
  </rv>
  <rv s="1">
    <fb>0.193</fb>
    <v>23</v>
  </rv>
  <rv s="1">
    <fb>0.44400000000000001</fb>
    <v>23</v>
  </rv>
  <rv s="1">
    <fb>0.61299999999999999</fb>
    <v>23</v>
  </rv>
  <rv s="1">
    <fb>0.01</fb>
    <v>23</v>
  </rv>
  <rv s="1">
    <fb>0.106</fb>
    <v>23</v>
  </rv>
  <rv s="1">
    <fb>0.74614997863769505</fb>
    <v>23</v>
  </rv>
  <rv s="0">
    <v>536870912</v>
    <v>Central Province, Zambia</v>
    <v>da53850c-e534-4e9b-e487-e1fc9ffa39cf</v>
    <v>en-US</v>
    <v>Map</v>
  </rv>
  <rv s="0">
    <v>536870912</v>
    <v>Copperbelt Province</v>
    <v>a3727fec-c04e-cd55-ad3f-0406a87a1def</v>
    <v>en-US</v>
    <v>Map</v>
  </rv>
  <rv s="0">
    <v>536870912</v>
    <v>Eastern Province, Zambia</v>
    <v>f5236972-3279-8032-2615-0730ff6c315b</v>
    <v>en-US</v>
    <v>Map</v>
  </rv>
  <rv s="0">
    <v>536870912</v>
    <v>Luapula Province</v>
    <v>7ddedf6e-7ab2-3b8f-f8f2-ce78a7b3ee35</v>
    <v>en-US</v>
    <v>Map</v>
  </rv>
  <rv s="0">
    <v>536870912</v>
    <v>Lusaka Province</v>
    <v>f5a2130c-e3e9-8ce4-6c96-d6378a92eff0</v>
    <v>en-US</v>
    <v>Map</v>
  </rv>
  <rv s="0">
    <v>536870912</v>
    <v>Northern Province, Zambia</v>
    <v>f86c9678-ce07-60ea-efcd-9bf324135874</v>
    <v>en-US</v>
    <v>Map</v>
  </rv>
  <rv s="0">
    <v>536870912</v>
    <v>North-Western Province, Zambia</v>
    <v>5461b6f9-4965-a338-a8f9-06cfbab6c899</v>
    <v>en-US</v>
    <v>Map</v>
  </rv>
  <rv s="0">
    <v>536870912</v>
    <v>Southern Province, Zambia</v>
    <v>1455596d-0374-ae22-e948-fd5db0b0c3f6</v>
    <v>en-US</v>
    <v>Map</v>
  </rv>
  <rv s="0">
    <v>536870912</v>
    <v>Western Province, Zambia</v>
    <v>3dc41777-31fd-7d58-db85-8e2010136880</v>
    <v>en-US</v>
    <v>Map</v>
  </rv>
  <rv s="0">
    <v>536870912</v>
    <v>Muchinga Province</v>
    <v>64cf481c-435e-04e7-d1ba-a054a7dd88a4</v>
    <v>en-US</v>
    <v>Map</v>
  </rv>
  <rv s="3">
    <v>75</v>
  </rv>
  <rv s="1">
    <fb>0.161613240647138</fb>
    <v>23</v>
  </rv>
  <rv s="3">
    <v>76</v>
  </rv>
  <rv s="1">
    <fb>0.11425000190734901</fb>
    <v>31</v>
  </rv>
  <rv s="1">
    <fb>7871713</fb>
    <v>24</v>
  </rv>
  <rv s="6">
    <v>#VALUE!</v>
    <v>en-US</v>
    <v>b8b30682-32da-bc4a-79df-7634e7a4a031</v>
    <v>536870912</v>
    <v>1</v>
    <v>151</v>
    <v>38</v>
    <v>Zambia</v>
    <v>19</v>
    <v>20</v>
    <v>Map</v>
    <v>21</v>
    <v>152</v>
    <v>ZM</v>
    <v>1197</v>
    <v>1198</v>
    <v>1199</v>
    <v>1200</v>
    <v>1201</v>
    <v>1202</v>
    <v>1203</v>
    <v>1204</v>
    <v>1205</v>
    <v>ZMW</v>
    <v>Zambia, officially the Republic of Zambia, is a landlocked country at the crossroads of Central, Southern and East Africa. It is typically referred to being in South-Central Africa or Southern Africa. It is bordered to the north by the ...</v>
    <v>1206</v>
    <v>1207</v>
    <v>1208</v>
    <v>1209</v>
    <v>1210</v>
    <v>1211</v>
    <v>1212</v>
    <v>1213</v>
    <v>18</v>
    <v>1214</v>
    <v>1202</v>
    <v>1219</v>
    <v>1220</v>
    <v>1221</v>
    <v>1222</v>
    <v>1223</v>
    <v>1224</v>
    <v>Zambia</v>
    <v>Stand and Sing of Zambia, Proud and Free</v>
    <v>132</v>
    <v>Zambia</v>
    <v>1225</v>
    <v>1226</v>
    <v>1227</v>
    <v>1228</v>
    <v>1229</v>
    <v>1230</v>
    <v>1231</v>
    <v>222</v>
    <v>1090</v>
    <v>1232</v>
    <v>1233</v>
    <v>1244</v>
    <v>1245</v>
    <v>1246</v>
    <v>86</v>
    <v>1247</v>
    <v>Zambia</v>
    <v>1248</v>
    <v>mdp/vdpid/263</v>
  </rv>
  <rv s="0">
    <v>536870912</v>
    <v>Afghanistan</v>
    <v>c650f0dc-d7a9-6c0b-6125-b52ae4cd36b5</v>
    <v>en-US</v>
    <v>Map</v>
  </rv>
  <rv s="1">
    <fb>0.58067579572955896</fb>
    <v>23</v>
  </rv>
  <rv s="1">
    <fb>652230</fb>
    <v>24</v>
  </rv>
  <rv s="1">
    <fb>323000</fb>
    <v>24</v>
  </rv>
  <rv s="1">
    <fb>32.487000000000002</fb>
    <v>25</v>
  </rv>
  <rv s="1">
    <fb>93</fb>
    <v>26</v>
  </rv>
  <rv s="0">
    <v>536870912</v>
    <v>Kabul</v>
    <v>9e39744c-fdfe-92b6-a9bc-39aa272561e6</v>
    <v>en-US</v>
    <v>Map</v>
  </rv>
  <rv s="1">
    <fb>8672.4549999999999</fb>
    <v>24</v>
  </rv>
  <rv s="1">
    <fb>149.89597520803201</fb>
    <v>27</v>
  </rv>
  <rv s="1">
    <fb>2.30237251516844E-2</fb>
    <v>23</v>
  </rv>
  <rv s="1">
    <fb>4.4729999999999999</fb>
    <v>25</v>
  </rv>
  <rv s="1">
    <fb>2.0678246484698102E-2</fb>
    <v>23</v>
  </rv>
  <rv s="1">
    <fb>0.7</fb>
    <v>29</v>
  </rv>
  <rv s="1">
    <fb>19101353832.737099</fb>
    <v>30</v>
  </rv>
  <rv s="1">
    <fb>1.0399616</fb>
    <v>23</v>
  </rv>
  <rv s="1">
    <fb>9.6864199999999998E-2</fb>
    <v>23</v>
  </rv>
  <rv s="1">
    <fb>47.9</fb>
    <v>28</v>
  </rv>
  <rv s="0">
    <v>805306368</v>
    <v>Hibatullah Akhundzada (Supreme leader)</v>
    <v>c79fccb3-3f96-8f58-f5b4-c33fc8931273</v>
    <v>en-US</v>
    <v>Generic</v>
  </rv>
  <rv s="0">
    <v>805306368</v>
    <v>Hasan Akhund (Prime minister)</v>
    <v>a6a54a14-c450-e73c-d97f-ea18542aef2b</v>
    <v>en-US</v>
    <v>Generic</v>
  </rv>
  <rv s="0">
    <v>805306368</v>
    <v>Abdul Hakim Haqqani (Chief justice)</v>
    <v>7c2c3c36-b688-f8a7-4ac1-ea9d99e56a85</v>
    <v>en-US</v>
    <v>Generic</v>
  </rv>
  <rv s="3">
    <v>77</v>
  </rv>
  <rv s="4">
    <v>https://www.bing.com/search?q=afghanistan&amp;form=skydnc</v>
    <v>Learn more on Bing</v>
  </rv>
  <rv s="1">
    <fb>64.486000000000004</fb>
    <v>28</v>
  </rv>
  <rv s="1">
    <fb>638</fb>
    <v>28</v>
  </rv>
  <rv s="1">
    <fb>0.43</fb>
    <v>29</v>
  </rv>
  <rv s="3">
    <v>78</v>
  </rv>
  <rv s="1">
    <fb>0.78382296479999991</fb>
    <v>23</v>
  </rv>
  <rv s="1">
    <fb>0.2782</fb>
    <v>25</v>
  </rv>
  <rv s="1">
    <fb>41128771</fb>
    <v>24</v>
  </rv>
  <rv s="1">
    <fb>0.48891998291015598</fb>
    <v>23</v>
  </rv>
  <rv s="0">
    <v>536870912</v>
    <v>Badakhshan Province</v>
    <v>a76dd38e-3531-0c42-7fb2-210ae2a1c86e</v>
    <v>en-US</v>
    <v>Map</v>
  </rv>
  <rv s="0">
    <v>536870912</v>
    <v>Badghis Province</v>
    <v>fafb218e-2282-2c45-b0ff-909e0073d897</v>
    <v>en-US</v>
    <v>Map</v>
  </rv>
  <rv s="0">
    <v>536870912</v>
    <v>Baghlan Province</v>
    <v>59a7399c-fb46-0ca8-1fa8-3d431318e956</v>
    <v>en-US</v>
    <v>Map</v>
  </rv>
  <rv s="0">
    <v>536870912</v>
    <v>Balkh Province</v>
    <v>aeade1a9-7086-303f-93eb-0e52a0db49e9</v>
    <v>en-US</v>
    <v>Map</v>
  </rv>
  <rv s="0">
    <v>536870912</v>
    <v>Bamyan Province</v>
    <v>67a97306-b7de-b280-2288-6c54d2cbcecd</v>
    <v>en-US</v>
    <v>Map</v>
  </rv>
  <rv s="0">
    <v>536870912</v>
    <v>Daikundi Province</v>
    <v>7203fea6-408c-176f-edd6-5499a9e36797</v>
    <v>en-US</v>
    <v>Map</v>
  </rv>
  <rv s="0">
    <v>536870912</v>
    <v>Farah Province</v>
    <v>360bbec7-bc65-ccc2-d017-64eab5c39b6f</v>
    <v>en-US</v>
    <v>Map</v>
  </rv>
  <rv s="0">
    <v>536870912</v>
    <v>Faryab Province</v>
    <v>318c2a8b-27fe-0a3e-889e-8f61968de8d8</v>
    <v>en-US</v>
    <v>Map</v>
  </rv>
  <rv s="0">
    <v>536870912</v>
    <v>Ghazni Province</v>
    <v>1b180331-5e3c-7275-c87a-06633dc4a2e0</v>
    <v>en-US</v>
    <v>Map</v>
  </rv>
  <rv s="0">
    <v>536870912</v>
    <v>Ghor Province</v>
    <v>349bc75f-8254-9801-74cb-c41869af77df</v>
    <v>en-US</v>
    <v>Map</v>
  </rv>
  <rv s="0">
    <v>536870912</v>
    <v>Helmand Province</v>
    <v>1fa20d1d-b360-bf61-9a49-00020956cf84</v>
    <v>en-US</v>
    <v>Map</v>
  </rv>
  <rv s="0">
    <v>536870912</v>
    <v>Herat Province</v>
    <v>1b800148-f493-b48e-86c9-35af0bc7a184</v>
    <v>en-US</v>
    <v>Map</v>
  </rv>
  <rv s="0">
    <v>536870912</v>
    <v>Jowzjan Province</v>
    <v>740686d1-5063-1aa1-877a-4a738fa9de22</v>
    <v>en-US</v>
    <v>Map</v>
  </rv>
  <rv s="0">
    <v>536870912</v>
    <v>Kabul Province</v>
    <v>cc53c949-ca15-8b61-adef-11c8598c43c7</v>
    <v>en-US</v>
    <v>Map</v>
  </rv>
  <rv s="0">
    <v>536870912</v>
    <v>Kandahar Province</v>
    <v>418ff057-0b75-8b05-2a70-b1ea45d38332</v>
    <v>en-US</v>
    <v>Map</v>
  </rv>
  <rv s="0">
    <v>536870912</v>
    <v>Kapisa Province</v>
    <v>15ee9b54-1db9-3305-b800-00995983e920</v>
    <v>en-US</v>
    <v>Map</v>
  </rv>
  <rv s="0">
    <v>536870912</v>
    <v>Khost Province</v>
    <v>54533663-bbf7-c806-21c0-43af1dda7fb4</v>
    <v>en-US</v>
    <v>Map</v>
  </rv>
  <rv s="0">
    <v>536870912</v>
    <v>Kunar Province</v>
    <v>c8ce1482-dc54-7521-5bfd-e60378bbdaad</v>
    <v>en-US</v>
    <v>Map</v>
  </rv>
  <rv s="0">
    <v>536870912</v>
    <v>Kunduz Province</v>
    <v>3a755081-6484-d392-5656-6134c8746f0f</v>
    <v>en-US</v>
    <v>Map</v>
  </rv>
  <rv s="0">
    <v>536870912</v>
    <v>Laghman Province</v>
    <v>83080f71-f8e1-54b3-e623-890b84e2b254</v>
    <v>en-US</v>
    <v>Map</v>
  </rv>
  <rv s="0">
    <v>536870912</v>
    <v>Logar Province</v>
    <v>262f0b58-673c-9c18-2492-fcbe8280890e</v>
    <v>en-US</v>
    <v>Map</v>
  </rv>
  <rv s="0">
    <v>536870912</v>
    <v>Maidan Wardak Province</v>
    <v>2aca529e-7921-7063-45de-c59deee0b0a2</v>
    <v>en-US</v>
    <v>Map</v>
  </rv>
  <rv s="0">
    <v>536870912</v>
    <v>Nangarhar Province</v>
    <v>e9a162d1-04da-e9b2-c71b-9206da93a649</v>
    <v>en-US</v>
    <v>Map</v>
  </rv>
  <rv s="0">
    <v>536870912</v>
    <v>Nimruz Province</v>
    <v>e072bd17-7d63-56de-af00-17f8795aeffb</v>
    <v>en-US</v>
    <v>Map</v>
  </rv>
  <rv s="0">
    <v>536870912</v>
    <v>Nuristan Province</v>
    <v>6e3c2115-37f8-124e-8b63-6dc04e515c8d</v>
    <v>en-US</v>
    <v>Map</v>
  </rv>
  <rv s="0">
    <v>536870912</v>
    <v>Paktia Province</v>
    <v>6c3f2c2a-eb78-faa3-eeef-6cce33907e6f</v>
    <v>en-US</v>
    <v>Map</v>
  </rv>
  <rv s="0">
    <v>536870912</v>
    <v>Paktika Province</v>
    <v>d88b6d30-53ba-16c3-a0a1-209752dea872</v>
    <v>en-US</v>
    <v>Map</v>
  </rv>
  <rv s="0">
    <v>536870912</v>
    <v>Panjshir Province</v>
    <v>1facb893-c4b3-cdc9-fa55-3c66c678ae7d</v>
    <v>en-US</v>
    <v>Map</v>
  </rv>
  <rv s="0">
    <v>536870912</v>
    <v>Parwan Province</v>
    <v>60a945d1-8a9c-e3be-aaff-530b6bc0b713</v>
    <v>en-US</v>
    <v>Map</v>
  </rv>
  <rv s="0">
    <v>536870912</v>
    <v>Samangan Province</v>
    <v>6c8518c6-75b1-ac24-1dc7-fe718b3f7c3d</v>
    <v>en-US</v>
    <v>Map</v>
  </rv>
  <rv s="0">
    <v>536870912</v>
    <v>Sar-e-Pol Province</v>
    <v>e79e1b3d-1204-e5d7-d99c-3b7ac42238e5</v>
    <v>en-US</v>
    <v>Map</v>
  </rv>
  <rv s="0">
    <v>536870912</v>
    <v>Takhar Province</v>
    <v>ed50b793-d75b-68db-83a4-8969c13eca1c</v>
    <v>en-US</v>
    <v>Map</v>
  </rv>
  <rv s="0">
    <v>536870912</v>
    <v>Uruzgan Province</v>
    <v>49427ef4-f64f-c259-f912-7d395888bb25</v>
    <v>en-US</v>
    <v>Map</v>
  </rv>
  <rv s="0">
    <v>536870912</v>
    <v>Zabul Province</v>
    <v>81e3c78a-b5ac-7497-bd1c-a3b9a1cf7790</v>
    <v>en-US</v>
    <v>Map</v>
  </rv>
  <rv s="3">
    <v>79</v>
  </rv>
  <rv s="1">
    <fb>9.250468048559661E-2</fb>
    <v>23</v>
  </rv>
  <rv s="3">
    <v>80</v>
  </rv>
  <rv s="1">
    <fb>0.71400000000000008</fb>
    <v>23</v>
  </rv>
  <rv s="1">
    <fb>0.111180000305176</fb>
    <v>31</v>
  </rv>
  <rv s="1">
    <fb>9797273</fb>
    <v>24</v>
  </rv>
  <rv s="15">
    <v>#VALUE!</v>
    <v>en-US</v>
    <v>c650f0dc-d7a9-6c0b-6125-b52ae4cd36b5</v>
    <v>536870912</v>
    <v>1</v>
    <v>157</v>
    <v>158</v>
    <v>Afghanistan</v>
    <v>19</v>
    <v>20</v>
    <v>Map</v>
    <v>21</v>
    <v>159</v>
    <v>AF</v>
    <v>1251</v>
    <v>1252</v>
    <v>1253</v>
    <v>1254</v>
    <v>1255</v>
    <v>1256</v>
    <v>1257</v>
    <v>1258</v>
    <v>1259</v>
    <v>AFA</v>
    <v>Afghanistan, officially the Islamic Emirate of Afghanistan, is a landlocked country located at the crossroads of Central Asia and South Asia. It is bordered by Pakistan to the east and south, Iran to the west, Turkmenistan to the northwest, ...</v>
    <v>1260</v>
    <v>1261</v>
    <v>1262</v>
    <v>1263</v>
    <v>1264</v>
    <v>1265</v>
    <v>18</v>
    <v>1266</v>
    <v>1256</v>
    <v>1270</v>
    <v>1271</v>
    <v>1272</v>
    <v>1273</v>
    <v>1274</v>
    <v>Afghanistan</v>
    <v>This Is the Home of the Brave</v>
    <v>1275</v>
    <v>امارت اسلامی افغانستان</v>
    <v>1276</v>
    <v>1277</v>
    <v>1278</v>
    <v>1279</v>
    <v>1314</v>
    <v>1315</v>
    <v>1316</v>
    <v>1317</v>
    <v>1318</v>
    <v>Afghanistan</v>
    <v>1319</v>
    <v>mdp/vdpid/3</v>
  </rv>
  <rv s="0">
    <v>536870912</v>
    <v>Mongolia</v>
    <v>ea062577-4c66-e22b-7054-abf32c1063b0</v>
    <v>en-US</v>
    <v>Map</v>
  </rv>
  <rv s="1">
    <fb>0.71488840550091393</fb>
    <v>23</v>
  </rv>
  <rv s="1">
    <fb>1564116</fb>
    <v>24</v>
  </rv>
  <rv s="1">
    <fb>18000</fb>
    <v>24</v>
  </rv>
  <rv s="1">
    <fb>24.131</fb>
    <v>25</v>
  </rv>
  <rv s="1">
    <fb>976</fb>
    <v>26</v>
  </rv>
  <rv s="0">
    <v>536870912</v>
    <v>Ulaanbaatar</v>
    <v>c11a6c9b-cae8-fd85-165c-84f646e12623</v>
    <v>en-US</v>
    <v>Map</v>
  </rv>
  <rv s="1">
    <fb>25368.306</fb>
    <v>24</v>
  </rv>
  <rv s="1">
    <fb>195.762902940885</fb>
    <v>27</v>
  </rv>
  <rv s="1">
    <fb>7.3048159748014804E-2</fb>
    <v>23</v>
  </rv>
  <rv s="1">
    <fb>2006.38888095267</fb>
    <v>24</v>
  </rv>
  <rv s="1">
    <fb>2.895</fb>
    <v>25</v>
  </rv>
  <rv s="1">
    <fb>8.0174048837830497E-2</fb>
    <v>23</v>
  </rv>
  <rv s="1">
    <fb>93.199382825958295</fb>
    <v>28</v>
  </rv>
  <rv s="1">
    <fb>0.72</fb>
    <v>29</v>
  </rv>
  <rv s="1">
    <fb>13852850259.485399</fb>
    <v>30</v>
  </rv>
  <rv s="1">
    <fb>1.0404036000000001</fb>
    <v>23</v>
  </rv>
  <rv s="1">
    <fb>0.65595439999999994</fb>
    <v>23</v>
  </rv>
  <rv s="1">
    <fb>14</fb>
    <v>28</v>
  </rv>
  <rv s="0">
    <v>805306368</v>
    <v>Ukhnaagiin Khürelsükh (President)</v>
    <v>bc801878-ff5f-0137-5b5c-42148a01e142</v>
    <v>en-US</v>
    <v>Generic</v>
  </rv>
  <rv s="0">
    <v>805306368</v>
    <v>Luvsannamsrain Oyun-Erdene (Prime minister)</v>
    <v>8003655e-4b2a-63b8-1fd2-6559bcc5b341</v>
    <v>en-US</v>
    <v>Generic</v>
  </rv>
  <rv s="0">
    <v>805306368</v>
    <v>Dashzegviin Amarbayasgalan (Chairman)</v>
    <v>614c9ae6-5c28-74ed-640f-f45d38028a56</v>
    <v>en-US</v>
    <v>Generic</v>
  </rv>
  <rv s="3">
    <v>81</v>
  </rv>
  <rv s="4">
    <v>https://www.bing.com/search?q=mongolia&amp;form=skydnc</v>
    <v>Learn more on Bing</v>
  </rv>
  <rv s="1">
    <fb>69.688999999999993</fb>
    <v>28</v>
  </rv>
  <rv s="1">
    <fb>45</fb>
    <v>28</v>
  </rv>
  <rv s="3">
    <v>82</v>
  </rv>
  <rv s="1">
    <fb>0.39295083490000005</fb>
    <v>23</v>
  </rv>
  <rv s="1">
    <fb>2.8592</fb>
    <v>25</v>
  </rv>
  <rv s="1">
    <fb>3398366</fb>
    <v>24</v>
  </rv>
  <rv s="1">
    <fb>0.25700000000000001</fb>
    <v>23</v>
  </rv>
  <rv s="1">
    <fb>0.40899999999999997</fb>
    <v>23</v>
  </rv>
  <rv s="1">
    <fb>3.3000000000000002E-2</fb>
    <v>23</v>
  </rv>
  <rv s="1">
    <fb>0.12300000000000001</fb>
    <v>23</v>
  </rv>
  <rv s="1">
    <fb>0.16500000000000001</fb>
    <v>23</v>
  </rv>
  <rv s="1">
    <fb>0.59675998687744103</fb>
    <v>23</v>
  </rv>
  <rv s="0">
    <v>536870912</v>
    <v>Arkhangai Province</v>
    <v>edd50e4a-5ecc-305a-df7e-74921f647452</v>
    <v>en-US</v>
    <v>Map</v>
  </rv>
  <rv s="0">
    <v>536870912</v>
    <v>Bayan-Ölgii Province</v>
    <v>50c83bc0-6f0f-59ba-f5d1-bcf9ceb80062</v>
    <v>en-US</v>
    <v>Map</v>
  </rv>
  <rv s="0">
    <v>536870912</v>
    <v>Bayankhongor Province</v>
    <v>6cd2c4a5-4966-4b19-3238-7a58159b158a</v>
    <v>en-US</v>
    <v>Map</v>
  </rv>
  <rv s="0">
    <v>536870912</v>
    <v>Bulgan Province</v>
    <v>e3437407-0307-eaea-a174-7efe4ce6eef5</v>
    <v>en-US</v>
    <v>Map</v>
  </rv>
  <rv s="0">
    <v>536870912</v>
    <v>Darkhan-Uul Province</v>
    <v>c8aeff9e-52e2-62e9-6a80-1e8d4e295a44</v>
    <v>en-US</v>
    <v>Map</v>
  </rv>
  <rv s="0">
    <v>536870912</v>
    <v>Dornod Province</v>
    <v>e0525b6e-3acb-9b47-cdcd-1f3b551cdf1b</v>
    <v>en-US</v>
    <v>Map</v>
  </rv>
  <rv s="0">
    <v>536870912</v>
    <v>Dornogovi Province</v>
    <v>83fd1fbf-9885-13dd-5f94-776cb9aaf282</v>
    <v>en-US</v>
    <v>Map</v>
  </rv>
  <rv s="0">
    <v>536870912</v>
    <v>Dundgobi Province</v>
    <v>81437413-692a-683c-d1d6-72f105203c6b</v>
    <v>en-US</v>
    <v>Map</v>
  </rv>
  <rv s="0">
    <v>536870912</v>
    <v>Govi-Altai Province</v>
    <v>c8bf4ce2-d29e-8a68-6052-28112a2e41f2</v>
    <v>en-US</v>
    <v>Map</v>
  </rv>
  <rv s="0">
    <v>536870912</v>
    <v>Govisümber Province</v>
    <v>8825bc76-9d25-63a9-fef6-7b13f2b456ae</v>
    <v>en-US</v>
    <v>Map</v>
  </rv>
  <rv s="0">
    <v>536870912</v>
    <v>Khentii Province</v>
    <v>f1aa4d79-c82c-7fa9-0808-63e4bb7a84a6</v>
    <v>en-US</v>
    <v>Map</v>
  </rv>
  <rv s="0">
    <v>536870912</v>
    <v>Khovd Province</v>
    <v>9579df50-cdf8-e0f5-1366-2f94d9268421</v>
    <v>en-US</v>
    <v>Map</v>
  </rv>
  <rv s="0">
    <v>536870912</v>
    <v>Khövsgöl Province</v>
    <v>980dcf67-5ab3-8f72-810e-b08e04e958bc</v>
    <v>en-US</v>
    <v>Map</v>
  </rv>
  <rv s="0">
    <v>536870912</v>
    <v>Orkhon Province</v>
    <v>9a9fbd7c-1921-d5b2-18f3-e6db75d8c628</v>
    <v>en-US</v>
    <v>Map</v>
  </rv>
  <rv s="0">
    <v>536870912</v>
    <v>Övörkhangai Province</v>
    <v>f72f2a5b-aa15-a3f1-54be-0d059ad7c7b2</v>
    <v>en-US</v>
    <v>Map</v>
  </rv>
  <rv s="0">
    <v>536870912</v>
    <v>Selenge Province</v>
    <v>8d58b013-7c74-c2c9-c4e9-f248a88ead31</v>
    <v>en-US</v>
    <v>Map</v>
  </rv>
  <rv s="0">
    <v>536870912</v>
    <v>Sükhbaatar Province</v>
    <v>9ac4b054-5253-dbe4-1f52-dfc13c9df5eb</v>
    <v>en-US</v>
    <v>Map</v>
  </rv>
  <rv s="0">
    <v>536870912</v>
    <v>Töv Province</v>
    <v>ff8d47ea-055d-0d90-3dee-9fa1f9dc0682</v>
    <v>en-US</v>
    <v>Map</v>
  </rv>
  <rv s="0">
    <v>536870912</v>
    <v>Uvs Province</v>
    <v>06abb258-94fa-9b40-34c2-ed3ee6456d79</v>
    <v>en-US</v>
    <v>Map</v>
  </rv>
  <rv s="0">
    <v>536870912</v>
    <v>Zavkhan Province</v>
    <v>fda03c42-cec6-29f7-632e-3a19bc1ac52e</v>
    <v>en-US</v>
    <v>Map</v>
  </rv>
  <rv s="3">
    <v>83</v>
  </rv>
  <rv s="1">
    <fb>0.16776784623697399</fb>
    <v>23</v>
  </rv>
  <rv s="3">
    <v>84</v>
  </rv>
  <rv s="1">
    <fb>6.0110001564025899E-2</fb>
    <v>31</v>
  </rv>
  <rv s="1">
    <fb>2210626</fb>
    <v>24</v>
  </rv>
  <rv s="8">
    <v>#VALUE!</v>
    <v>en-US</v>
    <v>ea062577-4c66-e22b-7054-abf32c1063b0</v>
    <v>536870912</v>
    <v>1</v>
    <v>164</v>
    <v>82</v>
    <v>Mongolia</v>
    <v>19</v>
    <v>20</v>
    <v>Map</v>
    <v>21</v>
    <v>165</v>
    <v>MN</v>
    <v>1322</v>
    <v>1323</v>
    <v>1324</v>
    <v>1325</v>
    <v>1326</v>
    <v>1327</v>
    <v>1328</v>
    <v>1329</v>
    <v>1330</v>
    <v>MNT</v>
    <v>Mongolia is a landlocked country in East Asia, bordered by Russia to the north and China to the south. It covers an area of 1,564,116 square kilometres, with a population of 3.5 million, making it the world's most sparsely populated sovereign ...</v>
    <v>1331</v>
    <v>1332</v>
    <v>1333</v>
    <v>1334</v>
    <v>1335</v>
    <v>1336</v>
    <v>1337</v>
    <v>1338</v>
    <v>18</v>
    <v>1339</v>
    <v>1327</v>
    <v>1343</v>
    <v>1344</v>
    <v>1345</v>
    <v>1346</v>
    <v>862</v>
    <v>Mongolia</v>
    <v>National anthem of Mongolia</v>
    <v>1347</v>
    <v>Монгол Улс</v>
    <v>1348</v>
    <v>1349</v>
    <v>1350</v>
    <v>423</v>
    <v>1351</v>
    <v>1352</v>
    <v>1353</v>
    <v>427</v>
    <v>1354</v>
    <v>1355</v>
    <v>1356</v>
    <v>1377</v>
    <v>1378</v>
    <v>1379</v>
    <v>1351</v>
    <v>1380</v>
    <v>Mongolia</v>
    <v>1381</v>
    <v>mdp/vdpid/154</v>
  </rv>
  <rv s="0">
    <v>536870912</v>
    <v>Tanzania</v>
    <v>2cfae8b0-3beb-e190-7019-29edde94e3e0</v>
    <v>en-US</v>
    <v>Map</v>
  </rv>
  <rv s="1">
    <fb>0.44761797245427898</fb>
    <v>23</v>
  </rv>
  <rv s="1">
    <fb>947303</fb>
    <v>24</v>
  </rv>
  <rv s="1">
    <fb>28000</fb>
    <v>24</v>
  </rv>
  <rv s="1">
    <fb>36.700000000000003</fb>
    <v>25</v>
  </rv>
  <rv s="1">
    <fb>255</fb>
    <v>26</v>
  </rv>
  <rv s="0">
    <v>536870912</v>
    <v>Dodoma</v>
    <v>a336fd71-199e-7557-a105-dd368f3c8210</v>
    <v>en-US</v>
    <v>Map</v>
  </rv>
  <rv s="1">
    <fb>11972.754999999999</fb>
    <v>24</v>
  </rv>
  <rv s="1">
    <fb>187.430158933386</fb>
    <v>27</v>
  </rv>
  <rv s="1">
    <fb>3.4642805799902601E-2</fb>
    <v>23</v>
  </rv>
  <rv s="1">
    <fb>103.68331576521599</fb>
    <v>24</v>
  </rv>
  <rv s="1">
    <fb>4.8920000000000003</fb>
    <v>25</v>
  </rv>
  <rv s="1">
    <fb>0.51578234364416309</fb>
    <v>23</v>
  </rv>
  <rv s="1">
    <fb>14.380616951892099</fb>
    <v>28</v>
  </rv>
  <rv s="1">
    <fb>0.87</fb>
    <v>29</v>
  </rv>
  <rv s="1">
    <fb>63177068174.549004</fb>
    <v>30</v>
  </rv>
  <rv s="1">
    <fb>0.94168689999999999</fb>
    <v>23</v>
  </rv>
  <rv s="1">
    <fb>4.0101600000000001E-2</fb>
    <v>23</v>
  </rv>
  <rv s="1">
    <fb>37.6</fb>
    <v>28</v>
  </rv>
  <rv s="0">
    <v>536870912</v>
    <v>Dar es Salaam</v>
    <v>b834f4ed-c3b3-2ad3-425b-36a4be604716</v>
    <v>en-US</v>
    <v>Map</v>
  </rv>
  <rv s="0">
    <v>805306368</v>
    <v>Samia Suluhu Hassan (President)</v>
    <v>6b384cc1-95e5-4433-9157-873daa3a373c</v>
    <v>en-US</v>
    <v>Generic</v>
  </rv>
  <rv s="0">
    <v>805306368</v>
    <v>Philip Mpango (Vice president)</v>
    <v>3cd9b87d-60cb-9a08-c0e2-b328e97d93ad</v>
    <v>en-US</v>
    <v>Generic</v>
  </rv>
  <rv s="0">
    <v>805306368</v>
    <v>Kassim Majaliwa (Prime minister)</v>
    <v>ca4e832b-6872-4827-887f-7804fb55aa9b</v>
    <v>en-US</v>
    <v>Generic</v>
  </rv>
  <rv s="0">
    <v>805306368</v>
    <v>Tulia Ackson (Speaker)</v>
    <v>6333f6f0-12c8-b433-ca13-05fbc1df9f4c</v>
    <v>en-US</v>
    <v>Generic</v>
  </rv>
  <rv s="0">
    <v>805306368</v>
    <v>Ibrahim Hamis Juma (Chief justice)</v>
    <v>a4375b50-a1f2-adb4-fcac-330d97ab622d</v>
    <v>en-US</v>
    <v>Generic</v>
  </rv>
  <rv s="3">
    <v>85</v>
  </rv>
  <rv s="4">
    <v>https://www.bing.com/search?q=tanzania&amp;form=skydnc</v>
    <v>Learn more on Bing</v>
  </rv>
  <rv s="1">
    <fb>65.015000000000001</fb>
    <v>28</v>
  </rv>
  <rv s="1">
    <fb>398100000</fb>
    <v>30</v>
  </rv>
  <rv s="1">
    <fb>524</fb>
    <v>28</v>
  </rv>
  <rv s="1">
    <fb>0.09</fb>
    <v>29</v>
  </rv>
  <rv s="3">
    <v>86</v>
  </rv>
  <rv s="1">
    <fb>0.26149116560000002</fb>
    <v>23</v>
  </rv>
  <rv s="1">
    <fb>1.4E-2</fb>
    <v>25</v>
  </rv>
  <rv s="1">
    <fb>65497748</fb>
    <v>24</v>
  </rv>
  <rv s="1">
    <fb>0.33100000000000002</fb>
    <v>23</v>
  </rv>
  <rv s="1">
    <fb>0.48100000000000004</fb>
    <v>23</v>
  </rv>
  <rv s="1">
    <fb>6.9000000000000006E-2</fb>
    <v>23</v>
  </rv>
  <rv s="1">
    <fb>0.83412002563476606</fb>
    <v>23</v>
  </rv>
  <rv s="0">
    <v>536870912</v>
    <v>Mwanza Region</v>
    <v>ec2e6314-6cef-8a10-b982-2fbaaf1a017e</v>
    <v>en-US</v>
    <v>Map</v>
  </rv>
  <rv s="0">
    <v>536870912</v>
    <v>Shinyanga Region</v>
    <v>f2b7fd6a-99f7-2f79-c7aa-6e1397cbc1a8</v>
    <v>en-US</v>
    <v>Map</v>
  </rv>
  <rv s="0">
    <v>536870912</v>
    <v>Mbeya Region</v>
    <v>2d39fadc-63bd-f295-bda7-9b1e11d4a090</v>
    <v>en-US</v>
    <v>Map</v>
  </rv>
  <rv s="0">
    <v>536870912</v>
    <v>Kagera Region</v>
    <v>f6b40bb1-6ddd-835d-a3f6-42f3a77dba9c</v>
    <v>en-US</v>
    <v>Map</v>
  </rv>
  <rv s="0">
    <v>536870912</v>
    <v>Morogoro Region</v>
    <v>fc248d0b-dc71-3a6a-253c-d84620965fd9</v>
    <v>en-US</v>
    <v>Map</v>
  </rv>
  <rv s="0">
    <v>536870912</v>
    <v>Tabora Region</v>
    <v>f1191b0b-d64f-70ed-fdd9-8ee299abc6a4</v>
    <v>en-US</v>
    <v>Map</v>
  </rv>
  <rv s="0">
    <v>536870912</v>
    <v>Dodoma Region</v>
    <v>a0c69226-4585-d219-ca0a-5afbe5f11768</v>
    <v>en-US</v>
    <v>Map</v>
  </rv>
  <rv s="0">
    <v>536870912</v>
    <v>Kigoma Region</v>
    <v>772391a8-053e-b6f7-1829-83eb4d7f39ce</v>
    <v>en-US</v>
    <v>Map</v>
  </rv>
  <rv s="0">
    <v>536870912</v>
    <v>Tanga Region</v>
    <v>1fef9e91-2513-1195-7f2f-6059265d3666</v>
    <v>en-US</v>
    <v>Map</v>
  </rv>
  <rv s="0">
    <v>536870912</v>
    <v>Iringa Region</v>
    <v>82e4024e-18b6-a78f-da02-b2a5037bf8c0</v>
    <v>en-US</v>
    <v>Map</v>
  </rv>
  <rv s="0">
    <v>536870912</v>
    <v>Kilimanjaro Region</v>
    <v>168bcb72-e533-737f-4a74-1df855f5ddda</v>
    <v>en-US</v>
    <v>Map</v>
  </rv>
  <rv s="0">
    <v>536870912</v>
    <v>Mara Region</v>
    <v>0d6d1da3-377f-d527-b2de-99c8d3bd3d90</v>
    <v>en-US</v>
    <v>Map</v>
  </rv>
  <rv s="0">
    <v>536870912</v>
    <v>Arusha Region</v>
    <v>b5140e27-5025-b787-5e88-bfafdcc9257b</v>
    <v>en-US</v>
    <v>Map</v>
  </rv>
  <rv s="0">
    <v>536870912</v>
    <v>Mtwara Region</v>
    <v>b7cec449-e82a-b80a-0b74-347ee94b38a2</v>
    <v>en-US</v>
    <v>Map</v>
  </rv>
  <rv s="0">
    <v>536870912</v>
    <v>Rukwa Region</v>
    <v>376fec36-dc3b-6fb1-658b-e802572a5489</v>
    <v>en-US</v>
    <v>Map</v>
  </rv>
  <rv s="0">
    <v>536870912</v>
    <v>Ruvuma Region</v>
    <v>65c1ab97-2a74-df72-b6ed-472d8fcce87f</v>
    <v>en-US</v>
    <v>Map</v>
  </rv>
  <rv s="0">
    <v>536870912</v>
    <v>Singida Region</v>
    <v>a041d593-5d01-635f-a887-cad871c68414</v>
    <v>en-US</v>
    <v>Map</v>
  </rv>
  <rv s="0">
    <v>536870912</v>
    <v>Manyara Region</v>
    <v>93ad7d87-c70f-8ef4-11fb-f8cff9072ef8</v>
    <v>en-US</v>
    <v>Map</v>
  </rv>
  <rv s="0">
    <v>536870912</v>
    <v>Pwani Region</v>
    <v>26dceea1-a7ec-d06e-1077-5ea05d2de430</v>
    <v>en-US</v>
    <v>Map</v>
  </rv>
  <rv s="0">
    <v>536870912</v>
    <v>Lindi Region</v>
    <v>299d4016-ec73-670e-97f8-e0fad8e478d9</v>
    <v>en-US</v>
    <v>Map</v>
  </rv>
  <rv s="0">
    <v>536870912</v>
    <v>Mjini Magharibi Region</v>
    <v>dcb0c0e8-876e-a8b3-ac55-94367b8f989e</v>
    <v>en-US</v>
    <v>Map</v>
  </rv>
  <rv s="0">
    <v>536870912</v>
    <v>Pemba North Region</v>
    <v>e83560b5-5570-c857-9222-f6275b015547</v>
    <v>en-US</v>
    <v>Map</v>
  </rv>
  <rv s="0">
    <v>536870912</v>
    <v>Pemba South Region</v>
    <v>3338a3f5-8675-a33d-e4b9-fb8690efad5b</v>
    <v>en-US</v>
    <v>Map</v>
  </rv>
  <rv s="0">
    <v>536870912</v>
    <v>Unguja North Region</v>
    <v>4e562235-0f03-e397-29a8-082cdc878cb4</v>
    <v>en-US</v>
    <v>Map</v>
  </rv>
  <rv s="0">
    <v>536870912</v>
    <v>Unguja South Region</v>
    <v>76dc29ae-c776-8ec0-bac8-13ca3679abaf</v>
    <v>en-US</v>
    <v>Map</v>
  </rv>
  <rv s="0">
    <v>536870912</v>
    <v>Shinyanga</v>
    <v>1f0b07cc-f91b-58a2-a210-059f7748447c</v>
    <v>en-US</v>
    <v>Map</v>
  </rv>
  <rv s="0">
    <v>536870912</v>
    <v>Mtwara</v>
    <v>c11015b5-6645-4786-92fb-4a43c02a085e</v>
    <v>en-US</v>
    <v>Map</v>
  </rv>
  <rv s="0">
    <v>536870912</v>
    <v>Kigoma</v>
    <v>2f16d18e-900a-fc65-8d7f-087532557891</v>
    <v>en-US</v>
    <v>Map</v>
  </rv>
  <rv s="0">
    <v>536870912</v>
    <v>Mbeya</v>
    <v>6752258a-0d25-b0ae-749d-2d4a9f23777b</v>
    <v>en-US</v>
    <v>Map</v>
  </rv>
  <rv s="0">
    <v>536870912</v>
    <v>Tabora</v>
    <v>672b4ec3-4660-4c01-5c78-8fd2c9110708</v>
    <v>en-US</v>
    <v>Map</v>
  </rv>
  <rv s="0">
    <v>536870912</v>
    <v>Mount Kilimanjaro</v>
    <v>f779243d-3398-eb70-55dc-f1f1a7322a0a</v>
    <v>en-US</v>
    <v>Map</v>
  </rv>
  <rv s="0">
    <v>536870912</v>
    <v>Morogoro</v>
    <v>bf80e9e4-63bb-8ca1-9944-a54ad2d47a07</v>
    <v>en-US</v>
    <v>Map</v>
  </rv>
  <rv s="0">
    <v>536870912</v>
    <v>Iringa</v>
    <v>b1ffddc1-5953-3662-b42e-6b3b38ab3211</v>
    <v>en-US</v>
    <v>Map</v>
  </rv>
  <rv s="0">
    <v>536870912</v>
    <v>Lindi</v>
    <v>cbba6bd3-1586-9e1f-f97f-69ef9c0d3413</v>
    <v>en-US</v>
    <v>Map</v>
  </rv>
  <rv s="0">
    <v>536870912</v>
    <v>Mwanza</v>
    <v>de8238d2-9d8a-335d-9806-653fdc5628b9</v>
    <v>en-US</v>
    <v>Map</v>
  </rv>
  <rv s="3">
    <v>87</v>
  </rv>
  <rv s="1">
    <fb>0.11493954613651799</fb>
    <v>23</v>
  </rv>
  <rv s="3">
    <v>88</v>
  </rv>
  <rv s="1">
    <fb>0.43799999999999994</fb>
    <v>23</v>
  </rv>
  <rv s="1">
    <fb>1.9800000190734902E-2</fb>
    <v>31</v>
  </rv>
  <rv s="1">
    <fb>20011885</fb>
    <v>24</v>
  </rv>
  <rv s="6">
    <v>#VALUE!</v>
    <v>en-US</v>
    <v>2cfae8b0-3beb-e190-7019-29edde94e3e0</v>
    <v>536870912</v>
    <v>1</v>
    <v>170</v>
    <v>38</v>
    <v>Tanzania</v>
    <v>19</v>
    <v>20</v>
    <v>Map</v>
    <v>21</v>
    <v>171</v>
    <v>TZ</v>
    <v>1384</v>
    <v>1385</v>
    <v>1386</v>
    <v>1387</v>
    <v>1388</v>
    <v>1389</v>
    <v>1390</v>
    <v>1391</v>
    <v>1392</v>
    <v>TZS</v>
    <v>Tanzania, officially the United Republic of Tanzania, is a country in East Africa within the African Great Lakes region. It is bordered by Uganda to the northwest; Kenya to the northeast; the Indian Ocean to the east; Mozambique and Malawi to ...</v>
    <v>1393</v>
    <v>1394</v>
    <v>1395</v>
    <v>1396</v>
    <v>1397</v>
    <v>1398</v>
    <v>1399</v>
    <v>1400</v>
    <v>18</v>
    <v>1401</v>
    <v>1402</v>
    <v>1408</v>
    <v>1409</v>
    <v>1410</v>
    <v>1411</v>
    <v>1412</v>
    <v>1413</v>
    <v>Tanzania</v>
    <v>Mungu ibariki Afrika</v>
    <v>1414</v>
    <v>République unie de Tanzanie</v>
    <v>1415</v>
    <v>1416</v>
    <v>1417</v>
    <v>932</v>
    <v>1418</v>
    <v>1419</v>
    <v>222</v>
    <v>1420</v>
    <v>280</v>
    <v>1133</v>
    <v>1421</v>
    <v>1457</v>
    <v>1458</v>
    <v>1459</v>
    <v>1460</v>
    <v>1461</v>
    <v>Tanzania</v>
    <v>1462</v>
    <v>mdp/vdpid/239</v>
  </rv>
  <rv s="0">
    <v>536870912</v>
    <v>Cambodia</v>
    <v>bb8658d2-efc7-e40e-6397-05439c87cb30</v>
    <v>en-US</v>
    <v>Map</v>
  </rv>
  <rv s="1">
    <fb>0.30903013822796299</fb>
    <v>23</v>
  </rv>
  <rv s="1">
    <fb>181035</fb>
    <v>24</v>
  </rv>
  <rv s="1">
    <fb>191000</fb>
    <v>24</v>
  </rv>
  <rv s="1">
    <fb>22.463999999999999</fb>
    <v>25</v>
  </rv>
  <rv s="1">
    <fb>855</fb>
    <v>26</v>
  </rv>
  <rv s="0">
    <v>536870912</v>
    <v>Phnom Penh</v>
    <v>2af6d400-9e36-c46e-40c8-48152c13e1cc</v>
    <v>en-US</v>
    <v>Map</v>
  </rv>
  <rv s="1">
    <fb>9919.2350000000006</fb>
    <v>24</v>
  </rv>
  <rv s="1">
    <fb>127.633466125719</fb>
    <v>27</v>
  </rv>
  <rv s="1">
    <fb>2.4579649002317901E-2</fb>
    <v>23</v>
  </rv>
  <rv s="1">
    <fb>271.36725823419602</fb>
    <v>24</v>
  </rv>
  <rv s="1">
    <fb>2.5030000000000001</fb>
    <v>25</v>
  </rv>
  <rv s="1">
    <fb>0.52852932298748001</fb>
    <v>23</v>
  </rv>
  <rv s="1">
    <fb>30.629081397543999</fb>
    <v>28</v>
  </rv>
  <rv s="1">
    <fb>0.9</fb>
    <v>29</v>
  </rv>
  <rv s="1">
    <fb>27089389786.968399</fb>
    <v>30</v>
  </rv>
  <rv s="1">
    <fb>1.0741485</fb>
    <v>23</v>
  </rv>
  <rv s="1">
    <fb>0.13687760000000002</fb>
    <v>23</v>
  </rv>
  <rv s="1">
    <fb>24</fb>
    <v>28</v>
  </rv>
  <rv s="0">
    <v>805306368</v>
    <v>Norodom Sihamoni (Monarch)</v>
    <v>a95f7f79-66ee-d11e-a411-10669d3d5027</v>
    <v>en-US</v>
    <v>Generic</v>
  </rv>
  <rv s="0">
    <v>805306368</v>
    <v>Hun Manet (Prime minister)</v>
    <v>01c2714d-bb04-7cc5-12f6-dda3f77b2c62</v>
    <v>en-US</v>
    <v>Generic</v>
  </rv>
  <rv s="3">
    <v>89</v>
  </rv>
  <rv s="4">
    <v>https://www.bing.com/search?q=cambodia&amp;form=skydnc</v>
    <v>Learn more on Bing</v>
  </rv>
  <rv s="1">
    <fb>69.569999999999993</fb>
    <v>28</v>
  </rv>
  <rv s="1">
    <fb>160</fb>
    <v>28</v>
  </rv>
  <rv s="3">
    <v>90</v>
  </rv>
  <rv s="1">
    <fb>0.59363314229999997</fb>
    <v>23</v>
  </rv>
  <rv s="1">
    <fb>0.16819999999999999</fb>
    <v>25</v>
  </rv>
  <rv s="1">
    <fb>16767842</fb>
    <v>24</v>
  </rv>
  <rv s="1">
    <fb>0.82313003540039109</fb>
    <v>23</v>
  </rv>
  <rv s="0">
    <v>536870912</v>
    <v>Banteay Meanchey province</v>
    <v>505a5635-03c6-3282-06d4-b29d4f60e720</v>
    <v>en-US</v>
    <v>Map</v>
  </rv>
  <rv s="0">
    <v>536870912</v>
    <v>Battambang province</v>
    <v>a4627637-5390-c9da-b3fd-9909541ae42c</v>
    <v>en-US</v>
    <v>Map</v>
  </rv>
  <rv s="0">
    <v>536870912</v>
    <v>Kampong Cham province</v>
    <v>8c373015-7888-6d3d-8026-8b55879e04e8</v>
    <v>en-US</v>
    <v>Map</v>
  </rv>
  <rv s="0">
    <v>536870912</v>
    <v>Kampong Chhnang province</v>
    <v>d70295a1-217a-1f43-e542-f65e1b577c7b</v>
    <v>en-US</v>
    <v>Map</v>
  </rv>
  <rv s="0">
    <v>536870912</v>
    <v>Kampong Speu province</v>
    <v>b7c7cee7-453b-f3ed-7e11-91500de7886f</v>
    <v>en-US</v>
    <v>Map</v>
  </rv>
  <rv s="0">
    <v>536870912</v>
    <v>Kampong Thom province</v>
    <v>8612fdc7-179e-420f-418d-f5957626ee3e</v>
    <v>en-US</v>
    <v>Map</v>
  </rv>
  <rv s="0">
    <v>536870912</v>
    <v>Kampot province</v>
    <v>39b642fc-0a43-f761-1735-30054e9c2441</v>
    <v>en-US</v>
    <v>Map</v>
  </rv>
  <rv s="0">
    <v>536870912</v>
    <v>Kandal province</v>
    <v>172ab1c0-4e87-3804-6ebc-5ab4cc1628bf</v>
    <v>en-US</v>
    <v>Map</v>
  </rv>
  <rv s="0">
    <v>536870912</v>
    <v>Koh Kong province</v>
    <v>e2e200f7-3c7d-ddbb-230d-8df6024f0f70</v>
    <v>en-US</v>
    <v>Map</v>
  </rv>
  <rv s="0">
    <v>536870912</v>
    <v>Kratié province</v>
    <v>12dcc255-4c9c-c7fd-12b9-c69ac9bfd061</v>
    <v>en-US</v>
    <v>Map</v>
  </rv>
  <rv s="0">
    <v>536870912</v>
    <v>Mondulkiri province</v>
    <v>f2d64bb2-2943-991b-f338-025dad7c90a2</v>
    <v>en-US</v>
    <v>Map</v>
  </rv>
  <rv s="0">
    <v>536870912</v>
    <v>Oddar Meanchey province</v>
    <v>023439ca-104c-cf5c-fa55-276a17b031d3</v>
    <v>en-US</v>
    <v>Map</v>
  </rv>
  <rv s="0">
    <v>536870912</v>
    <v>Preah Vihear province</v>
    <v>acf0105e-7051-7b0d-cf2a-bc9ceb06a073</v>
    <v>en-US</v>
    <v>Map</v>
  </rv>
  <rv s="0">
    <v>536870912</v>
    <v>Pursat province</v>
    <v>c62a8d40-5575-a2b8-dcc7-14bcf457b830</v>
    <v>en-US</v>
    <v>Map</v>
  </rv>
  <rv s="0">
    <v>536870912</v>
    <v>Prey Veng province</v>
    <v>d48859b0-aeaf-1bdc-d91d-c1c8716e0bf3</v>
    <v>en-US</v>
    <v>Map</v>
  </rv>
  <rv s="0">
    <v>536870912</v>
    <v>Ratanakiri province</v>
    <v>4ea0c574-0a72-3fc7-181b-b7ff35d0a8d4</v>
    <v>en-US</v>
    <v>Map</v>
  </rv>
  <rv s="0">
    <v>536870912</v>
    <v>Siem Reap province</v>
    <v>41502905-753f-39f7-3a73-73920daff8b5</v>
    <v>en-US</v>
    <v>Map</v>
  </rv>
  <rv s="0">
    <v>536870912</v>
    <v>Stung Treng province</v>
    <v>d0d1346d-02f3-ddb5-8dcd-61ed702e40d4</v>
    <v>en-US</v>
    <v>Map</v>
  </rv>
  <rv s="0">
    <v>536870912</v>
    <v>Svay Rieng province</v>
    <v>c2206c42-8e00-3b93-d460-84a6956df4da</v>
    <v>en-US</v>
    <v>Map</v>
  </rv>
  <rv s="0">
    <v>536870912</v>
    <v>Takéo province</v>
    <v>ad3f47be-b385-aa9b-b056-26e1ce0c37e5</v>
    <v>en-US</v>
    <v>Map</v>
  </rv>
  <rv s="0">
    <v>536870912</v>
    <v>Pailin province</v>
    <v>389479ba-7ca4-3b3f-9a3e-54ce0d52f046</v>
    <v>en-US</v>
    <v>Map</v>
  </rv>
  <rv s="3">
    <v>91</v>
  </rv>
  <rv s="1">
    <fb>0.17052091762089902</fb>
    <v>23</v>
  </rv>
  <rv s="3">
    <v>92</v>
  </rv>
  <rv s="1">
    <fb>0.23100000000000001</fb>
    <v>23</v>
  </rv>
  <rv s="1">
    <fb>6.7699998617172198E-3</fb>
    <v>31</v>
  </rv>
  <rv s="1">
    <fb>3924621</fb>
    <v>24</v>
  </rv>
  <rv s="16">
    <v>#VALUE!</v>
    <v>en-US</v>
    <v>bb8658d2-efc7-e40e-6397-05439c87cb30</v>
    <v>536870912</v>
    <v>1</v>
    <v>176</v>
    <v>177</v>
    <v>Cambodia</v>
    <v>19</v>
    <v>20</v>
    <v>Map</v>
    <v>21</v>
    <v>178</v>
    <v>KH</v>
    <v>1465</v>
    <v>1466</v>
    <v>1467</v>
    <v>1468</v>
    <v>1469</v>
    <v>1470</v>
    <v>1471</v>
    <v>1472</v>
    <v>1473</v>
    <v>KHR</v>
    <v>Cambodia, officially the Kingdom of Cambodia, is a country in Southeast Asia on the Indochinese Peninsula. It is bordered by Thailand to the northwest, Laos to the north, and Vietnam to the east, and has a coastline along the Gulf of Thailand in ...</v>
    <v>1474</v>
    <v>1475</v>
    <v>1476</v>
    <v>1477</v>
    <v>1478</v>
    <v>1479</v>
    <v>1480</v>
    <v>1481</v>
    <v>18</v>
    <v>1482</v>
    <v>1470</v>
    <v>1485</v>
    <v>1486</v>
    <v>1487</v>
    <v>1488</v>
    <v>Cambodia</v>
    <v>Nokor Reach</v>
    <v>1489</v>
    <v>ព្រះរាជាណាចក្រកម្ពុជា</v>
    <v>1490</v>
    <v>1491</v>
    <v>1492</v>
    <v>1493</v>
    <v>1515</v>
    <v>1516</v>
    <v>1517</v>
    <v>1518</v>
    <v>1519</v>
    <v>Cambodia</v>
    <v>1520</v>
    <v>mdp/vdpid/40</v>
  </rv>
  <rv s="0">
    <v>536870912</v>
    <v>Sierra Leone</v>
    <v>41793478-51d5-adbf-c119-180944ed6ef5</v>
    <v>en-US</v>
    <v>Map</v>
  </rv>
  <rv s="1">
    <fb>0.54710446106954802</fb>
    <v>23</v>
  </rv>
  <rv s="1">
    <fb>71740</fb>
    <v>24</v>
  </rv>
  <rv s="1">
    <fb>9000</fb>
    <v>24</v>
  </rv>
  <rv s="1">
    <fb>33.405999999999999</fb>
    <v>25</v>
  </rv>
  <rv s="1">
    <fb>232</fb>
    <v>26</v>
  </rv>
  <rv s="0">
    <v>536870912</v>
    <v>Freetown</v>
    <v>55165688-4d05-763a-a26e-f7e79cafa0da</v>
    <v>en-US</v>
    <v>Map</v>
  </rv>
  <rv s="1">
    <fb>1092.7660000000001</fb>
    <v>24</v>
  </rv>
  <rv s="1">
    <fb>234.15870949074099</fb>
    <v>27</v>
  </rv>
  <rv s="1">
    <fb>0.148030585681759</fb>
    <v>23</v>
  </rv>
  <rv s="1">
    <fb>4.2629999999999999</fb>
    <v>25</v>
  </rv>
  <rv s="1">
    <fb>0.43053478770521603</fb>
    <v>23</v>
  </rv>
  <rv s="1">
    <fb>1.08</fb>
    <v>29</v>
  </rv>
  <rv s="1">
    <fb>3941474310.7691302</fb>
    <v>30</v>
  </rv>
  <rv s="1">
    <fb>1.1275457</fb>
    <v>23</v>
  </rv>
  <rv s="1">
    <fb>1.9587799999999999E-2</fb>
    <v>23</v>
  </rv>
  <rv s="1">
    <fb>78.5</fb>
    <v>28</v>
  </rv>
  <rv s="0">
    <v>805306368</v>
    <v>Julius Maada Bio (President)</v>
    <v>dba1e7bb-97c5-18a9-378b-8f97f7a20670</v>
    <v>en-US</v>
    <v>Generic</v>
  </rv>
  <rv s="0">
    <v>805306368</v>
    <v>Mohamed Juldeh Jalloh (Vice president)</v>
    <v>c772cd24-8e86-0208-1402-c6235a4729a1</v>
    <v>en-US</v>
    <v>Generic</v>
  </rv>
  <rv s="0">
    <v>805306368</v>
    <v>David Moinina Sengeh (Prime minister)</v>
    <v>e7e20cbf-f65b-4363-64a9-7cd634d44949</v>
    <v>en-US</v>
    <v>Generic</v>
  </rv>
  <rv s="3">
    <v>93</v>
  </rv>
  <rv s="4">
    <v>https://www.bing.com/search?q=sierra+leone&amp;form=skydnc</v>
    <v>Learn more on Bing</v>
  </rv>
  <rv s="1">
    <fb>54.308999999999997</fb>
    <v>28</v>
  </rv>
  <rv s="1">
    <fb>1120</fb>
    <v>28</v>
  </rv>
  <rv s="1">
    <fb>0.56999999999999995</fb>
    <v>29</v>
  </rv>
  <rv s="1">
    <fb>0.38238115090000002</fb>
    <v>23</v>
  </rv>
  <rv s="1">
    <fb>2.5000000000000001E-2</fb>
    <v>25</v>
  </rv>
  <rv s="1">
    <fb>8605718</fb>
    <v>24</v>
  </rv>
  <rv s="1">
    <fb>0.21</fb>
    <v>23</v>
  </rv>
  <rv s="1">
    <fb>0.29399999999999998</fb>
    <v>23</v>
  </rv>
  <rv s="1">
    <fb>0.442</fb>
    <v>23</v>
  </rv>
  <rv s="1">
    <fb>3.4000000000000002E-2</fb>
    <v>23</v>
  </rv>
  <rv s="1">
    <fb>0.11699999999999999</fb>
    <v>23</v>
  </rv>
  <rv s="1">
    <fb>0.57895999908447304</fb>
    <v>23</v>
  </rv>
  <rv s="0">
    <v>536870912</v>
    <v>Northern Province, Sierra Leone</v>
    <v>bd7b6207-d6cb-1c1f-6277-d09bea114dfb</v>
    <v>en-US</v>
    <v>Map</v>
  </rv>
  <rv s="0">
    <v>536870912</v>
    <v>Southern Province, Sierra Leone</v>
    <v>2f3c9dcb-0cd5-6744-49b4-b8117e86218c</v>
    <v>en-US</v>
    <v>Map</v>
  </rv>
  <rv s="0">
    <v>536870912</v>
    <v>Eastern Province, Sierra Leone</v>
    <v>afd79e24-2e3a-f3e5-34e1-a805620bfd76</v>
    <v>en-US</v>
    <v>Map</v>
  </rv>
  <rv s="0">
    <v>536870912</v>
    <v>Western Area</v>
    <v>97c4bd99-40a7-27ce-e2dd-0f1433b76c55</v>
    <v>en-US</v>
    <v>Map</v>
  </rv>
  <rv s="3">
    <v>94</v>
  </rv>
  <rv s="1">
    <fb>8.5952159824142504E-2</fb>
    <v>23</v>
  </rv>
  <rv s="3">
    <v>95</v>
  </rv>
  <rv s="1">
    <fb>0.307</fb>
    <v>23</v>
  </rv>
  <rv s="1">
    <fb>4.4279999732971198E-2</fb>
    <v>31</v>
  </rv>
  <rv s="1">
    <fb>3319366</fb>
    <v>24</v>
  </rv>
  <rv s="9">
    <v>#VALUE!</v>
    <v>en-US</v>
    <v>41793478-51d5-adbf-c119-180944ed6ef5</v>
    <v>536870912</v>
    <v>1</v>
    <v>183</v>
    <v>89</v>
    <v>Sierra Leone</v>
    <v>19</v>
    <v>20</v>
    <v>Map</v>
    <v>21</v>
    <v>184</v>
    <v>SL</v>
    <v>1523</v>
    <v>1524</v>
    <v>1525</v>
    <v>1526</v>
    <v>1527</v>
    <v>1528</v>
    <v>1529</v>
    <v>1530</v>
    <v>1531</v>
    <v>SLE</v>
    <v>Sierra Leone, officially the Republic of Sierra Leone, is a country on the southwest coast of West Africa. It is bordered to the southeast by Liberia and by Guinea to the north. Sierra Leone's land area is 73,252 km². It has a tropical climate ...</v>
    <v>1532</v>
    <v>1533</v>
    <v>1534</v>
    <v>1535</v>
    <v>1536</v>
    <v>1537</v>
    <v>18</v>
    <v>1538</v>
    <v>1528</v>
    <v>1542</v>
    <v>1543</v>
    <v>1544</v>
    <v>1545</v>
    <v>1546</v>
    <v>Sierra Leone</v>
    <v>High We Exalt Thee, Realm of the Free</v>
    <v>132</v>
    <v>Repubblica della Sierra Leone</v>
    <v>1547</v>
    <v>1548</v>
    <v>1549</v>
    <v>1550</v>
    <v>1551</v>
    <v>1552</v>
    <v>1553</v>
    <v>427</v>
    <v>1554</v>
    <v>1178</v>
    <v>1555</v>
    <v>1560</v>
    <v>1561</v>
    <v>1562</v>
    <v>1563</v>
    <v>1564</v>
    <v>Sierra Leone</v>
    <v>1565</v>
    <v>mdp/vdpid/213</v>
  </rv>
  <rv s="0">
    <v>536870912</v>
    <v>Kenya</v>
    <v>8ee43333-b344-289c-d8b1-5abf5e6a5995</v>
    <v>en-US</v>
    <v>Map</v>
  </rv>
  <rv s="1">
    <fb>0.48546930456478199</fb>
    <v>23</v>
  </rv>
  <rv s="1">
    <fb>581309</fb>
    <v>24</v>
  </rv>
  <rv s="1">
    <fb>29000</fb>
    <v>24</v>
  </rv>
  <rv s="1">
    <fb>28.748000000000001</fb>
    <v>25</v>
  </rv>
  <rv s="1">
    <fb>254</fb>
    <v>26</v>
  </rv>
  <rv s="0">
    <v>536870912</v>
    <v>Nairobi</v>
    <v>df1ed42e-a684-844f-342a-4e9bec9a3e99</v>
    <v>en-US</v>
    <v>Map</v>
  </rv>
  <rv s="1">
    <fb>17909.628000000001</fb>
    <v>24</v>
  </rv>
  <rv s="1">
    <fb>180.514812183022</fb>
    <v>27</v>
  </rv>
  <rv s="1">
    <fb>4.6898197612985901E-2</fb>
    <v>23</v>
  </rv>
  <rv s="1">
    <fb>164.32554865493401</fb>
    <v>24</v>
  </rv>
  <rv s="1">
    <fb>3.492</fb>
    <v>25</v>
  </rv>
  <rv s="1">
    <fb>7.8181117082901402E-2</fb>
    <v>23</v>
  </rv>
  <rv s="1">
    <fb>17.379572611489198</fb>
    <v>28</v>
  </rv>
  <rv s="1">
    <fb>0.95</fb>
    <v>29</v>
  </rv>
  <rv s="1">
    <fb>95503088538.091995</fb>
    <v>30</v>
  </rv>
  <rv s="1">
    <fb>1.0320534000000001</fb>
    <v>23</v>
  </rv>
  <rv s="1">
    <fb>0.1146471</fb>
    <v>23</v>
  </rv>
  <rv s="1">
    <fb>30.6</fb>
    <v>28</v>
  </rv>
  <rv s="0">
    <v>805306368</v>
    <v>William Ruto (President)</v>
    <v>b3c9a399-aea6-7619-5ed8-960e4ae2e69f</v>
    <v>en-US</v>
    <v>Generic</v>
  </rv>
  <rv s="0">
    <v>805306368</v>
    <v>Martha Koome (Chief justice)</v>
    <v>1ce8d031-adcc-e20b-6496-4cf0590a125a</v>
    <v>en-US</v>
    <v>Generic</v>
  </rv>
  <rv s="3">
    <v>96</v>
  </rv>
  <rv s="4">
    <v>https://www.bing.com/search?q=kenya&amp;form=skydnc</v>
    <v>Learn more on Bing</v>
  </rv>
  <rv s="1">
    <fb>66.341999999999999</fb>
    <v>28</v>
  </rv>
  <rv s="1">
    <fb>25061520000</fb>
    <v>30</v>
  </rv>
  <rv s="1">
    <fb>342</fb>
    <v>28</v>
  </rv>
  <rv s="1">
    <fb>0.25</fb>
    <v>29</v>
  </rv>
  <rv s="1">
    <fb>0.33366441450000006</fb>
    <v>23</v>
  </rv>
  <rv s="1">
    <fb>0.1565</fb>
    <v>25</v>
  </rv>
  <rv s="1">
    <fb>54027487</fb>
    <v>24</v>
  </rv>
  <rv s="1">
    <fb>0.215</fb>
    <v>23</v>
  </rv>
  <rv s="1">
    <fb>0.316</fb>
    <v>23</v>
  </rv>
  <rv s="1">
    <fb>0.47499999999999998</fb>
    <v>23</v>
  </rv>
  <rv s="1">
    <fb>6.2E-2</fb>
    <v>23</v>
  </rv>
  <rv s="1">
    <fb>0.10300000000000001</fb>
    <v>23</v>
  </rv>
  <rv s="1">
    <fb>0.14599999999999999</fb>
    <v>23</v>
  </rv>
  <rv s="1">
    <fb>0.74695999145507797</fb>
    <v>23</v>
  </rv>
  <rv s="0">
    <v>536870912</v>
    <v>Western Province</v>
    <v>8c1c2ae8-b1e8-2829-3d4f-0bc9e6eb18d6</v>
    <v>en-US</v>
    <v>Map</v>
  </rv>
  <rv s="3">
    <v>97</v>
  </rv>
  <rv s="1">
    <fb>0.15085141819362599</fb>
    <v>23</v>
  </rv>
  <rv s="3">
    <v>98</v>
  </rv>
  <rv s="1">
    <fb>0.37200000000000005</fb>
    <v>23</v>
  </rv>
  <rv s="1">
    <fb>2.64199995994568E-2</fb>
    <v>31</v>
  </rv>
  <rv s="1">
    <fb>14461523</fb>
    <v>24</v>
  </rv>
  <rv s="6">
    <v>#VALUE!</v>
    <v>en-US</v>
    <v>8ee43333-b344-289c-d8b1-5abf5e6a5995</v>
    <v>536870912</v>
    <v>1</v>
    <v>189</v>
    <v>38</v>
    <v>Kenya</v>
    <v>19</v>
    <v>20</v>
    <v>Map</v>
    <v>21</v>
    <v>190</v>
    <v>KE</v>
    <v>1568</v>
    <v>1569</v>
    <v>1570</v>
    <v>1571</v>
    <v>1572</v>
    <v>1573</v>
    <v>1574</v>
    <v>1575</v>
    <v>1576</v>
    <v>KES</v>
    <v>Kenya, officially the Republic of Kenya, is a country in East Africa. With an estimated population of more than 52.4 million as of mid-2024, Kenya is the 27th-most-populous country in the world and 7th most populous in Africa. Kenya's capital ...</v>
    <v>1577</v>
    <v>1578</v>
    <v>1579</v>
    <v>1580</v>
    <v>1581</v>
    <v>1582</v>
    <v>1583</v>
    <v>1584</v>
    <v>18</v>
    <v>1585</v>
    <v>1573</v>
    <v>1588</v>
    <v>1589</v>
    <v>1590</v>
    <v>1591</v>
    <v>1592</v>
    <v>1593</v>
    <v>Kenya</v>
    <v>Ee Mungu Nguvu Yetu</v>
    <v>1414</v>
    <v>Republic of Kenya</v>
    <v>1594</v>
    <v>1595</v>
    <v>1596</v>
    <v>1597</v>
    <v>1598</v>
    <v>1599</v>
    <v>828</v>
    <v>1600</v>
    <v>1601</v>
    <v>1602</v>
    <v>1603</v>
    <v>1605</v>
    <v>1606</v>
    <v>1607</v>
    <v>1608</v>
    <v>1609</v>
    <v>Kenya</v>
    <v>1610</v>
    <v>mdp/vdpid/129</v>
  </rv>
  <rv s="0">
    <v>536870912</v>
    <v>Bosnia and Herzegovina</v>
    <v>d4cae21e-b3ba-1c2f-fa55-9c516a522c1b</v>
    <v>en-US</v>
    <v>Map</v>
  </rv>
  <rv s="1">
    <fb>0.43144531250000001</fb>
    <v>23</v>
  </rv>
  <rv s="1">
    <fb>51197</fb>
    <v>24</v>
  </rv>
  <rv s="1">
    <fb>8.1110000000000007</fb>
    <v>25</v>
  </rv>
  <rv s="1">
    <fb>387</fb>
    <v>26</v>
  </rv>
  <rv s="0">
    <v>536870912</v>
    <v>Sarajevo</v>
    <v>377e62c3-d9a6-4966-991a-32be280889e0</v>
    <v>en-US</v>
    <v>Map</v>
  </rv>
  <rv s="1">
    <fb>21847.986000000001</fb>
    <v>24</v>
  </rv>
  <rv s="1">
    <fb>104.896137350469</fb>
    <v>27</v>
  </rv>
  <rv s="1">
    <fb>5.6278215406130308E-3</fb>
    <v>23</v>
  </rv>
  <rv s="1">
    <fb>3446.76666750907</fb>
    <v>24</v>
  </rv>
  <rv s="1">
    <fb>1.2649999999999999</fb>
    <v>25</v>
  </rv>
  <rv s="1">
    <fb>0.4267578125</fb>
    <v>23</v>
  </rv>
  <rv s="1">
    <fb>77.522044967234194</fb>
    <v>28</v>
  </rv>
  <rv s="1">
    <fb>1.05</fb>
    <v>29</v>
  </rv>
  <rv s="1">
    <fb>20047848434.548698</fb>
    <v>30</v>
  </rv>
  <rv s="1">
    <fb>0.2334466</fb>
    <v>23</v>
  </rv>
  <rv s="1">
    <fb>5</fb>
    <v>28</v>
  </rv>
  <rv s="0">
    <v>805306368</v>
    <v>Christian Schmidt (High Representative)</v>
    <v>bc4efa5b-707f-4690-a7bf-f7f71fd9d869</v>
    <v>en-US</v>
    <v>Generic</v>
  </rv>
  <rv s="0">
    <v>805306368</v>
    <v>Željka Cvijanović (Chairwoman)</v>
    <v>4b7becc4-4e7a-4abd-a45e-a2bb0bbd9e36</v>
    <v>en-US</v>
    <v>Generic</v>
  </rv>
  <rv s="0">
    <v>805306368</v>
    <v>Borjana Krišto (Chairwoman)</v>
    <v>476f6b1a-ac95-1ab9-d9cd-c6e0e7c57d86</v>
    <v>en-US</v>
    <v>Generic</v>
  </rv>
  <rv s="3">
    <v>99</v>
  </rv>
  <rv s="4">
    <v>https://www.bing.com/search?q=bosnia+and+herzegovina&amp;form=skydnc</v>
    <v>Learn more on Bing</v>
  </rv>
  <rv s="1">
    <fb>77.262</fb>
    <v>28</v>
  </rv>
  <rv s="1">
    <fb>10</fb>
    <v>28</v>
  </rv>
  <rv s="1">
    <fb>1.04</fb>
    <v>29</v>
  </rv>
  <rv s="3">
    <v>100</v>
  </rv>
  <rv s="1">
    <fb>0.2863505703</fb>
    <v>23</v>
  </rv>
  <rv s="1">
    <fb>2.1616</fb>
    <v>25</v>
  </rv>
  <rv s="1">
    <fb>3233526</fb>
    <v>24</v>
  </rv>
  <rv s="1">
    <fb>0.251</fb>
    <v>23</v>
  </rv>
  <rv s="1">
    <fb>0.40700000000000003</fb>
    <v>23</v>
  </rv>
  <rv s="1">
    <fb>7.4999999999999997E-2</fb>
    <v>23</v>
  </rv>
  <rv s="1">
    <fb>0.16699999999999998</fb>
    <v>23</v>
  </rv>
  <rv s="1">
    <fb>0.46395000457763702</fb>
    <v>23</v>
  </rv>
  <rv s="0">
    <v>536870912</v>
    <v>Federation of Bosnia and Herzegovina</v>
    <v>47ecb05c-2b04-6687-3768-5ad1d4122d13</v>
    <v>en-US</v>
    <v>Map</v>
  </rv>
  <rv s="0">
    <v>536870912</v>
    <v>Republika Srpska</v>
    <v>2fe856d7-b6f4-dbce-fa75-9ac4319b1d63</v>
    <v>en-US</v>
    <v>Map</v>
  </rv>
  <rv s="0">
    <v>536870912</v>
    <v>Brčko District</v>
    <v>b396b6d6-db22-9823-d1e7-7291c204c629</v>
    <v>en-US</v>
    <v>Map</v>
  </rv>
  <rv s="3">
    <v>101</v>
  </rv>
  <rv s="1">
    <fb>0.204407603558384</fb>
    <v>23</v>
  </rv>
  <rv s="3">
    <v>102</v>
  </rv>
  <rv s="1">
    <fb>0.23699999999999999</fb>
    <v>23</v>
  </rv>
  <rv s="1">
    <fb>0.18424999237060502</fb>
    <v>31</v>
  </rv>
  <rv s="1">
    <fb>1605144</fb>
    <v>24</v>
  </rv>
  <rv s="17">
    <v>#VALUE!</v>
    <v>en-US</v>
    <v>d4cae21e-b3ba-1c2f-fa55-9c516a522c1b</v>
    <v>536870912</v>
    <v>1</v>
    <v>195</v>
    <v>196</v>
    <v>Bosnia and Herzegovina</v>
    <v>19</v>
    <v>20</v>
    <v>Map</v>
    <v>21</v>
    <v>197</v>
    <v>BA</v>
    <v>1613</v>
    <v>1614</v>
    <v>851</v>
    <v>1615</v>
    <v>1616</v>
    <v>1617</v>
    <v>1618</v>
    <v>1619</v>
    <v>1620</v>
    <v>BAM</v>
    <v>Bosnia and Herzegovina, sometimes known as Bosnia-Herzegovina and informally as Bosnia, is a country in Southeast Europe. Situated on the Balkan Peninsula, it borders Serbia to the east, Montenegro to the southeast, and Croatia to the north and ...</v>
    <v>1621</v>
    <v>1622</v>
    <v>1623</v>
    <v>1624</v>
    <v>1625</v>
    <v>1626</v>
    <v>1627</v>
    <v>18</v>
    <v>1628</v>
    <v>1617</v>
    <v>1632</v>
    <v>1633</v>
    <v>1634</v>
    <v>1635</v>
    <v>1636</v>
    <v>Bosnia and Herzegovina</v>
    <v>National anthem of Bosnia and Herzegovina</v>
    <v>1637</v>
    <v>Bosna i Hercegovina</v>
    <v>1638</v>
    <v>1639</v>
    <v>1640</v>
    <v>1173</v>
    <v>1641</v>
    <v>1642</v>
    <v>222</v>
    <v>1643</v>
    <v>1354</v>
    <v>1644</v>
    <v>1645</v>
    <v>1649</v>
    <v>1650</v>
    <v>1651</v>
    <v>1652</v>
    <v>1653</v>
    <v>Bosnia and Herzegovina</v>
    <v>1654</v>
    <v>mdp/vdpid/25</v>
  </rv>
  <rv s="0">
    <v>536870912</v>
    <v>Serbia</v>
    <v>bfde06a5-c040-2791-7779-ac3934ad56d8</v>
    <v>en-US</v>
    <v>Map</v>
  </rv>
  <rv s="1">
    <fb>0.39332266178824599</fb>
    <v>23</v>
  </rv>
  <rv s="1">
    <fb>88499</fb>
    <v>24</v>
  </rv>
  <rv s="1">
    <fb>32000</fb>
    <v>24</v>
  </rv>
  <rv s="1">
    <fb>9.1999999999999993</fb>
    <v>25</v>
  </rv>
  <rv s="1">
    <fb>381</fb>
    <v>26</v>
  </rv>
  <rv s="0">
    <v>536870912</v>
    <v>Belgrade</v>
    <v>23967a85-77cf-f376-c0a7-769fd8f12d6b</v>
    <v>en-US</v>
    <v>Map</v>
  </rv>
  <rv s="1">
    <fb>45221.444000000003</fb>
    <v>24</v>
  </rv>
  <rv s="1">
    <fb>143.997573551714</fb>
    <v>27</v>
  </rv>
  <rv s="1">
    <fb>1.8492298451108998E-2</fb>
    <v>23</v>
  </rv>
  <rv s="1">
    <fb>4271.7446669105002</fb>
    <v>24</v>
  </rv>
  <rv s="1">
    <fb>1.49</fb>
    <v>25</v>
  </rv>
  <rv s="1">
    <fb>0.31115937598259202</fb>
    <v>23</v>
  </rv>
  <rv s="1">
    <fb>83.871261642928602</fb>
    <v>28</v>
  </rv>
  <rv s="1">
    <fb>1.1599999999999999</fb>
    <v>29</v>
  </rv>
  <rv s="1">
    <fb>51409167350.754799</fb>
    <v>30</v>
  </rv>
  <rv s="1">
    <fb>1.0030193000000001</fb>
    <v>23</v>
  </rv>
  <rv s="1">
    <fb>0.67158659999999992</fb>
    <v>23</v>
  </rv>
  <rv s="1">
    <fb>4.8</fb>
    <v>28</v>
  </rv>
  <rv s="0">
    <v>805306368</v>
    <v>Aleksandar Vučić (President)</v>
    <v>a8f29601-b0b4-618d-06c1-225d9c9ca494</v>
    <v>en-US</v>
    <v>Generic</v>
  </rv>
  <rv s="0">
    <v>805306368</v>
    <v>Miloš Vučević (Prime minister)</v>
    <v>645725cb-351a-434a-aed8-948fc5c558ee</v>
    <v>en-US</v>
    <v>Generic</v>
  </rv>
  <rv s="3">
    <v>103</v>
  </rv>
  <rv s="4">
    <v>https://www.bing.com/search?q=serbia&amp;form=skydnc</v>
    <v>Learn more on Bing</v>
  </rv>
  <rv s="1">
    <fb>75.539024390243895</fb>
    <v>28</v>
  </rv>
  <rv s="1">
    <fb>1791690000</fb>
    <v>30</v>
  </rv>
  <rv s="1">
    <fb>12</fb>
    <v>28</v>
  </rv>
  <rv s="1">
    <fb>1.57</fb>
    <v>29</v>
  </rv>
  <rv s="3">
    <v>104</v>
  </rv>
  <rv s="1">
    <fb>0.40587734609999998</fb>
    <v>23</v>
  </rv>
  <rv s="1">
    <fb>3.1131000000000002</fb>
    <v>25</v>
  </rv>
  <rv s="1">
    <fb>6760087</fb>
    <v>24</v>
  </rv>
  <rv s="1">
    <fb>0.23800000000000002</fb>
    <v>23</v>
  </rv>
  <rv s="1">
    <fb>0.25600000000000001</fb>
    <v>23</v>
  </rv>
  <rv s="1">
    <fb>1.3999999999999999E-2</fb>
    <v>23</v>
  </rv>
  <rv s="1">
    <fb>5.2000000000000005E-2</fb>
    <v>23</v>
  </rv>
  <rv s="1">
    <fb>0.54875999450683599</fb>
    <v>23</v>
  </rv>
  <rv s="0">
    <v>536870912</v>
    <v>Bor District</v>
    <v>9ffcfa10-55be-f82f-cb8e-afca4700a28b</v>
    <v>en-US</v>
    <v>Map</v>
  </rv>
  <rv s="0">
    <v>536870912</v>
    <v>Braničevo District</v>
    <v>a07c6be1-8fe2-69b2-2187-39748186c884</v>
    <v>en-US</v>
    <v>Map</v>
  </rv>
  <rv s="0">
    <v>536870912</v>
    <v>Zaječar District</v>
    <v>bf30904f-9632-457e-b741-4ebc19b76af2</v>
    <v>en-US</v>
    <v>Map</v>
  </rv>
  <rv s="0">
    <v>536870912</v>
    <v>West Bačka District</v>
    <v>49dfcc2e-e5c1-4a00-a596-a4b6abe539fd</v>
    <v>en-US</v>
    <v>Map</v>
  </rv>
  <rv s="0">
    <v>536870912</v>
    <v>Zlatibor District</v>
    <v>7ed061c8-ef14-f3ec-edf4-656d71063c27</v>
    <v>en-US</v>
    <v>Map</v>
  </rv>
  <rv s="0">
    <v>536870912</v>
    <v>Jablanica District</v>
    <v>16236efd-1eca-d77d-cde8-546ed74407d7</v>
    <v>en-US</v>
    <v>Map</v>
  </rv>
  <rv s="0">
    <v>536870912</v>
    <v>South Banat District</v>
    <v>1cb5c728-aa24-9ee2-4304-f3f4d7f9bc36</v>
    <v>en-US</v>
    <v>Map</v>
  </rv>
  <rv s="0">
    <v>536870912</v>
    <v>South Bačka District</v>
    <v>3b6bf260-5f36-2f33-f93c-25ddc78dc37b</v>
    <v>en-US</v>
    <v>Map</v>
  </rv>
  <rv s="0">
    <v>536870912</v>
    <v>Kolubara District</v>
    <v>4cfa6c33-d52d-c0e0-d59e-4b97a24548aa</v>
    <v>en-US</v>
    <v>Map</v>
  </rv>
  <rv s="0">
    <v>536870912</v>
    <v>Mačva District</v>
    <v>3700cd33-66a3-4307-a6a4-0052c5a1a9cd</v>
    <v>en-US</v>
    <v>Map</v>
  </rv>
  <rv s="0">
    <v>536870912</v>
    <v>Moravica District</v>
    <v>89880f9b-171d-cf8e-1a53-c8d66d717f83</v>
    <v>en-US</v>
    <v>Map</v>
  </rv>
  <rv s="0">
    <v>536870912</v>
    <v>Nišava District</v>
    <v>56d3daa6-6c64-4b4e-b95a-92901df4991a</v>
    <v>en-US</v>
    <v>Map</v>
  </rv>
  <rv s="0">
    <v>536870912</v>
    <v>Pirot District</v>
    <v>0b1d3d41-522e-85f6-2839-c1a73f48bfa2</v>
    <v>en-US</v>
    <v>Map</v>
  </rv>
  <rv s="0">
    <v>536870912</v>
    <v>Podunavlje District</v>
    <v>1bc538cc-ed8c-0a64-aaef-80eebb06eed4</v>
    <v>en-US</v>
    <v>Map</v>
  </rv>
  <rv s="0">
    <v>536870912</v>
    <v>Pomoravlje District</v>
    <v>03b3cb07-b7d9-574d-5772-db151f2e2919</v>
    <v>en-US</v>
    <v>Map</v>
  </rv>
  <rv s="0">
    <v>536870912</v>
    <v>Pčinja District</v>
    <v>553f9237-b6f3-4d59-b448-e891febf795f</v>
    <v>en-US</v>
    <v>Map</v>
  </rv>
  <rv s="0">
    <v>536870912</v>
    <v>Rasina District</v>
    <v>b07edd1c-21ee-ac36-f59e-703020e74185</v>
    <v>en-US</v>
    <v>Map</v>
  </rv>
  <rv s="0">
    <v>536870912</v>
    <v>Raška District</v>
    <v>8c653eb9-14b9-489c-ab00-f38e993137fc</v>
    <v>en-US</v>
    <v>Map</v>
  </rv>
  <rv s="0">
    <v>536870912</v>
    <v>North Banat District</v>
    <v>412e968b-7dc0-3592-2176-e8fa00bf85fa</v>
    <v>en-US</v>
    <v>Map</v>
  </rv>
  <rv s="0">
    <v>536870912</v>
    <v>North Bačka District</v>
    <v>4264da16-3531-4cc1-99c5-0559ace6880f</v>
    <v>en-US</v>
    <v>Map</v>
  </rv>
  <rv s="0">
    <v>536870912</v>
    <v>Central Banat District</v>
    <v>db1a60f4-4d29-db90-281b-e46d486156c9</v>
    <v>en-US</v>
    <v>Map</v>
  </rv>
  <rv s="0">
    <v>536870912</v>
    <v>Srem District</v>
    <v>794a5a1f-3b8d-b0db-5924-9e66b4a9fb3f</v>
    <v>en-US</v>
    <v>Map</v>
  </rv>
  <rv s="0">
    <v>536870912</v>
    <v>Toplica District</v>
    <v>55dcdea5-a7b1-53a8-08e0-41bb67c07978</v>
    <v>en-US</v>
    <v>Map</v>
  </rv>
  <rv s="0">
    <v>536870912</v>
    <v>Šumadija District</v>
    <v>5ab530fd-7899-457b-a64a-7737385a8eb7</v>
    <v>en-US</v>
    <v>Map</v>
  </rv>
  <rv s="3">
    <v>105</v>
  </rv>
  <rv s="1">
    <fb>0.185525002126608</fb>
    <v>23</v>
  </rv>
  <rv s="1">
    <fb>0.36599999999999999</fb>
    <v>23</v>
  </rv>
  <rv s="1">
    <fb>0.12685999870300299</fb>
    <v>31</v>
  </rv>
  <rv s="1">
    <fb>3907243</fb>
    <v>24</v>
  </rv>
  <rv s="6">
    <v>#VALUE!</v>
    <v>en-US</v>
    <v>bfde06a5-c040-2791-7779-ac3934ad56d8</v>
    <v>536870912</v>
    <v>1</v>
    <v>202</v>
    <v>38</v>
    <v>Serbia</v>
    <v>19</v>
    <v>20</v>
    <v>Map</v>
    <v>21</v>
    <v>203</v>
    <v>RS</v>
    <v>1657</v>
    <v>1658</v>
    <v>1659</v>
    <v>1660</v>
    <v>1661</v>
    <v>1662</v>
    <v>1663</v>
    <v>1664</v>
    <v>1665</v>
    <v>RSD</v>
    <v>Serbia, officially the Republic of Serbia, is a landlocked country at the crossroads of Southeast and Central Europe, located in the Balkans and the Pannonian Plain. It borders Hungary to the north, Romania to the northeast, Bulgaria to the ...</v>
    <v>1666</v>
    <v>1667</v>
    <v>1668</v>
    <v>1669</v>
    <v>1670</v>
    <v>1671</v>
    <v>1672</v>
    <v>1673</v>
    <v>18</v>
    <v>1674</v>
    <v>1662</v>
    <v>1677</v>
    <v>1678</v>
    <v>1679</v>
    <v>1680</v>
    <v>1681</v>
    <v>1682</v>
    <v>Serbia</v>
    <v>Bože pravde</v>
    <v>1683</v>
    <v>Србија</v>
    <v>1684</v>
    <v>1685</v>
    <v>1686</v>
    <v>1687</v>
    <v>1688</v>
    <v>35</v>
    <v>1689</v>
    <v>1690</v>
    <v>38</v>
    <v>878</v>
    <v>1691</v>
    <v>1716</v>
    <v>1717</v>
    <v>793</v>
    <v>1718</v>
    <v>1719</v>
    <v>Serbia</v>
    <v>1720</v>
    <v>mdp/vdpid/271</v>
  </rv>
  <rv s="0">
    <v>536870912</v>
    <v>Somalia</v>
    <v>14f0659c-f28d-2a2c-7272-22ac7398b0ed</v>
    <v>en-US</v>
    <v>Map</v>
  </rv>
  <rv s="1">
    <fb>0.70336659546657299</fb>
    <v>23</v>
  </rv>
  <rv s="1">
    <fb>637657</fb>
    <v>24</v>
  </rv>
  <rv s="1">
    <fb>20000</fb>
    <v>24</v>
  </rv>
  <rv s="1">
    <fb>41.753</fb>
    <v>25</v>
  </rv>
  <rv s="1">
    <fb>252</fb>
    <v>26</v>
  </rv>
  <rv s="0">
    <v>536870912</v>
    <v>Mogadishu</v>
    <v>6b153fea-d687-ac84-f937-d59d0a5bdaf6</v>
    <v>en-US</v>
    <v>Map</v>
  </rv>
  <rv s="1">
    <fb>645.39200000000005</fb>
    <v>24</v>
  </rv>
  <rv s="1">
    <fb>6.0720000000000001</fb>
    <v>25</v>
  </rv>
  <rv s="1">
    <fb>0.10020403920222699</fb>
    <v>23</v>
  </rv>
  <rv s="1">
    <fb>1.41</fb>
    <v>29</v>
  </rv>
  <rv s="1">
    <fb>4720727278.1883297</fb>
    <v>30</v>
  </rv>
  <rv s="1">
    <fb>0.23363539999999999</fb>
    <v>23</v>
  </rv>
  <rv s="1">
    <fb>2.46041E-2</fb>
    <v>23</v>
  </rv>
  <rv s="1">
    <fb>76.599999999999994</fb>
    <v>28</v>
  </rv>
  <rv s="0">
    <v>805306368</v>
    <v>Hassan Sheikh Mohamud (President)</v>
    <v>d1819e08-8cad-4518-ac6e-f3ef48938ebd</v>
    <v>en-US</v>
    <v>Generic</v>
  </rv>
  <rv s="0">
    <v>805306368</v>
    <v>Hamza Abdi Barre (Prime minister)</v>
    <v>ca870171-69e7-4e60-80e2-a0812c621b0a</v>
    <v>en-US</v>
    <v>Generic</v>
  </rv>
  <rv s="3">
    <v>106</v>
  </rv>
  <rv s="4">
    <v>https://www.bing.com/search?q=somalia&amp;form=skydnc</v>
    <v>Learn more on Bing</v>
  </rv>
  <rv s="1">
    <fb>57.067999999999998</fb>
    <v>28</v>
  </rv>
  <rv s="1">
    <fb>829</fb>
    <v>28</v>
  </rv>
  <rv s="3">
    <v>107</v>
  </rv>
  <rv s="1">
    <fb>2.29E-2</fb>
    <v>25</v>
  </rv>
  <rv s="1">
    <fb>17597511</fb>
    <v>24</v>
  </rv>
  <rv s="1">
    <fb>0.47397998809814501</fb>
    <v>23</v>
  </rv>
  <rv s="0">
    <v>536870912</v>
    <v>Awdal</v>
    <v>dc88f9a6-2153-a64c-06a2-87f616cf8e06</v>
    <v>en-US</v>
    <v>Map</v>
  </rv>
  <rv s="0">
    <v>536870912</v>
    <v>Bakool</v>
    <v>dadbaa78-4326-e3cb-8889-109ae596a2a3</v>
    <v>en-US</v>
    <v>Map</v>
  </rv>
  <rv s="0">
    <v>536870912</v>
    <v>Banaadir</v>
    <v>47a94b95-50da-e3cb-c6c9-dd8cba83fba4</v>
    <v>en-US</v>
    <v>Map</v>
  </rv>
  <rv s="0">
    <v>536870912</v>
    <v>Bari, Somalia</v>
    <v>26e6ebcf-d0b4-0e6a-c727-158f90261893</v>
    <v>en-US</v>
    <v>Map</v>
  </rv>
  <rv s="0">
    <v>536870912</v>
    <v>Bay, Somalia</v>
    <v>5720b10c-535c-ff5b-3f90-78350a201b15</v>
    <v>en-US</v>
    <v>Map</v>
  </rv>
  <rv s="0">
    <v>536870912</v>
    <v>Galguduud</v>
    <v>0cbca1a2-c990-a55a-9a31-acb985524f41</v>
    <v>en-US</v>
    <v>Map</v>
  </rv>
  <rv s="0">
    <v>536870912</v>
    <v>Gedo</v>
    <v>935ff2fb-6bd8-18e7-3544-4e4a67e78e85</v>
    <v>en-US</v>
    <v>Map</v>
  </rv>
  <rv s="0">
    <v>536870912</v>
    <v>Hiran, Somalia</v>
    <v>585d50a6-f0b8-2668-7102-7c0d361e87fd</v>
    <v>en-US</v>
    <v>Map</v>
  </rv>
  <rv s="0">
    <v>536870912</v>
    <v>Middle Juba</v>
    <v>b27d7a5a-c58f-fde4-79ad-b72da787b9c1</v>
    <v>en-US</v>
    <v>Map</v>
  </rv>
  <rv s="0">
    <v>536870912</v>
    <v>Lower Juba</v>
    <v>1c3a23f3-dc33-9f09-ce2f-838195564920</v>
    <v>en-US</v>
    <v>Map</v>
  </rv>
  <rv s="0">
    <v>536870912</v>
    <v>Mudug</v>
    <v>3197077f-31df-5f39-98ac-d91829097e30</v>
    <v>en-US</v>
    <v>Map</v>
  </rv>
  <rv s="0">
    <v>536870912</v>
    <v>Middle Shabelle</v>
    <v>81542177-8bd5-073d-612d-0f67ff1e44f2</v>
    <v>en-US</v>
    <v>Map</v>
  </rv>
  <rv s="0">
    <v>536870912</v>
    <v>Lower Shabelle</v>
    <v>ff07773d-4ae7-d991-aeae-d84e23217903</v>
    <v>en-US</v>
    <v>Map</v>
  </rv>
  <rv s="3">
    <v>108</v>
  </rv>
  <rv s="1">
    <fb>1.2287243373719898E-6</fb>
    <v>23</v>
  </rv>
  <rv s="3">
    <v>109</v>
  </rv>
  <rv s="1">
    <fb>0.11350999832153301</fb>
    <v>31</v>
  </rv>
  <rv s="1">
    <fb>7034861</fb>
    <v>24</v>
  </rv>
  <rv s="18">
    <v>#VALUE!</v>
    <v>en-US</v>
    <v>14f0659c-f28d-2a2c-7272-22ac7398b0ed</v>
    <v>536870912</v>
    <v>1</v>
    <v>208</v>
    <v>209</v>
    <v>Somalia</v>
    <v>19</v>
    <v>20</v>
    <v>Map</v>
    <v>21</v>
    <v>210</v>
    <v>SO</v>
    <v>1723</v>
    <v>1724</v>
    <v>1725</v>
    <v>1726</v>
    <v>1727</v>
    <v>1728</v>
    <v>1729</v>
    <v>SOS</v>
    <v>Somalia, officially the Federal Republic of Somalia, is the easternmost country in continental Africa. The country is located in the Horn of Africa and is bordered by Ethiopia to the west, Djibouti to the northwest, Kenya to the southwest, the ...</v>
    <v>1730</v>
    <v>1731</v>
    <v>1732</v>
    <v>1733</v>
    <v>1734</v>
    <v>1735</v>
    <v>18</v>
    <v>1736</v>
    <v>1728</v>
    <v>1739</v>
    <v>1740</v>
    <v>1741</v>
    <v>1742</v>
    <v>Somalia</v>
    <v>Qolobaa Calankeed</v>
    <v>1743</v>
    <v>Federal Republic of Somalia</v>
    <v>1744</v>
    <v>1745</v>
    <v>1746</v>
    <v>1760</v>
    <v>1761</v>
    <v>1762</v>
    <v>1763</v>
    <v>Somalia</v>
    <v>1764</v>
    <v>mdp/vdpid/216</v>
  </rv>
  <rv s="0">
    <v>536870912</v>
    <v>Ethiopia</v>
    <v>37e8cce3-f9b7-eca4-846f-b8b7e9cb6fb8</v>
    <v>en-US</v>
    <v>Map</v>
  </rv>
  <rv s="1">
    <fb>0.36259000000000002</fb>
    <v>23</v>
  </rv>
  <rv s="1">
    <fb>1104300</fb>
    <v>24</v>
  </rv>
  <rv s="1">
    <fb>138000</fb>
    <v>24</v>
  </rv>
  <rv s="1">
    <fb>32.338999999999999</fb>
    <v>25</v>
  </rv>
  <rv s="1">
    <fb>251</fb>
    <v>26</v>
  </rv>
  <rv s="0">
    <v>536870912</v>
    <v>Addis Ababa</v>
    <v>938abfc6-a154-7e94-5bda-6ce5f148a1f5</v>
    <v>en-US</v>
    <v>Map</v>
  </rv>
  <rv s="1">
    <fb>14869.684999999999</fb>
    <v>24</v>
  </rv>
  <rv s="1">
    <fb>143.85508616915899</fb>
    <v>27</v>
  </rv>
  <rv s="1">
    <fb>0.15809632171934701</fb>
    <v>23</v>
  </rv>
  <rv s="1">
    <fb>69.198753162430407</fb>
    <v>24</v>
  </rv>
  <rv s="1">
    <fb>4.2469999999999999</fb>
    <v>25</v>
  </rv>
  <rv s="1">
    <fb>0.12539599609374999</fb>
    <v>23</v>
  </rv>
  <rv s="1">
    <fb>6.5698066296372399</fb>
    <v>28</v>
  </rv>
  <rv s="1">
    <fb>0.75</fb>
    <v>29</v>
  </rv>
  <rv s="1">
    <fb>96107662398.174896</fb>
    <v>30</v>
  </rv>
  <rv s="1">
    <fb>1.0097149000000001</fb>
    <v>23</v>
  </rv>
  <rv s="1">
    <fb>8.1053200000000006E-2</fb>
    <v>23</v>
  </rv>
  <rv s="1">
    <fb>39.1</fb>
    <v>28</v>
  </rv>
  <rv s="0">
    <v>805306368</v>
    <v>Taye Atske Selassie (President)</v>
    <v>0ecc37f9-fbf2-9992-b451-9764e24913b8</v>
    <v>en-US</v>
    <v>Generic</v>
  </rv>
  <rv s="0">
    <v>805306368</v>
    <v>Abiy Ahmed (Prime minister)</v>
    <v>8b769640-264e-25d4-5b3b-3b3d837de7f3</v>
    <v>en-US</v>
    <v>Generic</v>
  </rv>
  <rv s="0">
    <v>805306368</v>
    <v>Temesgen Tiruneh (Deputy prime minister)</v>
    <v>2339789c-523c-e8df-e25d-4cfcf4a89ed9</v>
    <v>en-US</v>
    <v>Generic</v>
  </rv>
  <rv s="3">
    <v>110</v>
  </rv>
  <rv s="4">
    <v>https://www.bing.com/search?q=ethiopia&amp;form=skydnc</v>
    <v>Learn more on Bing</v>
  </rv>
  <rv s="1">
    <fb>66.239999999999995</fb>
    <v>28</v>
  </rv>
  <rv s="1">
    <fb>401</fb>
    <v>28</v>
  </rv>
  <rv s="3">
    <v>111</v>
  </rv>
  <rv s="1">
    <fb>0.3781040625</fb>
    <v>23</v>
  </rv>
  <rv s="1">
    <fb>7.6899999999999996E-2</fb>
    <v>25</v>
  </rv>
  <rv s="1">
    <fb>123379924</fb>
    <v>24</v>
  </rv>
  <rv s="1">
    <fb>0.21199999999999999</fb>
    <v>23</v>
  </rv>
  <rv s="1">
    <fb>0.28499999999999998</fb>
    <v>23</v>
  </rv>
  <rv s="1">
    <fb>0.43</fb>
    <v>23</v>
  </rv>
  <rv s="1">
    <fb>7.2999999999999995E-2</fb>
    <v>23</v>
  </rv>
  <rv s="1">
    <fb>0.16300000000000001</fb>
    <v>23</v>
  </rv>
  <rv s="1">
    <fb>0.79550003051757801</fb>
    <v>23</v>
  </rv>
  <rv s="0">
    <v>536870912</v>
    <v>Afar Region</v>
    <v>c769ad43-641f-6ac5-378e-f1eb44ec9da0</v>
    <v>en-US</v>
    <v>Map</v>
  </rv>
  <rv s="0">
    <v>536870912</v>
    <v>Amhara Region</v>
    <v>18974485-7701-f939-eb43-6ed0021bf853</v>
    <v>en-US</v>
    <v>Map</v>
  </rv>
  <rv s="0">
    <v>536870912</v>
    <v>Benishangul-Gumuz Region</v>
    <v>e9e914ad-0904-d200-5dcf-f523e1778e0b</v>
    <v>en-US</v>
    <v>Map</v>
  </rv>
  <rv s="0">
    <v>536870912</v>
    <v>Dire Dawa</v>
    <v>dd9c686e-aed6-8366-bd0d-110a8039b49c</v>
    <v>en-US</v>
    <v>Map</v>
  </rv>
  <rv s="0">
    <v>536870912</v>
    <v>Gambela Region</v>
    <v>cb278b79-0633-4f8c-0d07-23d94b4068dc</v>
    <v>en-US</v>
    <v>Map</v>
  </rv>
  <rv s="0">
    <v>536870912</v>
    <v>Harari Region</v>
    <v>3ae0a830-f196-f556-1385-db52b991e080</v>
    <v>en-US</v>
    <v>Map</v>
  </rv>
  <rv s="0">
    <v>536870912</v>
    <v>Oromia</v>
    <v>f37d5404-2cbe-b6eb-8377-d12265786e2e</v>
    <v>en-US</v>
    <v>Map</v>
  </rv>
  <rv s="0">
    <v>536870912</v>
    <v>Somali Region</v>
    <v>568cb122-5c34-e129-0eb8-472efad75e94</v>
    <v>en-US</v>
    <v>Map</v>
  </rv>
  <rv s="0">
    <v>536870912</v>
    <v>Southern Nations, Nationalities, and Peoples' Region</v>
    <v>5bb4fb8b-124b-f1c3-4ec1-8efeb1ad282a</v>
    <v>en-US</v>
    <v>Map</v>
  </rv>
  <rv s="0">
    <v>536870912</v>
    <v>Tigray Region</v>
    <v>f948be5d-0e78-13ff-ddd2-976f549dfa79</v>
    <v>en-US</v>
    <v>Map</v>
  </rv>
  <rv s="3">
    <v>112</v>
  </rv>
  <rv s="1">
    <fb>7.5122310532462003E-2</fb>
    <v>23</v>
  </rv>
  <rv s="1">
    <fb>0.377</fb>
    <v>23</v>
  </rv>
  <rv s="1">
    <fb>2.0810000896453903E-2</fb>
    <v>31</v>
  </rv>
  <rv s="1">
    <fb>23788710</fb>
    <v>24</v>
  </rv>
  <rv s="19">
    <v>#VALUE!</v>
    <v>en-US</v>
    <v>37e8cce3-f9b7-eca4-846f-b8b7e9cb6fb8</v>
    <v>536870912</v>
    <v>1</v>
    <v>215</v>
    <v>216</v>
    <v>Ethiopia</v>
    <v>19</v>
    <v>20</v>
    <v>Map</v>
    <v>21</v>
    <v>217</v>
    <v>ET</v>
    <v>1767</v>
    <v>1768</v>
    <v>1769</v>
    <v>1770</v>
    <v>1771</v>
    <v>1772</v>
    <v>1773</v>
    <v>1774</v>
    <v>1775</v>
    <v>ETB</v>
    <v>Ethiopia, officially the Federal Democratic Republic of Ethiopia, is a landlocked country located in the Horn of Africa region of East Africa. It shares borders with Eritrea to the north, Djibouti to the northeast, Somalia to the east, Kenya to ...</v>
    <v>1776</v>
    <v>1777</v>
    <v>1778</v>
    <v>1779</v>
    <v>1780</v>
    <v>1781</v>
    <v>1782</v>
    <v>1783</v>
    <v>18</v>
    <v>1784</v>
    <v>1772</v>
    <v>1788</v>
    <v>1789</v>
    <v>1790</v>
    <v>1791</v>
    <v>Ethiopia</v>
    <v>March Forward, Dear Mother Ethiopia</v>
    <v>1792</v>
    <v>la République démocratique fédérale d’Éthiopie</v>
    <v>1793</v>
    <v>1794</v>
    <v>1795</v>
    <v>1796</v>
    <v>1797</v>
    <v>1798</v>
    <v>222</v>
    <v>1799</v>
    <v>38</v>
    <v>1800</v>
    <v>1801</v>
    <v>1812</v>
    <v>1813</v>
    <v>1459</v>
    <v>1814</v>
    <v>1815</v>
    <v>Ethiopia</v>
    <v>1816</v>
    <v>mdp/vdpid/73</v>
  </rv>
  <rv s="0">
    <v>536870912</v>
    <v>Ghana</v>
    <v>4caa1a94-3f55-f5a7-8b85-5abd256a54f1</v>
    <v>en-US</v>
    <v>Map</v>
  </rv>
  <rv s="1">
    <fb>0.68998857343763698</fb>
    <v>23</v>
  </rv>
  <rv s="1">
    <fb>238535</fb>
    <v>24</v>
  </rv>
  <rv s="1">
    <fb>29.407</fb>
    <v>25</v>
  </rv>
  <rv s="1">
    <fb>233</fb>
    <v>26</v>
  </rv>
  <rv s="0">
    <v>536870912</v>
    <v>Accra</v>
    <v>7dea44eb-65d3-ca6b-c353-eac951cbdc50</v>
    <v>en-US</v>
    <v>Map</v>
  </rv>
  <rv s="1">
    <fb>16670.182000000001</fb>
    <v>24</v>
  </rv>
  <rv s="1">
    <fb>268.36084800436601</fb>
    <v>27</v>
  </rv>
  <rv s="1">
    <fb>7.17592284708857E-2</fb>
    <v>23</v>
  </rv>
  <rv s="1">
    <fb>351.301578961752</fb>
    <v>24</v>
  </rv>
  <rv s="1">
    <fb>3.87</fb>
    <v>25</v>
  </rv>
  <rv s="1">
    <fb>0.41159358313373501</fb>
    <v>23</v>
  </rv>
  <rv s="1">
    <fb>52.543060129263097</fb>
    <v>28</v>
  </rv>
  <rv s="1">
    <fb>0.92</fb>
    <v>29</v>
  </rv>
  <rv s="1">
    <fb>66983634223.943001</fb>
    <v>30</v>
  </rv>
  <rv s="1">
    <fb>1.0484141</fb>
    <v>23</v>
  </rv>
  <rv s="1">
    <fb>0.15691769999999999</fb>
    <v>23</v>
  </rv>
  <rv s="1">
    <fb>34.9</fb>
    <v>28</v>
  </rv>
  <rv s="0">
    <v>805306368</v>
    <v>John Mahama (President)</v>
    <v>6d379b32-0cd8-9157-0ec8-883c7cf48d1f</v>
    <v>en-US</v>
    <v>Generic</v>
  </rv>
  <rv s="0">
    <v>805306368</v>
    <v>Jane Naana Opoku-Agyemang (Vice president)</v>
    <v>cdb58c49-a2ad-b3d3-44d6-f5f4a29f565d</v>
    <v>en-US</v>
    <v>Generic</v>
  </rv>
  <rv s="0">
    <v>805306368</v>
    <v>Gertrude Torkornoo (Chief justice)</v>
    <v>e339e2df-9b32-4664-7e6f-17b307e2d43f</v>
    <v>en-US</v>
    <v>Generic</v>
  </rv>
  <rv s="3">
    <v>113</v>
  </rv>
  <rv s="4">
    <v>https://www.bing.com/search?q=ghana&amp;form=skydnc</v>
    <v>Learn more on Bing</v>
  </rv>
  <rv s="1">
    <fb>63.78</fb>
    <v>28</v>
  </rv>
  <rv s="1">
    <fb>3098510000</fb>
    <v>30</v>
  </rv>
  <rv s="1">
    <fb>308</fb>
    <v>28</v>
  </rv>
  <rv s="1">
    <fb>0.36105228150000002</fb>
    <v>23</v>
  </rv>
  <rv s="1">
    <fb>0.13589999999999999</fb>
    <v>25</v>
  </rv>
  <rv s="1">
    <fb>33475870</fb>
    <v>24</v>
  </rv>
  <rv s="1">
    <fb>0.48599999999999999</fb>
    <v>23</v>
  </rv>
  <rv s="1">
    <fb>4.7E-2</fb>
    <v>23</v>
  </rv>
  <rv s="1">
    <fb>9.6000000000000002E-2</fb>
    <v>23</v>
  </rv>
  <rv s="1">
    <fb>0.67797996520996096</fb>
    <v>23</v>
  </rv>
  <rv s="0">
    <v>536870912</v>
    <v>Ashanti Region</v>
    <v>03a4bbc8-218a-4560-dc76-f52b742a183e</v>
    <v>en-US</v>
    <v>Map</v>
  </rv>
  <rv s="0">
    <v>536870912</v>
    <v>Brong-Ahafo region</v>
    <v>d063ec14-1baf-a6a4-0593-6143782ef01a</v>
    <v>en-US</v>
    <v>Map</v>
  </rv>
  <rv s="0">
    <v>536870912</v>
    <v>Central region</v>
    <v>04a9f5cc-56ee-cdc9-3b25-34ae0f54a835</v>
    <v>en-US</v>
    <v>Map</v>
  </rv>
  <rv s="0">
    <v>536870912</v>
    <v>Eastern Region</v>
    <v>8dd7c62c-e599-708a-4b1a-72c8a568a856</v>
    <v>en-US</v>
    <v>Map</v>
  </rv>
  <rv s="0">
    <v>536870912</v>
    <v>Greater Accra Region</v>
    <v>91f1ae15-d54e-29be-d169-d4548c5bad59</v>
    <v>en-US</v>
    <v>Map</v>
  </rv>
  <rv s="0">
    <v>536870912</v>
    <v>Northern Region</v>
    <v>281b9874-7787-6cbe-36fc-6f1e4b5edeed</v>
    <v>en-US</v>
    <v>Map</v>
  </rv>
  <rv s="0">
    <v>536870912</v>
    <v>Upper East Region</v>
    <v>a536de11-1bf2-b814-79bf-3bfcd2eb23da</v>
    <v>en-US</v>
    <v>Map</v>
  </rv>
  <rv s="0">
    <v>536870912</v>
    <v>Upper West Region</v>
    <v>decfccd3-cb14-9a30-7a4f-c9f5225315dc</v>
    <v>en-US</v>
    <v>Map</v>
  </rv>
  <rv s="0">
    <v>536870912</v>
    <v>Volta Region</v>
    <v>08e5e28e-0235-8c89-7ffb-ba81717c530a</v>
    <v>en-US</v>
    <v>Map</v>
  </rv>
  <rv s="0">
    <v>536870912</v>
    <v>Western region</v>
    <v>9137e271-300a-d288-dc27-09a2e8930911</v>
    <v>en-US</v>
    <v>Map</v>
  </rv>
  <rv s="3">
    <v>114</v>
  </rv>
  <rv s="1">
    <fb>0.12569754463437299</fb>
    <v>23</v>
  </rv>
  <rv s="3">
    <v>115</v>
  </rv>
  <rv s="1">
    <fb>0.55399999999999994</fb>
    <v>23</v>
  </rv>
  <rv s="1">
    <fb>4.3309998512268105E-2</fb>
    <v>31</v>
  </rv>
  <rv s="1">
    <fb>17249054</fb>
    <v>24</v>
  </rv>
  <rv s="6">
    <v>#VALUE!</v>
    <v>en-US</v>
    <v>4caa1a94-3f55-f5a7-8b85-5abd256a54f1</v>
    <v>536870912</v>
    <v>1</v>
    <v>222</v>
    <v>38</v>
    <v>Ghana</v>
    <v>19</v>
    <v>20</v>
    <v>Map</v>
    <v>21</v>
    <v>223</v>
    <v>GH</v>
    <v>1819</v>
    <v>1820</v>
    <v>1199</v>
    <v>1821</v>
    <v>1822</v>
    <v>1823</v>
    <v>1824</v>
    <v>1825</v>
    <v>1826</v>
    <v>GHS</v>
    <v>Ghana, officially the Republic of Ghana, is a country in West Africa. It lies adjacent to the Gulf of Guinea and the Atlantic Ocean to the south, sharing a border with Ivory Coast in the west, Burkina Faso in the north, and Togo in the east. ...</v>
    <v>1827</v>
    <v>1828</v>
    <v>1829</v>
    <v>1830</v>
    <v>1831</v>
    <v>1832</v>
    <v>1833</v>
    <v>1834</v>
    <v>18</v>
    <v>1835</v>
    <v>1823</v>
    <v>1839</v>
    <v>1840</v>
    <v>1841</v>
    <v>1842</v>
    <v>1843</v>
    <v>873</v>
    <v>Ghana</v>
    <v>God Bless Our Homeland Ghana</v>
    <v>132</v>
    <v>Ghana</v>
    <v>1844</v>
    <v>1845</v>
    <v>1846</v>
    <v>588</v>
    <v>440</v>
    <v>1847</v>
    <v>881</v>
    <v>1848</v>
    <v>1849</v>
    <v>360</v>
    <v>1850</v>
    <v>1861</v>
    <v>1862</v>
    <v>1863</v>
    <v>1864</v>
    <v>1865</v>
    <v>Ghana</v>
    <v>1866</v>
    <v>mdp/vdpid/89</v>
  </rv>
  <rv s="0">
    <v>536870912</v>
    <v>Tajikistan</v>
    <v>51f28292-bea6-a5bd-4119-fc439f15243a</v>
    <v>en-US</v>
    <v>Map</v>
  </rv>
  <rv s="1">
    <fb>0.34137906189206702</fb>
    <v>23</v>
  </rv>
  <rv s="1">
    <fb>143100</fb>
    <v>24</v>
  </rv>
  <rv s="1">
    <fb>17000</fb>
    <v>24</v>
  </rv>
  <rv s="1">
    <fb>30.760999999999999</fb>
    <v>25</v>
  </rv>
  <rv s="1">
    <fb>992</fb>
    <v>26</v>
  </rv>
  <rv s="0">
    <v>536870912</v>
    <v>Dushanbe</v>
    <v>216d473a-2c50-bcc0-fe78-4415b30cbc79</v>
    <v>en-US</v>
    <v>Map</v>
  </rv>
  <rv s="1">
    <fb>5309.8159999999998</fb>
    <v>24</v>
  </rv>
  <rv s="1">
    <fb>148.56753447087999</fb>
    <v>27</v>
  </rv>
  <rv s="1">
    <fb>6.0045808232215399E-2</fb>
    <v>23</v>
  </rv>
  <rv s="1">
    <fb>1499.4850859092901</fb>
    <v>24</v>
  </rv>
  <rv s="1">
    <fb>3.585</fb>
    <v>25</v>
  </rv>
  <rv s="1">
    <fb>2.9713955897145601E-2</fb>
    <v>23</v>
  </rv>
  <rv s="1">
    <fb>45.9841418625521</fb>
    <v>28</v>
  </rv>
  <rv s="1">
    <fb>8116626794.2583704</fb>
    <v>30</v>
  </rv>
  <rv s="1">
    <fb>1.0085743999999999</fb>
    <v>23</v>
  </rv>
  <rv s="1">
    <fb>0.3125656</fb>
    <v>23</v>
  </rv>
  <rv s="1">
    <fb>30.4</fb>
    <v>28</v>
  </rv>
  <rv s="0">
    <v>805306368</v>
    <v>Emomali Rahmon (President)</v>
    <v>b7d56bfe-09a1-236c-06fb-e37a67d7b283</v>
    <v>en-US</v>
    <v>Generic</v>
  </rv>
  <rv s="0">
    <v>805306368</v>
    <v>Kokhir Rasulzoda (Prime minister)</v>
    <v>e81862d5-90b7-4ef8-aa86-21cbab79b013</v>
    <v>en-US</v>
    <v>Generic</v>
  </rv>
  <rv s="3">
    <v>116</v>
  </rv>
  <rv s="4">
    <v>https://www.bing.com/search?q=tajikistan&amp;form=skydnc</v>
    <v>Learn more on Bing</v>
  </rv>
  <rv s="1">
    <fb>70.879000000000005</fb>
    <v>28</v>
  </rv>
  <rv s="1">
    <fb>17</fb>
    <v>28</v>
  </rv>
  <rv s="1">
    <fb>0.23</fb>
    <v>29</v>
  </rv>
  <rv s="3">
    <v>117</v>
  </rv>
  <rv s="1">
    <fb>0.63062999939999997</fb>
    <v>23</v>
  </rv>
  <rv s="1">
    <fb>1.7002999999999999</fb>
    <v>25</v>
  </rv>
  <rv s="1">
    <fb>9952787</fb>
    <v>24</v>
  </rv>
  <rv s="1">
    <fb>0.22399999999999998</fb>
    <v>23</v>
  </rv>
  <rv s="1">
    <fb>0.41700000000000004</fb>
    <v>23</v>
  </rv>
  <rv s="1">
    <fb>0.03</fb>
    <v>23</v>
  </rv>
  <rv s="1">
    <fb>7.400000000000001E-2</fb>
    <v>23</v>
  </rv>
  <rv s="1">
    <fb>0.12</fb>
    <v>23</v>
  </rv>
  <rv s="1">
    <fb>0.16399999999999998</fb>
    <v>23</v>
  </rv>
  <rv s="1">
    <fb>0.42020999908447298</fb>
    <v>23</v>
  </rv>
  <rv s="0">
    <v>536870912</v>
    <v>Districts under Central Government Jurisdiction</v>
    <v>564e4cf4-bf1b-feb0-e1dc-38b09893d12b</v>
    <v>en-US</v>
    <v>Map</v>
  </rv>
  <rv s="0">
    <v>536870912</v>
    <v>Sughd Region</v>
    <v>fdbef49a-a624-b418-31c0-8f98f7af29c9</v>
    <v>en-US</v>
    <v>Map</v>
  </rv>
  <rv s="0">
    <v>536870912</v>
    <v>Khatlon Region</v>
    <v>aa2b17b7-2ed2-b63d-1d1c-598393216e3f</v>
    <v>en-US</v>
    <v>Map</v>
  </rv>
  <rv s="0">
    <v>536870912</v>
    <v>Gorno-Badakhshan</v>
    <v>694eb43a-b479-27c3-1eb4-15001a05953a</v>
    <v>en-US</v>
    <v>Map</v>
  </rv>
  <rv s="3">
    <v>118</v>
  </rv>
  <rv s="1">
    <fb>9.8210237867462288E-2</fb>
    <v>23</v>
  </rv>
  <rv s="1">
    <fb>0.67299999999999993</fb>
    <v>23</v>
  </rv>
  <rv s="1">
    <fb>0.110170001983643</fb>
    <v>31</v>
  </rv>
  <rv s="1">
    <fb>2545477</fb>
    <v>24</v>
  </rv>
  <rv s="8">
    <v>#VALUE!</v>
    <v>en-US</v>
    <v>51f28292-bea6-a5bd-4119-fc439f15243a</v>
    <v>536870912</v>
    <v>1</v>
    <v>228</v>
    <v>82</v>
    <v>Tajikistan</v>
    <v>19</v>
    <v>20</v>
    <v>Map</v>
    <v>21</v>
    <v>229</v>
    <v>TJ</v>
    <v>1869</v>
    <v>1870</v>
    <v>1871</v>
    <v>1872</v>
    <v>1873</v>
    <v>1874</v>
    <v>1875</v>
    <v>1876</v>
    <v>1877</v>
    <v>TJS</v>
    <v>Tajikistan, officially the Republic of Tajikistan, is a landlocked country in Central Asia. Dushanbe is the capital and most populous city. Tajikistan is bordered by Afghanistan to the south, Uzbekistan to the west, Kyrgyzstan to the north, and ...</v>
    <v>1878</v>
    <v>1879</v>
    <v>1880</v>
    <v>1881</v>
    <v>1157</v>
    <v>1882</v>
    <v>1883</v>
    <v>1884</v>
    <v>18</v>
    <v>1885</v>
    <v>1874</v>
    <v>1888</v>
    <v>1889</v>
    <v>1890</v>
    <v>1891</v>
    <v>1892</v>
    <v>Tajikistan</v>
    <v>Surudi Milli</v>
    <v>1893</v>
    <v>Ҷумҳурии Тоҷикистон</v>
    <v>1894</v>
    <v>1895</v>
    <v>1896</v>
    <v>1897</v>
    <v>34</v>
    <v>1898</v>
    <v>1899</v>
    <v>1900</v>
    <v>1901</v>
    <v>1902</v>
    <v>1903</v>
    <v>1908</v>
    <v>1909</v>
    <v>97</v>
    <v>1910</v>
    <v>1911</v>
    <v>Tajikistan</v>
    <v>1912</v>
    <v>mdp/vdpid/228</v>
  </rv>
  <rv s="0">
    <v>536870912</v>
    <v>Kyrgyzstan</v>
    <v>27f6d40c-198a-efe5-2541-4a5c16f65884</v>
    <v>en-US</v>
    <v>Map</v>
  </rv>
  <rv s="1">
    <fb>0.54958289885297196</fb>
    <v>23</v>
  </rv>
  <rv s="1">
    <fb>199951</fb>
    <v>24</v>
  </rv>
  <rv s="1">
    <fb>21000</fb>
    <v>24</v>
  </rv>
  <rv s="1">
    <fb>27.1</fb>
    <v>25</v>
  </rv>
  <rv s="1">
    <fb>996</fb>
    <v>26</v>
  </rv>
  <rv s="0">
    <v>536870912</v>
    <v>Bishkek</v>
    <v>f744f7c3-1242-c414-8b99-2aaf98f7bddd</v>
    <v>en-US</v>
    <v>Map</v>
  </rv>
  <rv s="1">
    <fb>9787.223</fb>
    <v>24</v>
  </rv>
  <rv s="1">
    <fb>155.676152413544</fb>
    <v>27</v>
  </rv>
  <rv s="1">
    <fb>1.13362257718798E-2</fb>
    <v>23</v>
  </rv>
  <rv s="1">
    <fb>1941.22183189101</fb>
    <v>24</v>
  </rv>
  <rv s="1">
    <fb>3.3</fb>
    <v>25</v>
  </rv>
  <rv s="1">
    <fb>3.2794577685088602E-2</fb>
    <v>23</v>
  </rv>
  <rv s="1">
    <fb>75.476218956647202</fb>
    <v>28</v>
  </rv>
  <rv s="1">
    <fb>0.56000000000000005</fb>
    <v>29</v>
  </rv>
  <rv s="1">
    <fb>8454619607.8179502</fb>
    <v>30</v>
  </rv>
  <rv s="1">
    <fb>1.0756540999999999</fb>
    <v>23</v>
  </rv>
  <rv s="1">
    <fb>0.41267020000000004</fb>
    <v>23</v>
  </rv>
  <rv s="1">
    <fb>16.899999999999999</fb>
    <v>28</v>
  </rv>
  <rv s="0">
    <v>805306368</v>
    <v>Sadyr Japarov (President)</v>
    <v>b383044a-af48-c077-2070-a76cb02265f9</v>
    <v>en-US</v>
    <v>Generic</v>
  </rv>
  <rv s="0">
    <v>805306368</v>
    <v>Adylbek Kasymaliev (Chairman)</v>
    <v>1b40637c-cf0e-2be9-8aa3-ca9ee19fe030</v>
    <v>en-US</v>
    <v>Generic</v>
  </rv>
  <rv s="3">
    <v>119</v>
  </rv>
  <rv s="4">
    <v>https://www.bing.com/search?q=kyrgyzstan&amp;form=skydnc</v>
    <v>Learn more on Bing</v>
  </rv>
  <rv s="1">
    <fb>71.400000000000006</fb>
    <v>28</v>
  </rv>
  <rv s="1">
    <fb>60</fb>
    <v>28</v>
  </rv>
  <rv s="3">
    <v>120</v>
  </rv>
  <rv s="1">
    <fb>0.48239436470000002</fb>
    <v>23</v>
  </rv>
  <rv s="1">
    <fb>1.8759999999999999</fb>
    <v>25</v>
  </rv>
  <rv s="1">
    <fb>6803300</fb>
    <v>24</v>
  </rv>
  <rv s="1">
    <fb>0.23600000000000002</fb>
    <v>23</v>
  </rv>
  <rv s="1">
    <fb>0.37799999999999995</fb>
    <v>23</v>
  </rv>
  <rv s="1">
    <fb>4.2999999999999997E-2</fb>
    <v>23</v>
  </rv>
  <rv s="1">
    <fb>0.13500000000000001</fb>
    <v>23</v>
  </rv>
  <rv s="1">
    <fb>0.59831001281738305</fb>
    <v>23</v>
  </rv>
  <rv s="0">
    <v>536870912</v>
    <v>Osh</v>
    <v>fb2c3f6c-3f52-c2c9-bd17-c74d334b5da4</v>
    <v>en-US</v>
    <v>Map</v>
  </rv>
  <rv s="0">
    <v>536870912</v>
    <v>Batken Region</v>
    <v>56336dc8-1184-bd64-13d7-7c02badbe8c1</v>
    <v>en-US</v>
    <v>Map</v>
  </rv>
  <rv s="0">
    <v>536870912</v>
    <v>Chüy Region</v>
    <v>0d0e95c1-3cf1-b662-669c-3f778042fb71</v>
    <v>en-US</v>
    <v>Map</v>
  </rv>
  <rv s="0">
    <v>536870912</v>
    <v>Issyk-Kul Region</v>
    <v>6c4cf4dd-06dd-d852-5c60-40ceaf0dbbde</v>
    <v>en-US</v>
    <v>Map</v>
  </rv>
  <rv s="0">
    <v>536870912</v>
    <v>Jalal-Abad Region</v>
    <v>c930ab29-b123-fda6-5ae6-51acea4f137d</v>
    <v>en-US</v>
    <v>Map</v>
  </rv>
  <rv s="0">
    <v>536870912</v>
    <v>Naryn Region</v>
    <v>bd90e3bf-de2d-2d2f-7066-86f87bdc18a8</v>
    <v>en-US</v>
    <v>Map</v>
  </rv>
  <rv s="0">
    <v>536870912</v>
    <v>Osh Region</v>
    <v>1bc4f38a-6453-0cad-f854-f1a4e80bed9c</v>
    <v>en-US</v>
    <v>Map</v>
  </rv>
  <rv s="0">
    <v>536870912</v>
    <v>Talas Region</v>
    <v>b4287fe8-a22c-115c-8577-2813c27dc206</v>
    <v>en-US</v>
    <v>Map</v>
  </rv>
  <rv s="3">
    <v>121</v>
  </rv>
  <rv s="1">
    <fb>0.17998857013594999</fb>
    <v>23</v>
  </rv>
  <rv s="3">
    <v>122</v>
  </rv>
  <rv s="1">
    <fb>0.28999999999999998</fb>
    <v>23</v>
  </rv>
  <rv s="1">
    <fb>6.3299999237060506E-2</fb>
    <v>31</v>
  </rv>
  <rv s="1">
    <fb>2362644</fb>
    <v>24</v>
  </rv>
  <rv s="8">
    <v>#VALUE!</v>
    <v>en-US</v>
    <v>27f6d40c-198a-efe5-2541-4a5c16f65884</v>
    <v>536870912</v>
    <v>1</v>
    <v>234</v>
    <v>82</v>
    <v>Kyrgyzstan</v>
    <v>19</v>
    <v>20</v>
    <v>Map</v>
    <v>21</v>
    <v>235</v>
    <v>KG</v>
    <v>1915</v>
    <v>1916</v>
    <v>1917</v>
    <v>1918</v>
    <v>1919</v>
    <v>1920</v>
    <v>1921</v>
    <v>1922</v>
    <v>1923</v>
    <v>KGS</v>
    <v>Kyrgyzstan, officially the Kyrgyz Republic, is a landlocked country in Central Asia, lying in the Tian Shan and Pamir mountain ranges. Bishkek is the capital and largest city. Kyrgyzstan is bordered by Kazakhstan to the north, Uzbekistan to the ...</v>
    <v>1924</v>
    <v>1925</v>
    <v>1926</v>
    <v>1927</v>
    <v>1928</v>
    <v>1929</v>
    <v>1930</v>
    <v>1931</v>
    <v>18</v>
    <v>1932</v>
    <v>1920</v>
    <v>1935</v>
    <v>1936</v>
    <v>1937</v>
    <v>1938</v>
    <v>1413</v>
    <v>Kyrgyzstan</v>
    <v>National Anthem of the Kyrgyz Republic</v>
    <v>1939</v>
    <v>Кыргызстан</v>
    <v>1940</v>
    <v>1941</v>
    <v>1942</v>
    <v>33</v>
    <v>1943</v>
    <v>1944</v>
    <v>1945</v>
    <v>359</v>
    <v>1946</v>
    <v>429</v>
    <v>1947</v>
    <v>1956</v>
    <v>1957</v>
    <v>1958</v>
    <v>1959</v>
    <v>1960</v>
    <v>Kyrgyzstan</v>
    <v>1961</v>
    <v>mdp/vdpid/130</v>
  </rv>
  <rv s="0">
    <v>536870912</v>
    <v>Senegal</v>
    <v>61b4b41a-e86a-1c43-604a-57097e879fb9</v>
    <v>en-US</v>
    <v>Map</v>
  </rv>
  <rv s="1">
    <fb>0.46060354230509504</fb>
    <v>23</v>
  </rv>
  <rv s="1">
    <fb>196722</fb>
    <v>24</v>
  </rv>
  <rv s="1">
    <fb>19000</fb>
    <v>24</v>
  </rv>
  <rv s="1">
    <fb>34.523000000000003</fb>
    <v>25</v>
  </rv>
  <rv s="1">
    <fb>221</fb>
    <v>26</v>
  </rv>
  <rv s="0">
    <v>536870912</v>
    <v>Dakar</v>
    <v>231d192c-d87d-99c6-2482-7dd7e8becc3e</v>
    <v>en-US</v>
    <v>Map</v>
  </rv>
  <rv s="1">
    <fb>10901.991</fb>
    <v>24</v>
  </rv>
  <rv s="1">
    <fb>109.251270172291</fb>
    <v>27</v>
  </rv>
  <rv s="1">
    <fb>1.7585651759565901E-2</fb>
    <v>23</v>
  </rv>
  <rv s="1">
    <fb>229.35179510637599</fb>
    <v>24</v>
  </rv>
  <rv s="1">
    <fb>4.625</fb>
    <v>25</v>
  </rv>
  <rv s="1">
    <fb>0.42762166935023105</fb>
    <v>23</v>
  </rv>
  <rv s="1">
    <fb>53.909117209717202</fb>
    <v>28</v>
  </rv>
  <rv s="1">
    <fb>1.1399999999999999</fb>
    <v>29</v>
  </rv>
  <rv s="1">
    <fb>23578084052.014702</fb>
    <v>30</v>
  </rv>
  <rv s="1">
    <fb>0.80950040000000001</fb>
    <v>23</v>
  </rv>
  <rv s="1">
    <fb>0.12762589999999999</fb>
    <v>23</v>
  </rv>
  <rv s="1">
    <fb>31.8</fb>
    <v>28</v>
  </rv>
  <rv s="0">
    <v>805306368</v>
    <v>Bassirou Diomaye Faye (President)</v>
    <v>4b85b865-b12f-b824-0b99-5e369a8fcabc</v>
    <v>en-US</v>
    <v>Generic</v>
  </rv>
  <rv s="0">
    <v>805306368</v>
    <v>Ousmane Sonko (Prime minister)</v>
    <v>1096fc47-a66d-8bd8-8a24-4d855e2a06c0</v>
    <v>en-US</v>
    <v>Generic</v>
  </rv>
  <rv s="3">
    <v>123</v>
  </rv>
  <rv s="4">
    <v>https://www.bing.com/search?q=senegal&amp;form=skydnc</v>
    <v>Learn more on Bing</v>
  </rv>
  <rv s="1">
    <fb>67.665000000000006</fb>
    <v>28</v>
  </rv>
  <rv s="1">
    <fb>315</fb>
    <v>28</v>
  </rv>
  <rv s="1">
    <fb>0.31</fb>
    <v>29</v>
  </rv>
  <rv s="3">
    <v>124</v>
  </rv>
  <rv s="1">
    <fb>0.44180671030000002</fb>
    <v>23</v>
  </rv>
  <rv s="1">
    <fb>6.9099999999999995E-2</fb>
    <v>25</v>
  </rv>
  <rv s="1">
    <fb>17316449</fb>
    <v>24</v>
  </rv>
  <rv s="1">
    <fb>0.31</fb>
    <v>23</v>
  </rv>
  <rv s="1">
    <fb>0.46899999999999997</fb>
    <v>23</v>
  </rv>
  <rv s="1">
    <fb>2.3E-2</fb>
    <v>23</v>
  </rv>
  <rv s="1">
    <fb>0.15</fb>
    <v>23</v>
  </rv>
  <rv s="1">
    <fb>0.45683998107910201</fb>
    <v>23</v>
  </rv>
  <rv s="0">
    <v>536870912</v>
    <v>Dakar region</v>
    <v>3bb61292-7b3c-7124-2947-27d8f8207ea6</v>
    <v>en-US</v>
    <v>Map</v>
  </rv>
  <rv s="0">
    <v>536870912</v>
    <v>Diourbel region</v>
    <v>3a04c367-3989-9214-f703-f9caae8c2380</v>
    <v>en-US</v>
    <v>Map</v>
  </rv>
  <rv s="0">
    <v>536870912</v>
    <v>Fatick region</v>
    <v>b43f17b3-9f6f-299a-9d6e-c6be9ad16f93</v>
    <v>en-US</v>
    <v>Map</v>
  </rv>
  <rv s="0">
    <v>536870912</v>
    <v>Kaffrine region</v>
    <v>d07d2758-d957-15b8-0148-96c6ac35c8cc</v>
    <v>en-US</v>
    <v>Map</v>
  </rv>
  <rv s="0">
    <v>536870912</v>
    <v>Kaolack region</v>
    <v>86e997d8-50b5-6fbb-a0e8-cc6f1af0d180</v>
    <v>en-US</v>
    <v>Map</v>
  </rv>
  <rv s="0">
    <v>536870912</v>
    <v>Kédougou region</v>
    <v>be665ea0-47d0-74cf-a4c9-749564e5d774</v>
    <v>en-US</v>
    <v>Map</v>
  </rv>
  <rv s="0">
    <v>536870912</v>
    <v>Kolda region</v>
    <v>c6cbe52c-3bb9-4f46-99ce-df49ccf17d78</v>
    <v>en-US</v>
    <v>Map</v>
  </rv>
  <rv s="0">
    <v>536870912</v>
    <v>Louga region</v>
    <v>08e6ec18-e2d9-407c-d36e-2d2b3e5812e7</v>
    <v>en-US</v>
    <v>Map</v>
  </rv>
  <rv s="0">
    <v>536870912</v>
    <v>Matam region</v>
    <v>5b6b478c-d8e5-3d03-e263-172092ca0e2a</v>
    <v>en-US</v>
    <v>Map</v>
  </rv>
  <rv s="0">
    <v>536870912</v>
    <v>Saint-Louis region</v>
    <v>dd8c5a0a-57ff-1d66-70a5-890cccde5de6</v>
    <v>en-US</v>
    <v>Map</v>
  </rv>
  <rv s="0">
    <v>536870912</v>
    <v>Sédhiou region</v>
    <v>9f50a8d2-d72a-ae8c-222b-a038d4bfa5bf</v>
    <v>en-US</v>
    <v>Map</v>
  </rv>
  <rv s="0">
    <v>536870912</v>
    <v>Tambacounda region</v>
    <v>81d98438-d785-d9fd-11a6-ed6aff0674b7</v>
    <v>en-US</v>
    <v>Map</v>
  </rv>
  <rv s="0">
    <v>536870912</v>
    <v>Thiès region</v>
    <v>aacbf82b-f645-4869-bdab-70cf7794b920</v>
    <v>en-US</v>
    <v>Map</v>
  </rv>
  <rv s="0">
    <v>536870912</v>
    <v>Ziguinchor region</v>
    <v>d4699e3e-86b1-9fdc-8429-2bd7e9bb2f07</v>
    <v>en-US</v>
    <v>Map</v>
  </rv>
  <rv s="3">
    <v>125</v>
  </rv>
  <rv s="1">
    <fb>0.16294156680093402</fb>
    <v>23</v>
  </rv>
  <rv s="3">
    <v>126</v>
  </rv>
  <rv s="1">
    <fb>0.44799999999999995</fb>
    <v>23</v>
  </rv>
  <rv s="1">
    <fb>6.6040000915527294E-2</fb>
    <v>31</v>
  </rv>
  <rv s="1">
    <fb>7765706</fb>
    <v>24</v>
  </rv>
  <rv s="8">
    <v>#VALUE!</v>
    <v>en-US</v>
    <v>61b4b41a-e86a-1c43-604a-57097e879fb9</v>
    <v>536870912</v>
    <v>1</v>
    <v>240</v>
    <v>82</v>
    <v>Senegal</v>
    <v>19</v>
    <v>20</v>
    <v>Map</v>
    <v>21</v>
    <v>241</v>
    <v>SN</v>
    <v>1964</v>
    <v>1965</v>
    <v>1966</v>
    <v>1967</v>
    <v>1968</v>
    <v>1969</v>
    <v>1970</v>
    <v>1971</v>
    <v>1972</v>
    <v>XOF</v>
    <v>Senegal, officially the Republic of Senegal, is the westernmost country in West Africa, situated on the Atlantic Ocean coastline. It borders Mauritania to the north, Mali to the east, Guinea to the southeast and Guinea-Bissau to the southwest. ...</v>
    <v>1973</v>
    <v>1974</v>
    <v>1975</v>
    <v>1976</v>
    <v>1977</v>
    <v>1978</v>
    <v>1979</v>
    <v>1980</v>
    <v>18</v>
    <v>1981</v>
    <v>1969</v>
    <v>1984</v>
    <v>1985</v>
    <v>1986</v>
    <v>1987</v>
    <v>1988</v>
    <v>Senegal</v>
    <v>Le Lion rouge</v>
    <v>1989</v>
    <v>République du Sénégal</v>
    <v>1990</v>
    <v>1991</v>
    <v>1992</v>
    <v>275</v>
    <v>1993</v>
    <v>1994</v>
    <v>1995</v>
    <v>936</v>
    <v>1601</v>
    <v>1996</v>
    <v>1997</v>
    <v>2012</v>
    <v>2013</v>
    <v>2014</v>
    <v>2015</v>
    <v>2016</v>
    <v>Senegal</v>
    <v>2017</v>
    <v>mdp/vdpid/210</v>
  </rv>
  <rv s="0">
    <v>536870912</v>
    <v>Honduras</v>
    <v>f3535c6b-be45-301f-41bd-b224e60e78e7</v>
    <v>en-US</v>
    <v>Map</v>
  </rv>
  <rv s="1">
    <fb>0.28912324604522299</fb>
    <v>23</v>
  </rv>
  <rv s="1">
    <fb>112492</fb>
    <v>24</v>
  </rv>
  <rv s="1">
    <fb>23000</fb>
    <v>24</v>
  </rv>
  <rv s="1">
    <fb>21.599</fb>
    <v>25</v>
  </rv>
  <rv s="1">
    <fb>504</fb>
    <v>26</v>
  </rv>
  <rv s="0">
    <v>536870912</v>
    <v>Tegucigalpa</v>
    <v>78ddeef7-86f1-2ff0-29ca-386d442656c1</v>
    <v>en-US</v>
    <v>Map</v>
  </rv>
  <rv s="1">
    <fb>9812.8919999999998</fb>
    <v>24</v>
  </rv>
  <rv s="1">
    <fb>150.34435782941</fb>
    <v>27</v>
  </rv>
  <rv s="1">
    <fb>4.3658715981927193E-2</fb>
    <v>23</v>
  </rv>
  <rv s="1">
    <fb>619.83639490378596</fb>
    <v>24</v>
  </rv>
  <rv s="1">
    <fb>2.46</fb>
    <v>25</v>
  </rv>
  <rv s="1">
    <fb>0.39967825542943997</fb>
    <v>23</v>
  </rv>
  <rv s="1">
    <fb>52.479312528490702</fb>
    <v>28</v>
  </rv>
  <rv s="1">
    <fb>0.98</fb>
    <v>29</v>
  </rv>
  <rv s="1">
    <fb>25095395475.039299</fb>
    <v>30</v>
  </rv>
  <rv s="1">
    <fb>0.91534959999999999</fb>
    <v>23</v>
  </rv>
  <rv s="1">
    <fb>0.26164219999999999</fb>
    <v>23</v>
  </rv>
  <rv s="1">
    <fb>15.1</fb>
    <v>28</v>
  </rv>
  <rv s="0">
    <v>805306368</v>
    <v>Xiomara Castro (President)</v>
    <v>a8bfe5aa-953e-ce39-1149-dc28366dcd2e</v>
    <v>en-US</v>
    <v>Generic</v>
  </rv>
  <rv s="3">
    <v>127</v>
  </rv>
  <rv s="4">
    <v>https://www.bing.com/search?q=honduras&amp;form=skydnc</v>
    <v>Learn more on Bing</v>
  </rv>
  <rv s="1">
    <fb>75.087999999999994</fb>
    <v>28</v>
  </rv>
  <rv s="1">
    <fb>65</fb>
    <v>28</v>
  </rv>
  <rv s="1">
    <fb>1.01</fb>
    <v>29</v>
  </rv>
  <rv s="3">
    <v>128</v>
  </rv>
  <rv s="1">
    <fb>0.49125813399999996</fb>
    <v>23</v>
  </rv>
  <rv s="1">
    <fb>0.30890000000000001</fb>
    <v>25</v>
  </rv>
  <rv s="1">
    <fb>10432860</fb>
    <v>24</v>
  </rv>
  <rv s="1">
    <fb>0.20800000000000002</fb>
    <v>23</v>
  </rv>
  <rv s="1">
    <fb>0.39100000000000001</fb>
    <v>23</v>
  </rv>
  <rv s="1">
    <fb>0.56100000000000005</fb>
    <v>23</v>
  </rv>
  <rv s="1">
    <fb>9.0000000000000011E-3</fb>
    <v>23</v>
  </rv>
  <rv s="1">
    <fb>0.68771003723144508</fb>
    <v>23</v>
  </rv>
  <rv s="0">
    <v>536870912</v>
    <v>Atlántida Department</v>
    <v>702947cc-d6b1-39ba-53d0-8fb30bcdd562</v>
    <v>en-US</v>
    <v>Map</v>
  </rv>
  <rv s="0">
    <v>536870912</v>
    <v>Choluteca Department</v>
    <v>3a599964-e799-949b-eec1-79c52dfe6662</v>
    <v>en-US</v>
    <v>Map</v>
  </rv>
  <rv s="0">
    <v>536870912</v>
    <v>Colón Department</v>
    <v>11442aed-534d-e11a-22b2-8603ec21c516</v>
    <v>en-US</v>
    <v>Map</v>
  </rv>
  <rv s="0">
    <v>536870912</v>
    <v>Comayagua Department</v>
    <v>34e8270a-3e9c-399e-dbc3-2630d4ee1cc1</v>
    <v>en-US</v>
    <v>Map</v>
  </rv>
  <rv s="0">
    <v>536870912</v>
    <v>Copán Department</v>
    <v>1af5f116-a30f-a7cb-60d0-538ffaa52ce7</v>
    <v>en-US</v>
    <v>Map</v>
  </rv>
  <rv s="0">
    <v>536870912</v>
    <v>Cortés Department</v>
    <v>bd450a11-8f2d-a557-ddd8-d690f789ec15</v>
    <v>en-US</v>
    <v>Map</v>
  </rv>
  <rv s="0">
    <v>536870912</v>
    <v>El Paraíso Department</v>
    <v>835ccc7d-9cd0-4825-3241-e863c5ee620c</v>
    <v>en-US</v>
    <v>Map</v>
  </rv>
  <rv s="0">
    <v>536870912</v>
    <v>Francisco Morazán Department</v>
    <v>e7bd130b-3daf-ad30-732a-07bfe91c1866</v>
    <v>en-US</v>
    <v>Map</v>
  </rv>
  <rv s="0">
    <v>536870912</v>
    <v>Gracias a Dios Department</v>
    <v>5e961e8d-37a6-4d49-b36b-67fa593570b4</v>
    <v>en-US</v>
    <v>Map</v>
  </rv>
  <rv s="0">
    <v>536870912</v>
    <v>Intibucá Department</v>
    <v>83637919-1982-883b-fa06-8f8cc8eba408</v>
    <v>en-US</v>
    <v>Map</v>
  </rv>
  <rv s="0">
    <v>536870912</v>
    <v>Bay Islands Department</v>
    <v>a7916980-24be-26fa-f6f7-b5c870314dd2</v>
    <v>en-US</v>
    <v>Map</v>
  </rv>
  <rv s="0">
    <v>536870912</v>
    <v>La Paz Department</v>
    <v>4cc8a0d3-6ccb-deaf-3e9c-319f9a1e4d3f</v>
    <v>en-US</v>
    <v>Map</v>
  </rv>
  <rv s="0">
    <v>536870912</v>
    <v>Lempira Department</v>
    <v>c3662aac-be52-19ab-0e84-e079f9c30864</v>
    <v>en-US</v>
    <v>Map</v>
  </rv>
  <rv s="0">
    <v>536870912</v>
    <v>Ocotepeque Department</v>
    <v>74343f94-e279-d415-175d-5ecd79a96e5b</v>
    <v>en-US</v>
    <v>Map</v>
  </rv>
  <rv s="0">
    <v>536870912</v>
    <v>Olancho Department</v>
    <v>54749fcd-cd46-1f0d-4ee5-eefcee6aaf96</v>
    <v>en-US</v>
    <v>Map</v>
  </rv>
  <rv s="0">
    <v>536870912</v>
    <v>Santa Bárbara Department, Honduras</v>
    <v>cc6de462-4175-44da-add7-a6a5a9da364b</v>
    <v>en-US</v>
    <v>Map</v>
  </rv>
  <rv s="0">
    <v>536870912</v>
    <v>Valle Department</v>
    <v>ae3793e1-89eb-3067-b403-878e49f4a98b</v>
    <v>en-US</v>
    <v>Map</v>
  </rv>
  <rv s="0">
    <v>536870912</v>
    <v>Yoro Department</v>
    <v>04bfd889-117b-4702-bd02-438635d2decb</v>
    <v>en-US</v>
    <v>Map</v>
  </rv>
  <rv s="3">
    <v>129</v>
  </rv>
  <rv s="1">
    <fb>0.17344472061159399</fb>
    <v>23</v>
  </rv>
  <rv s="1">
    <fb>5.38600015640259E-2</fb>
    <v>31</v>
  </rv>
  <rv s="1">
    <fb>5626433</fb>
    <v>24</v>
  </rv>
  <rv s="8">
    <v>#VALUE!</v>
    <v>en-US</v>
    <v>f3535c6b-be45-301f-41bd-b224e60e78e7</v>
    <v>536870912</v>
    <v>1</v>
    <v>246</v>
    <v>82</v>
    <v>Honduras</v>
    <v>19</v>
    <v>20</v>
    <v>Map</v>
    <v>21</v>
    <v>247</v>
    <v>HN</v>
    <v>2020</v>
    <v>2021</v>
    <v>2022</v>
    <v>2023</v>
    <v>2024</v>
    <v>2025</v>
    <v>2026</v>
    <v>2027</v>
    <v>2028</v>
    <v>HNL</v>
    <v>Honduras, officially the Republic of Honduras, is a country in Central America. It is bordered to the west by Guatemala, to the southwest by El Salvador, to the southeast by Nicaragua, to the south by the Pacific Ocean at the Gulf of Fonseca, ...</v>
    <v>2029</v>
    <v>2030</v>
    <v>2031</v>
    <v>2032</v>
    <v>2033</v>
    <v>2034</v>
    <v>2035</v>
    <v>2036</v>
    <v>18</v>
    <v>2037</v>
    <v>2025</v>
    <v>2039</v>
    <v>2040</v>
    <v>2041</v>
    <v>2042</v>
    <v>2043</v>
    <v>Honduras</v>
    <v>National Anthem of Honduras</v>
    <v>2044</v>
    <v>Honduras</v>
    <v>2045</v>
    <v>2046</v>
    <v>2047</v>
    <v>2048</v>
    <v>2049</v>
    <v>2050</v>
    <v>2051</v>
    <v>1899</v>
    <v>1900</v>
    <v>428</v>
    <v>2052</v>
    <v>2071</v>
    <v>2072</v>
    <v>699</v>
    <v>2049</v>
    <v>2073</v>
    <v>Honduras</v>
    <v>2074</v>
    <v>mdp/vdpid/106</v>
  </rv>
  <rv s="0">
    <v>536870912</v>
    <v>Democratic Republic of the Congo</v>
    <v>ca4ca1f6-14e8-4ec4-828b-9f989adfdedf</v>
    <v>en-US</v>
    <v>Map</v>
  </rv>
  <rv s="1">
    <fb>0.115568690589092</fb>
    <v>23</v>
  </rv>
  <rv s="1">
    <fb>2344858</fb>
    <v>24</v>
  </rv>
  <rv s="1">
    <fb>134000</fb>
    <v>24</v>
  </rv>
  <rv s="1">
    <fb>41.183</fb>
    <v>25</v>
  </rv>
  <rv s="1">
    <fb>243</fb>
    <v>26</v>
  </rv>
  <rv s="0">
    <v>536870912</v>
    <v>Kinshasa</v>
    <v>2acb1013-1141-4cb4-9703-aa6eef3bc16a</v>
    <v>en-US</v>
    <v>Map</v>
  </rv>
  <rv s="1">
    <fb>2020.5170000000001</fb>
    <v>24</v>
  </rv>
  <rv s="1">
    <fb>133.85092657703501</fb>
    <v>27</v>
  </rv>
  <rv s="1">
    <fb>2.8858510729000902E-2</fb>
    <v>23</v>
  </rv>
  <rv s="1">
    <fb>108.516701140545</fb>
    <v>24</v>
  </rv>
  <rv s="1">
    <fb>5.9189999999999996</fb>
    <v>25</v>
  </rv>
  <rv s="1">
    <fb>0.67165079618888002</fb>
    <v>23</v>
  </rv>
  <rv s="1">
    <fb>5.3558141424821999</fb>
    <v>28</v>
  </rv>
  <rv s="1">
    <fb>1.49</fb>
    <v>29</v>
  </rv>
  <rv s="1">
    <fb>47319624204.093803</fb>
    <v>30</v>
  </rv>
  <rv s="1">
    <fb>1.0797707999999999</fb>
    <v>23</v>
  </rv>
  <rv s="1">
    <fb>6.6033400000000006E-2</fb>
    <v>23</v>
  </rv>
  <rv s="1">
    <fb>68.2</fb>
    <v>28</v>
  </rv>
  <rv s="0">
    <v>805306368</v>
    <v>Félix Tshisekedi (President)</v>
    <v>c33cb891-5387-79e5-c3ac-161bddd248b5</v>
    <v>en-US</v>
    <v>Generic</v>
  </rv>
  <rv s="0">
    <v>805306368</v>
    <v>Jean-Michel Sama Lukonde (Prime minister)</v>
    <v>3a92aae7-edf2-2ad7-bcc3-ade7c0b5fa53</v>
    <v>en-US</v>
    <v>Generic</v>
  </rv>
  <rv s="3">
    <v>130</v>
  </rv>
  <rv s="4">
    <v>https://www.bing.com/search?q=democratic+republic+of+the+congo&amp;form=skydnc</v>
    <v>Learn more on Bing</v>
  </rv>
  <rv s="1">
    <fb>60.368000000000002</fb>
    <v>28</v>
  </rv>
  <rv s="1">
    <fb>473</fb>
    <v>28</v>
  </rv>
  <rv s="1">
    <fb>0.18</fb>
    <v>29</v>
  </rv>
  <rv s="3">
    <v>131</v>
  </rv>
  <rv s="1">
    <fb>0.37426708410000004</fb>
    <v>23</v>
  </rv>
  <rv s="1">
    <fb>7.3999999999999996E-2</fb>
    <v>25</v>
  </rv>
  <rv s="1">
    <fb>95894118</fb>
    <v>24</v>
  </rv>
  <rv s="1">
    <fb>0.32</fb>
    <v>23</v>
  </rv>
  <rv s="1">
    <fb>0.48399999999999999</fb>
    <v>23</v>
  </rv>
  <rv s="1">
    <fb>2.1000000000000001E-2</fb>
    <v>23</v>
  </rv>
  <rv s="1">
    <fb>5.5E-2</fb>
    <v>23</v>
  </rv>
  <rv s="1">
    <fb>0.1</fb>
    <v>23</v>
  </rv>
  <rv s="1">
    <fb>0.63462001800537104</fb>
    <v>23</v>
  </rv>
  <rv s="0">
    <v>536870912</v>
    <v>Équateur</v>
    <v>0f6db8a7-f756-4513-8871-9fce750158e0</v>
    <v>en-US</v>
    <v>Map</v>
  </rv>
  <rv s="0">
    <v>536870912</v>
    <v>Kasai-Occidental</v>
    <v>f109ad29-3f8e-4a1d-ba07-ff0b3b9ec275</v>
    <v>en-US</v>
    <v>Map</v>
  </rv>
  <rv s="0">
    <v>536870912</v>
    <v>Kasaï-Oriental</v>
    <v>19bed4cb-4bbb-4863-afdf-a7ac510bc840</v>
    <v>en-US</v>
    <v>Map</v>
  </rv>
  <rv s="0">
    <v>536870912</v>
    <v>Katanga Province</v>
    <v>56ae1879-db81-4f74-a52e-7fe9ed5ea5a2</v>
    <v>en-US</v>
    <v>Map</v>
  </rv>
  <rv s="0">
    <v>536870912</v>
    <v>Maniema</v>
    <v>061168d8-c9d6-4e36-a475-b6c1b6b53803</v>
    <v>en-US</v>
    <v>Map</v>
  </rv>
  <rv s="0">
    <v>536870912</v>
    <v>North Kivu</v>
    <v>cff98cf5-c18d-4744-b7fd-3460e4e602e4</v>
    <v>en-US</v>
    <v>Map</v>
  </rv>
  <rv s="0">
    <v>536870912</v>
    <v>South Kivu</v>
    <v>9e033254-96ff-4a56-bf8a-9bd770751374</v>
    <v>en-US</v>
    <v>Map</v>
  </rv>
  <rv s="3">
    <v>132</v>
  </rv>
  <rv s="1">
    <fb>0.10704062801046201</fb>
    <v>23</v>
  </rv>
  <rv s="3">
    <v>133</v>
  </rv>
  <rv s="1">
    <fb>0.50700000000000001</fb>
    <v>23</v>
  </rv>
  <rv s="1">
    <fb>4.2360000610351597E-2</fb>
    <v>31</v>
  </rv>
  <rv s="1">
    <fb>39095679</fb>
    <v>24</v>
  </rv>
  <rv s="8">
    <v>#VALUE!</v>
    <v>en-US</v>
    <v>ca4ca1f6-14e8-4ec4-828b-9f989adfdedf</v>
    <v>536870912</v>
    <v>1</v>
    <v>252</v>
    <v>82</v>
    <v>Democratic Republic of the Congo</v>
    <v>19</v>
    <v>20</v>
    <v>Map</v>
    <v>21</v>
    <v>253</v>
    <v>CD</v>
    <v>2077</v>
    <v>2078</v>
    <v>2079</v>
    <v>2080</v>
    <v>2081</v>
    <v>2082</v>
    <v>2083</v>
    <v>2084</v>
    <v>2085</v>
    <v>CDF</v>
    <v>The Democratic Republic of the Congo, also known as the DR Congo, Congo-Kinshasa, or simply the Congo, is a country in Central Africa. By land area, the country is the second-largest country in Africa and the 11th-largest in the world. With a ...</v>
    <v>2086</v>
    <v>2087</v>
    <v>2088</v>
    <v>2089</v>
    <v>2090</v>
    <v>2091</v>
    <v>2092</v>
    <v>2093</v>
    <v>18</v>
    <v>2094</v>
    <v>2082</v>
    <v>2097</v>
    <v>2098</v>
    <v>2099</v>
    <v>2100</v>
    <v>2101</v>
    <v>Democratic Republic of the Congo</v>
    <v>Debout Congolais</v>
    <v>2102</v>
    <v>République démocratique du Congo</v>
    <v>2103</v>
    <v>2104</v>
    <v>2105</v>
    <v>136</v>
    <v>2106</v>
    <v>2107</v>
    <v>2108</v>
    <v>2109</v>
    <v>2110</v>
    <v>225</v>
    <v>2111</v>
    <v>2119</v>
    <v>2120</v>
    <v>2121</v>
    <v>2122</v>
    <v>2123</v>
    <v>Democratic Republic of the Congo</v>
    <v>2124</v>
    <v>mdp/vdpid/44</v>
  </rv>
  <rv s="2">
    <v>13</v>
    <v>3</v>
  </rv>
  <rv s="20">
    <v>13</v>
    <v>1</v>
  </rv>
</rvData>
</file>

<file path=xl/richData/rdrichvaluestructure.xml><?xml version="1.0" encoding="utf-8"?>
<rvStructures xmlns="http://schemas.microsoft.com/office/spreadsheetml/2017/richdata" count="21">
  <s t="_linkedentity2">
    <k n="%EntityServiceId" t="i"/>
    <k n="_DisplayString" t="s"/>
    <k n="%EntityId" t="s"/>
    <k n="%EntityCulture" t="s"/>
    <k n="_Icon" t="s"/>
  </s>
  <s t="_formattednumber">
    <k n="_Format" t="spb"/>
  </s>
  <s t="_error">
    <k n="errorType" t="i"/>
    <k n="subType" t="i"/>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rea" t="r"/>
    <k n="Calling code" t="r"/>
    <k n="Capital/Major City" t="r"/>
    <k n="Currency code" t="s"/>
    <k n="Description" t="s"/>
    <k n="GDP" t="r"/>
    <k n="Image" t="r"/>
    <k n="Largest city" t="r"/>
    <k n="Leader(s)" t="r"/>
    <k n="LearnMoreOnLink" t="r"/>
    <k n="Minimum wage" t="r"/>
    <k n="Name" t="s"/>
    <k n="National anthem" t="s"/>
    <k n="Official language" t="r"/>
    <k n="Official name" t="s"/>
    <k n="Population" t="r"/>
    <k n="Subdivisions"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rea" t="r"/>
    <k n="Calling code" t="r"/>
    <k n="Capital/Major City" t="r"/>
    <k n="Currency code" t="s"/>
    <k n="Description" t="s"/>
    <k n="GDP" t="r"/>
    <k n="Image" t="r"/>
    <k n="Largest city" t="r"/>
    <k n="Leader(s)" t="r"/>
    <k n="LearnMoreOnLink" t="r"/>
    <k n="Name" t="s"/>
    <k n="National anthem" t="s"/>
    <k n="Official language" t="r"/>
    <k n="Official name" t="s"/>
    <k n="Out of pocket health expenditure (%)" t="r"/>
    <k n="Population" t="r"/>
    <k n="Subdivisions"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Armed forces size" t="r"/>
    <k n="Birth rate" t="r"/>
    <k n="Calling code" t="r"/>
    <k n="Capital/Major City" t="r"/>
    <k n="Carbon dioxide emissions" t="r"/>
    <k n="CPI" t="r"/>
    <k n="CPI Change (%)" t="r"/>
    <k n="Currency code" t="s"/>
    <k n="Description" t="s"/>
    <k n="Electric power consumption" t="r"/>
    <k n="Fertility rate" t="r"/>
    <k n="Fossil fuel energy consumption" t="r"/>
    <k n="Gasoline price" t="r"/>
    <k n="GDP" t="r"/>
    <k n="Gross prim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urrency code" t="s"/>
    <k n="Description" t="s"/>
    <k n="Fertility rate" t="r"/>
    <k n="Forested area (%)" t="r"/>
    <k n="Gasoline price"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Physicians per thousand" t="r"/>
    <k n="Population" t="r"/>
    <k n="Population: Labor force participation (%)" t="r"/>
    <k n="Subdivisions" t="r"/>
    <k n="Tax revenue (%)" t="r"/>
    <k n="Time zone(s)"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error">
    <k n="errorType" t="i"/>
    <k n="propagated" t="b"/>
  </s>
</rvStructures>
</file>

<file path=xl/richData/rdsupportingpropertybag.xml><?xml version="1.0" encoding="utf-8"?>
<supportingPropertyBags xmlns="http://schemas.microsoft.com/office/spreadsheetml/2017/richdata2">
  <spbArrays count="15">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32">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Subdivisions</v>
      <v t="s">Minimum wage</v>
      <v t="s">Time zone(s)</v>
      <v t="s">Calling code</v>
      <v t="s">_Flags</v>
      <v t="s">VDPID/VSID</v>
      <v t="s">UniqueName</v>
      <v t="s">_DisplayString</v>
      <v t="s">LearnMoreOnLink</v>
      <v t="s">Image</v>
      <v t="s">Description</v>
    </a>
    <a count="32">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Subdivisions</v>
      <v t="s">Out of pocket health expenditure (%)</v>
      <v t="s">Time zone(s)</v>
      <v t="s">Calling code</v>
      <v t="s">_Flags</v>
      <v t="s">VDPID/VSID</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7">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Total tax rate</v>
      <v t="s">Unemployment rate</v>
      <v t="s">Gross primary education enrollment (%)</v>
      <v t="s">Out of pocket health expenditure (%)</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Out of pocket health expenditure (%)</v>
      <v t="s">Physicians per thousand</v>
      <v t="s">Armed forces size</v>
      <v t="s">Time zone(s)</v>
      <v t="s">Calling code</v>
      <v t="s">_Flags</v>
      <v t="s">VDPID/VSID</v>
      <v t="s">UniqueName</v>
      <v t="s">_DisplayString</v>
      <v t="s">LearnMoreOnLink</v>
      <v t="s">Image</v>
      <v t="s">Description</v>
    </a>
    <a count="5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5">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49">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Population: Labor force participation (%)</v>
      <v t="s">Tax revenue (%)</v>
      <v t="s">Unemployment rate</v>
      <v t="s">Gross primary education enrollment (%)</v>
      <v t="s">Gross tertiary education enrollment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spbArrays>
  <spbData count="254">
    <spb s="0">
      <v xml:space="preserve">data.worldbank.org	</v>
      <v xml:space="preserve">	</v>
      <v xml:space="preserve">http://data.worldbank.org/indicator/FP.CPI.TOTL	</v>
      <v xml:space="preserve">	</v>
    </spb>
    <spb s="0">
      <v xml:space="preserve">Wikipedia	Cia	travel.state.gov	</v>
      <v xml:space="preserve">CC-BY-SA			</v>
      <v xml:space="preserve">http://en.wikipedia.org/wiki/Nepal	https://www.cia.gov/library/publications/the-world-factbook/geos/np.html?Transportation	https://travel.state.gov/content/travel/en/international-travel/International-Travel-Country-Information-Pages/Nepal.html	</v>
      <v xml:space="preserve">http://creativecommons.org/licenses/by-sa/3.0/			</v>
    </spb>
    <spb s="0">
      <v xml:space="preserve">Wikipedia	</v>
      <v xml:space="preserve">CC BY-SA 3.0	</v>
      <v xml:space="preserve">https://en.wikipedia.org/wiki/Nepal	</v>
      <v xml:space="preserve">https://creativecommons.org/licenses/by-sa/3.0	</v>
    </spb>
    <spb s="0">
      <v xml:space="preserve">data.worldbank.org	</v>
      <v xml:space="preserve">	</v>
      <v xml:space="preserve">http://data.worldbank.org/indicator/SP.DYN.CBRT.IN	</v>
      <v xml:space="preserve">	</v>
    </spb>
    <spb s="0">
      <v xml:space="preserve">Wikipedia	</v>
      <v xml:space="preserve">CC-BY-SA	</v>
      <v xml:space="preserve">http://en.wikipedia.org/wiki/Nepal	</v>
      <v xml:space="preserve">http://creativecommons.org/licenses/by-sa/3.0/	</v>
    </spb>
    <spb s="0">
      <v xml:space="preserve">Cia	</v>
      <v xml:space="preserve">	</v>
      <v xml:space="preserve">https://www.cia.gov/library/publications/the-world-factbook/geos/np.html?Transportation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
      <v>0</v>
      <v>1</v>
      <v>2</v>
      <v>2</v>
      <v>3</v>
      <v>2</v>
      <v>2</v>
      <v>2</v>
      <v>4</v>
      <v>2</v>
      <v>2</v>
      <v>4</v>
      <v>2</v>
      <v>2</v>
      <v>5</v>
      <v>6</v>
      <v>1</v>
      <v>5</v>
      <v>7</v>
      <v>2</v>
      <v>5</v>
      <v>8</v>
      <v>9</v>
      <v>10</v>
      <v>5</v>
      <v>5</v>
      <v>2</v>
      <v>5</v>
      <v>11</v>
      <v>12</v>
      <v>13</v>
      <v>14</v>
      <v>5</v>
      <v>5</v>
      <v>5</v>
      <v>5</v>
      <v>5</v>
      <v>5</v>
      <v>5</v>
      <v>5</v>
      <v>5</v>
      <v>5</v>
      <v>5</v>
      <v>15</v>
    </spb>
    <spb s="2">
      <v>0</v>
      <v>Name</v>
      <v>LearnMoreOnLink</v>
    </spb>
    <spb s="3">
      <v>0</v>
      <v>0</v>
      <v>0</v>
    </spb>
    <spb s="4">
      <v>18</v>
      <v>18</v>
      <v>18</v>
    </spb>
    <spb s="5">
      <v>1</v>
      <v>2</v>
    </spb>
    <spb s="6">
      <v>https://www.bing.com</v>
      <v>https://www.bing.com/th?id=Ga%5Cbing_yt.png&amp;w=100&amp;h=40&amp;c=0&amp;pid=0.1</v>
      <v>Powered by Bing</v>
    </spb>
    <spb s="7">
      <v>2019</v>
      <v>2019</v>
      <v>square km</v>
      <v>per thousand (2018)</v>
      <v>2022</v>
      <v>2019</v>
      <v>2018</v>
      <v>per liter (2016)</v>
      <v>2019</v>
      <v>years (2018)</v>
      <v>2017</v>
      <v>per thousand (2018)</v>
      <v>2019</v>
      <v>2017</v>
      <v>2016</v>
      <v>2019</v>
      <v>2016</v>
      <v>2018</v>
      <v>kilotons per year (2016)</v>
      <v>deaths per 100,000 (2017)</v>
      <v>kWh (2014)</v>
      <v>2014</v>
      <v>2010</v>
      <v>2010</v>
      <v>2010</v>
      <v>2010</v>
      <v>2010</v>
      <v>2015</v>
      <v>2010</v>
      <v>2010</v>
      <v>2019</v>
      <v>2018</v>
      <v>2019</v>
    </spb>
    <spb s="8">
      <v>3</v>
    </spb>
    <spb s="8">
      <v>4</v>
    </spb>
    <spb s="8">
      <v>5</v>
    </spb>
    <spb s="8">
      <v>6</v>
    </spb>
    <spb s="8">
      <v>7</v>
    </spb>
    <spb s="8">
      <v>8</v>
    </spb>
    <spb s="8">
      <v>9</v>
    </spb>
    <spb s="8">
      <v>10</v>
    </spb>
    <spb s="8">
      <v>11</v>
    </spb>
    <spb s="0">
      <v xml:space="preserve">Wikipedia	travel.state.gov	</v>
      <v xml:space="preserve">CC-BY-SA		</v>
      <v xml:space="preserve">http://en.wikipedia.org/wiki/Pakistan	https://travel.state.gov/content/travel/en/international-travel/International-Travel-Country-Information-Pages/Pakistan.html	</v>
      <v xml:space="preserve">http://creativecommons.org/licenses/by-sa/3.0/		</v>
    </spb>
    <spb s="0">
      <v xml:space="preserve">Wikipedia	</v>
      <v xml:space="preserve">CC BY-SA 3.0	</v>
      <v xml:space="preserve">https://en.wikipedia.org/wiki/Pakistan	</v>
      <v xml:space="preserve">https://creativecommons.org/licenses/by-sa/3.0	</v>
    </spb>
    <spb s="0">
      <v xml:space="preserve">Wikipedia	</v>
      <v xml:space="preserve">CC-BY-SA	</v>
      <v xml:space="preserve">http://en.wikipedia.org/wiki/Pakistan	</v>
      <v xml:space="preserve">http://creativecommons.org/licenses/by-sa/3.0/	</v>
    </spb>
    <spb s="0">
      <v xml:space="preserve">Cia	</v>
      <v xml:space="preserve">	</v>
      <v xml:space="preserve">https://www.cia.gov/library/publications/the-world-factbook/geos/pk.html?Transportation	</v>
      <v xml:space="preserve">	</v>
    </spb>
    <spb s="0">
      <v xml:space="preserve">Wikipedia	Cia	travel.state.gov	</v>
      <v xml:space="preserve">CC-BY-SA			</v>
      <v xml:space="preserve">http://en.wikipedia.org/wiki/Pakistan	https://www.cia.gov/library/publications/the-world-factbook/geos/pk.html?Transportation	https://travel.state.gov/content/travel/en/international-travel/International-Travel-Country-Information-Pages/Pakistan.html	</v>
      <v xml:space="preserve">http://creativecommons.org/licenses/by-sa/3.0/			</v>
    </spb>
    <spb s="9">
      <v>0</v>
      <v>32</v>
      <v>33</v>
      <v>33</v>
      <v>3</v>
      <v>33</v>
      <v>33</v>
      <v>33</v>
      <v>34</v>
      <v>33</v>
      <v>33</v>
      <v>34</v>
      <v>33</v>
      <v>33</v>
      <v>35</v>
      <v>6</v>
      <v>36</v>
      <v>35</v>
      <v>7</v>
      <v>33</v>
      <v>35</v>
      <v>8</v>
      <v>9</v>
      <v>10</v>
      <v>35</v>
      <v>35</v>
      <v>33</v>
      <v>35</v>
      <v>11</v>
      <v>12</v>
      <v>13</v>
      <v>14</v>
      <v>35</v>
      <v>36</v>
      <v>35</v>
      <v>35</v>
      <v>35</v>
      <v>35</v>
      <v>35</v>
      <v>35</v>
      <v>35</v>
      <v>35</v>
      <v>35</v>
      <v>35</v>
      <v>15</v>
    </spb>
    <spb s="2">
      <v>1</v>
      <v>Name</v>
      <v>LearnMoreOnLink</v>
    </spb>
    <spb s="10">
      <v>2019</v>
      <v>2017</v>
      <v>square km</v>
      <v>per thousand (2018)</v>
      <v>2022</v>
      <v>2019</v>
      <v>2018</v>
      <v>per liter (2016)</v>
      <v>2019</v>
      <v>years (2018)</v>
      <v>2011</v>
      <v>per thousand (2018)</v>
      <v>2019</v>
      <v>2017</v>
      <v>2016</v>
      <v>2019</v>
      <v>2016</v>
      <v>2018</v>
      <v>kilotons per year (2016)</v>
      <v>deaths per 100,000 (2017)</v>
      <v>kWh (2014)</v>
      <v>2014</v>
      <v>2016</v>
      <v>2015</v>
      <v>2015</v>
      <v>2015</v>
      <v>2015</v>
      <v>2015</v>
      <v>2015</v>
      <v>2015</v>
      <v>2015</v>
      <v>2018</v>
      <v>2018</v>
      <v>2019</v>
    </spb>
    <spb s="0">
      <v xml:space="preserve">Wikipedia	Cia	travel.state.gov	</v>
      <v xml:space="preserve">CC-BY-SA			</v>
      <v xml:space="preserve">http://en.wikipedia.org/wiki/Nigeria	https://www.cia.gov/library/publications/the-world-factbook/geos/ni.html?Transportation	https://travel.state.gov/content/travel/en/international-travel/International-Travel-Country-Information-Pages/Nigeria.html	</v>
      <v xml:space="preserve">http://creativecommons.org/licenses/by-sa/3.0/			</v>
    </spb>
    <spb s="0">
      <v xml:space="preserve">Wikipedia	</v>
      <v xml:space="preserve">CC BY-SA 3.0	</v>
      <v xml:space="preserve">https://en.wikipedia.org/wiki/Nigeria	</v>
      <v xml:space="preserve">https://creativecommons.org/licenses/by-sa/3.0	</v>
    </spb>
    <spb s="0">
      <v xml:space="preserve">Wikipedia	</v>
      <v xml:space="preserve">CC-BY-SA	</v>
      <v xml:space="preserve">http://en.wikipedia.org/wiki/Nigeria	</v>
      <v xml:space="preserve">http://creativecommons.org/licenses/by-sa/3.0/	</v>
    </spb>
    <spb s="0">
      <v xml:space="preserve">Cia	</v>
      <v xml:space="preserve">	</v>
      <v xml:space="preserve">https://www.cia.gov/library/publications/the-world-factbook/geos/ni.html?Transportation	</v>
      <v xml:space="preserve">	</v>
    </spb>
    <spb s="9">
      <v>0</v>
      <v>40</v>
      <v>41</v>
      <v>41</v>
      <v>3</v>
      <v>41</v>
      <v>41</v>
      <v>41</v>
      <v>42</v>
      <v>41</v>
      <v>41</v>
      <v>42</v>
      <v>41</v>
      <v>41</v>
      <v>43</v>
      <v>6</v>
      <v>40</v>
      <v>43</v>
      <v>7</v>
      <v>41</v>
      <v>43</v>
      <v>8</v>
      <v>9</v>
      <v>10</v>
      <v>43</v>
      <v>43</v>
      <v>41</v>
      <v>43</v>
      <v>11</v>
      <v>12</v>
      <v>13</v>
      <v>14</v>
      <v>43</v>
      <v>40</v>
      <v>43</v>
      <v>43</v>
      <v>43</v>
      <v>43</v>
      <v>43</v>
      <v>43</v>
      <v>43</v>
      <v>43</v>
      <v>43</v>
      <v>43</v>
      <v>15</v>
    </spb>
    <spb s="10">
      <v>2019</v>
      <v>2019</v>
      <v>square km</v>
      <v>per thousand (2018)</v>
      <v>2022</v>
      <v>2019</v>
      <v>2018</v>
      <v>per liter (2016)</v>
      <v>2019</v>
      <v>years (2018)</v>
      <v>2013</v>
      <v>per thousand (2018)</v>
      <v>2019</v>
      <v>2017</v>
      <v>2016</v>
      <v>2019</v>
      <v>2016</v>
      <v>2018</v>
      <v>kilotons per year (2016)</v>
      <v>deaths per 100,000 (2017)</v>
      <v>kWh (2014)</v>
      <v>2014</v>
      <v>2019</v>
      <v>2009</v>
      <v>2009</v>
      <v>2009</v>
      <v>2009</v>
      <v>2009</v>
      <v>2015</v>
      <v>2009</v>
      <v>2009</v>
      <v>2016</v>
      <v>2011</v>
      <v>2019</v>
    </spb>
    <spb s="0">
      <v xml:space="preserve">Wikipedia	Cia	travel.state.gov	</v>
      <v xml:space="preserve">CC-BY-SA			</v>
      <v xml:space="preserve">http://en.wikipedia.org/wiki/Sri_Lanka	https://www.cia.gov/library/publications/the-world-factbook/geos/ce.html?Transportation	https://travel.state.gov/content/travel/en/international-travel/International-Travel-Country-Information-Pages/SriLanka.html	</v>
      <v xml:space="preserve">http://creativecommons.org/licenses/by-sa/3.0/			</v>
    </spb>
    <spb s="0">
      <v xml:space="preserve">Wikipedia	</v>
      <v xml:space="preserve">CC BY-SA 3.0	</v>
      <v xml:space="preserve">https://en.wikipedia.org/wiki/Sri_Lanka	</v>
      <v xml:space="preserve">https://creativecommons.org/licenses/by-sa/3.0	</v>
    </spb>
    <spb s="0">
      <v xml:space="preserve">Wikipedia	</v>
      <v xml:space="preserve">CC-BY-SA	</v>
      <v xml:space="preserve">http://en.wikipedia.org/wiki/Sri_Lanka	</v>
      <v xml:space="preserve">http://creativecommons.org/licenses/by-sa/3.0/	</v>
    </spb>
    <spb s="0">
      <v xml:space="preserve">Cia	</v>
      <v xml:space="preserve">	</v>
      <v xml:space="preserve">https://www.cia.gov/library/publications/the-world-factbook/geos/ce.html?Transportation	</v>
      <v xml:space="preserve">	</v>
    </spb>
    <spb s="11">
      <v>0</v>
      <v>46</v>
      <v>47</v>
      <v>3</v>
      <v>47</v>
      <v>47</v>
      <v>47</v>
      <v>48</v>
      <v>47</v>
      <v>47</v>
      <v>48</v>
      <v>47</v>
      <v>47</v>
      <v>49</v>
      <v>6</v>
      <v>46</v>
      <v>49</v>
      <v>7</v>
      <v>47</v>
      <v>49</v>
      <v>8</v>
      <v>9</v>
      <v>10</v>
      <v>49</v>
      <v>49</v>
      <v>47</v>
      <v>49</v>
      <v>11</v>
      <v>12</v>
      <v>13</v>
      <v>14</v>
      <v>49</v>
      <v>46</v>
      <v>49</v>
      <v>49</v>
      <v>49</v>
      <v>49</v>
      <v>49</v>
      <v>49</v>
      <v>49</v>
      <v>49</v>
      <v>49</v>
      <v>49</v>
      <v>15</v>
    </spb>
    <spb s="2">
      <v>2</v>
      <v>Name</v>
      <v>LearnMoreOnLink</v>
    </spb>
    <spb s="12">
      <v>2019</v>
      <v>2019</v>
      <v>per thousand (2018)</v>
      <v>2022</v>
      <v>2019</v>
      <v>2018</v>
      <v>per liter (2016)</v>
      <v>2019</v>
      <v>years (2018)</v>
      <v>2018</v>
      <v>per thousand (2018)</v>
      <v>2019</v>
      <v>2017</v>
      <v>2016</v>
      <v>2019</v>
      <v>2016</v>
      <v>2018</v>
      <v>kilotons per year (2016)</v>
      <v>deaths per 100,000 (2017)</v>
      <v>kWh (2014)</v>
      <v>2014</v>
      <v>2019</v>
      <v>2016</v>
      <v>2016</v>
      <v>2016</v>
      <v>2016</v>
      <v>2016</v>
      <v>2015</v>
      <v>2016</v>
      <v>2016</v>
      <v>2018</v>
      <v>2018</v>
      <v>2019</v>
    </spb>
    <spb s="0">
      <v xml:space="preserve">Wikipedia	Cia	travel.state.gov	</v>
      <v xml:space="preserve">CC-BY-SA			</v>
      <v xml:space="preserve">http://en.wikipedia.org/wiki/Indonesia	https://www.cia.gov/library/publications/the-world-factbook/geos/id.html?Transportation	https://travel.state.gov/content/travel/en/international-travel/International-Travel-Country-Information-Pages/Indonesia.html	</v>
      <v xml:space="preserve">http://creativecommons.org/licenses/by-sa/3.0/			</v>
    </spb>
    <spb s="0">
      <v xml:space="preserve">Wikipedia	</v>
      <v xml:space="preserve">CC BY-SA 3.0	</v>
      <v xml:space="preserve">https://en.wikipedia.org/wiki/Indonesia	</v>
      <v xml:space="preserve">https://creativecommons.org/licenses/by-sa/3.0	</v>
    </spb>
    <spb s="0">
      <v xml:space="preserve">Wikipedia	</v>
      <v xml:space="preserve">CC-BY-SA	</v>
      <v xml:space="preserve">http://en.wikipedia.org/wiki/Indonesia	</v>
      <v xml:space="preserve">http://creativecommons.org/licenses/by-sa/3.0/	</v>
    </spb>
    <spb s="0">
      <v xml:space="preserve">Cia	</v>
      <v xml:space="preserve">	</v>
      <v xml:space="preserve">https://www.cia.gov/library/publications/the-world-factbook/geos/id.html?Transportation	</v>
      <v xml:space="preserve">	</v>
    </spb>
    <spb s="9">
      <v>0</v>
      <v>53</v>
      <v>54</v>
      <v>54</v>
      <v>3</v>
      <v>54</v>
      <v>54</v>
      <v>54</v>
      <v>55</v>
      <v>54</v>
      <v>54</v>
      <v>55</v>
      <v>54</v>
      <v>54</v>
      <v>56</v>
      <v>6</v>
      <v>53</v>
      <v>56</v>
      <v>7</v>
      <v>54</v>
      <v>56</v>
      <v>8</v>
      <v>9</v>
      <v>10</v>
      <v>56</v>
      <v>56</v>
      <v>54</v>
      <v>56</v>
      <v>11</v>
      <v>12</v>
      <v>13</v>
      <v>14</v>
      <v>56</v>
      <v>53</v>
      <v>56</v>
      <v>56</v>
      <v>56</v>
      <v>56</v>
      <v>56</v>
      <v>56</v>
      <v>56</v>
      <v>56</v>
      <v>56</v>
      <v>56</v>
      <v>15</v>
    </spb>
    <spb s="10">
      <v>2019</v>
      <v>2019</v>
      <v>square km</v>
      <v>per thousand (2018)</v>
      <v>2022</v>
      <v>2019</v>
      <v>2018</v>
      <v>per liter (2016)</v>
      <v>2019</v>
      <v>years (2018)</v>
      <v>2018</v>
      <v>per thousand (2018)</v>
      <v>2019</v>
      <v>2017</v>
      <v>2016</v>
      <v>2019</v>
      <v>2016</v>
      <v>2018</v>
      <v>kilotons per year (2016)</v>
      <v>deaths per 100,000 (2017)</v>
      <v>kWh (2014)</v>
      <v>2014</v>
      <v>2019</v>
      <v>2018</v>
      <v>2018</v>
      <v>2018</v>
      <v>2018</v>
      <v>2018</v>
      <v>2015</v>
      <v>2018</v>
      <v>2018</v>
      <v>2018</v>
      <v>2018</v>
      <v>2019</v>
    </spb>
    <spb s="0">
      <v xml:space="preserve">Wikipedia	Cia	travel.state.gov	</v>
      <v xml:space="preserve">CC-BY-SA			</v>
      <v xml:space="preserve">http://en.wikipedia.org/wiki/Peru	https://www.cia.gov/library/publications/the-world-factbook/geos/pe.html?Transportation	https://travel.state.gov/content/travel/en/international-travel/International-Travel-Country-Information-Pages/Peru.html	</v>
      <v xml:space="preserve">http://creativecommons.org/licenses/by-sa/3.0/			</v>
    </spb>
    <spb s="0">
      <v xml:space="preserve">Wikipedia	</v>
      <v xml:space="preserve">CC BY-SA 3.0	</v>
      <v xml:space="preserve">https://en.wikipedia.org/wiki/Peru	</v>
      <v xml:space="preserve">https://creativecommons.org/licenses/by-sa/3.0	</v>
    </spb>
    <spb s="0">
      <v xml:space="preserve">Wikipedia	</v>
      <v xml:space="preserve">CC-BY-SA	</v>
      <v xml:space="preserve">http://en.wikipedia.org/wiki/Peru	</v>
      <v xml:space="preserve">http://creativecommons.org/licenses/by-sa/3.0/	</v>
    </spb>
    <spb s="0">
      <v xml:space="preserve">Cia	</v>
      <v xml:space="preserve">	</v>
      <v xml:space="preserve">https://www.cia.gov/library/publications/the-world-factbook/geos/pe.html?Transportation	</v>
      <v xml:space="preserve">	</v>
    </spb>
    <spb s="9">
      <v>0</v>
      <v>59</v>
      <v>60</v>
      <v>60</v>
      <v>3</v>
      <v>60</v>
      <v>60</v>
      <v>60</v>
      <v>61</v>
      <v>60</v>
      <v>60</v>
      <v>61</v>
      <v>60</v>
      <v>60</v>
      <v>62</v>
      <v>6</v>
      <v>59</v>
      <v>62</v>
      <v>7</v>
      <v>60</v>
      <v>62</v>
      <v>8</v>
      <v>9</v>
      <v>10</v>
      <v>62</v>
      <v>62</v>
      <v>60</v>
      <v>62</v>
      <v>11</v>
      <v>12</v>
      <v>13</v>
      <v>14</v>
      <v>62</v>
      <v>59</v>
      <v>62</v>
      <v>62</v>
      <v>62</v>
      <v>62</v>
      <v>62</v>
      <v>62</v>
      <v>62</v>
      <v>62</v>
      <v>62</v>
      <v>62</v>
      <v>15</v>
    </spb>
    <spb s="10">
      <v>2019</v>
      <v>2019</v>
      <v>square km</v>
      <v>per thousand (2018)</v>
      <v>2022</v>
      <v>2019</v>
      <v>2018</v>
      <v>per liter (2016)</v>
      <v>2019</v>
      <v>years (2018)</v>
      <v>2018</v>
      <v>per thousand (2018)</v>
      <v>2019</v>
      <v>2017</v>
      <v>2016</v>
      <v>2019</v>
      <v>2016</v>
      <v>2016</v>
      <v>kilotons per year (2016)</v>
      <v>deaths per 100,000 (2017)</v>
      <v>kWh (2014)</v>
      <v>2014</v>
      <v>2019</v>
      <v>2018</v>
      <v>2018</v>
      <v>2018</v>
      <v>2018</v>
      <v>2018</v>
      <v>2015</v>
      <v>2018</v>
      <v>2018</v>
      <v>2018</v>
      <v>2017</v>
      <v>2019</v>
    </spb>
    <spb s="0">
      <v xml:space="preserve">Wikipedia	Cia	travel.state.gov	</v>
      <v xml:space="preserve">CC-BY-SA			</v>
      <v xml:space="preserve">http://en.wikipedia.org/wiki/Lebanon	https://www.cia.gov/library/publications/the-world-factbook/geos/le.html?Transportation	https://travel.state.gov/content/travel/en/international-travel/International-Travel-Country-Information-Pages/Lebanon.html	</v>
      <v xml:space="preserve">http://creativecommons.org/licenses/by-sa/3.0/			</v>
    </spb>
    <spb s="0">
      <v xml:space="preserve">Wikipedia	</v>
      <v xml:space="preserve">CC BY-SA 3.0	</v>
      <v xml:space="preserve">https://en.wikipedia.org/wiki/Lebanon	</v>
      <v xml:space="preserve">https://creativecommons.org/licenses/by-sa/3.0	</v>
    </spb>
    <spb s="0">
      <v xml:space="preserve">Wikipedia	</v>
      <v xml:space="preserve">CC-BY-SA	</v>
      <v xml:space="preserve">http://en.wikipedia.org/wiki/Lebanon	</v>
      <v xml:space="preserve">http://creativecommons.org/licenses/by-sa/3.0/	</v>
    </spb>
    <spb s="0">
      <v xml:space="preserve">Cia	</v>
      <v xml:space="preserve">	</v>
      <v xml:space="preserve">https://www.cia.gov/library/publications/the-world-factbook/geos/le.html?Transportation	</v>
      <v xml:space="preserve">	</v>
    </spb>
    <spb s="9">
      <v>0</v>
      <v>65</v>
      <v>66</v>
      <v>66</v>
      <v>3</v>
      <v>66</v>
      <v>66</v>
      <v>66</v>
      <v>67</v>
      <v>66</v>
      <v>66</v>
      <v>67</v>
      <v>66</v>
      <v>66</v>
      <v>68</v>
      <v>6</v>
      <v>65</v>
      <v>68</v>
      <v>7</v>
      <v>66</v>
      <v>68</v>
      <v>8</v>
      <v>9</v>
      <v>10</v>
      <v>68</v>
      <v>68</v>
      <v>66</v>
      <v>68</v>
      <v>11</v>
      <v>12</v>
      <v>13</v>
      <v>14</v>
      <v>68</v>
      <v>65</v>
      <v>68</v>
      <v>68</v>
      <v>68</v>
      <v>68</v>
      <v>68</v>
      <v>68</v>
      <v>68</v>
      <v>68</v>
      <v>68</v>
      <v>68</v>
      <v>15</v>
    </spb>
    <spb s="10">
      <v>2019</v>
      <v>2019</v>
      <v>square km</v>
      <v>per thousand (2018)</v>
      <v>2022</v>
      <v>2019</v>
      <v>2018</v>
      <v>per liter (2016)</v>
      <v>2019</v>
      <v>years (2018)</v>
      <v>2018</v>
      <v>per thousand (2018)</v>
      <v>2019</v>
      <v>2017</v>
      <v>2016</v>
      <v>2019</v>
      <v>2016</v>
      <v>2018</v>
      <v>kilotons per year (2016)</v>
      <v>deaths per 100,000 (2017)</v>
      <v>kWh (2014)</v>
      <v>2014</v>
      <v>2019</v>
      <v>2011</v>
      <v>2011</v>
      <v>2011</v>
      <v>2011</v>
      <v>2011</v>
      <v>2015</v>
      <v>2011</v>
      <v>2011</v>
      <v>1985</v>
      <v>1985</v>
      <v>2019</v>
    </spb>
    <spb s="0">
      <v xml:space="preserve">Wikipedia	Cia	travel.state.gov	</v>
      <v xml:space="preserve">CC-BY-SA			</v>
      <v xml:space="preserve">http://en.wikipedia.org/wiki/Bangladesh	https://www.cia.gov/library/publications/the-world-factbook/geos/bg.html?Transportation	https://travel.state.gov/content/travel/en/international-travel/International-Travel-Country-Information-Pages/Bangladesh.html	</v>
      <v xml:space="preserve">http://creativecommons.org/licenses/by-sa/3.0/			</v>
    </spb>
    <spb s="0">
      <v xml:space="preserve">Wikipedia	</v>
      <v xml:space="preserve">CC BY-SA 3.0	</v>
      <v xml:space="preserve">https://en.wikipedia.org/wiki/Bangladesh	</v>
      <v xml:space="preserve">https://creativecommons.org/licenses/by-sa/3.0	</v>
    </spb>
    <spb s="0">
      <v xml:space="preserve">Wikipedia	</v>
      <v xml:space="preserve">CC-BY-SA	</v>
      <v xml:space="preserve">http://en.wikipedia.org/wiki/Bangladesh	</v>
      <v xml:space="preserve">http://creativecommons.org/licenses/by-sa/3.0/	</v>
    </spb>
    <spb s="0">
      <v xml:space="preserve">Cia	</v>
      <v xml:space="preserve">	</v>
      <v xml:space="preserve">https://www.cia.gov/library/publications/the-world-factbook/geos/bg.html?Transportation	</v>
      <v xml:space="preserve">	</v>
    </spb>
    <spb s="9">
      <v>0</v>
      <v>71</v>
      <v>72</v>
      <v>72</v>
      <v>3</v>
      <v>72</v>
      <v>72</v>
      <v>72</v>
      <v>73</v>
      <v>72</v>
      <v>72</v>
      <v>73</v>
      <v>72</v>
      <v>72</v>
      <v>74</v>
      <v>6</v>
      <v>71</v>
      <v>74</v>
      <v>7</v>
      <v>72</v>
      <v>74</v>
      <v>8</v>
      <v>9</v>
      <v>10</v>
      <v>74</v>
      <v>74</v>
      <v>72</v>
      <v>74</v>
      <v>11</v>
      <v>12</v>
      <v>13</v>
      <v>14</v>
      <v>74</v>
      <v>71</v>
      <v>74</v>
      <v>74</v>
      <v>74</v>
      <v>74</v>
      <v>74</v>
      <v>74</v>
      <v>74</v>
      <v>74</v>
      <v>74</v>
      <v>74</v>
      <v>15</v>
    </spb>
    <spb s="10">
      <v>2019</v>
      <v>2019</v>
      <v>square km</v>
      <v>per thousand (2018)</v>
      <v>2022</v>
      <v>2019</v>
      <v>2018</v>
      <v>per liter (2016)</v>
      <v>2019</v>
      <v>years (2018)</v>
      <v>2016</v>
      <v>per thousand (2018)</v>
      <v>2019</v>
      <v>2017</v>
      <v>2016</v>
      <v>2019</v>
      <v>2016</v>
      <v>2018</v>
      <v>kilotons per year (2016)</v>
      <v>deaths per 100,000 (2017)</v>
      <v>kWh (2014)</v>
      <v>2014</v>
      <v>2018</v>
      <v>2016</v>
      <v>2016</v>
      <v>2016</v>
      <v>2016</v>
      <v>2016</v>
      <v>2015</v>
      <v>2016</v>
      <v>2016</v>
      <v>2018</v>
      <v>2018</v>
      <v>2019</v>
    </spb>
    <spb s="0">
      <v xml:space="preserve">Wikipedia	Wikipedia	Cia	travel.state.gov	</v>
      <v xml:space="preserve">CC-BY-SA	CC-BY-SA			</v>
      <v xml:space="preserve">http://en.wikipedia.org/wiki/Myanmar	http://en.wikipedia.org/wiki/Burma	https://www.cia.gov/library/publications/the-world-factbook/geos/bm.html?Transportation	https://travel.state.gov/content/travel/en/international-travel/International-Travel-Country-Information-Pages/Burma.html	</v>
      <v xml:space="preserve">http://creativecommons.org/licenses/by-sa/3.0/	http://creativecommons.org/licenses/by-sa/3.0/			</v>
    </spb>
    <spb s="0">
      <v xml:space="preserve">Wikipedia	</v>
      <v xml:space="preserve">CC BY-SA 3.0	</v>
      <v xml:space="preserve">https://en.wikipedia.org/wiki/Myanmar	</v>
      <v xml:space="preserve">https://creativecommons.org/licenses/by-sa/3.0	</v>
    </spb>
    <spb s="0">
      <v xml:space="preserve">Wikipedia	</v>
      <v xml:space="preserve">CC-BY-SA	</v>
      <v xml:space="preserve">http://en.wikipedia.org/wiki/Myanmar	</v>
      <v xml:space="preserve">http://creativecommons.org/licenses/by-sa/3.0/	</v>
    </spb>
    <spb s="0">
      <v xml:space="preserve">Cia	</v>
      <v xml:space="preserve">	</v>
      <v xml:space="preserve">https://www.cia.gov/library/publications/the-world-factbook/geos/bm.html?Transportation	</v>
      <v xml:space="preserve">	</v>
    </spb>
    <spb s="1">
      <v>0</v>
      <v>77</v>
      <v>78</v>
      <v>78</v>
      <v>3</v>
      <v>78</v>
      <v>78</v>
      <v>78</v>
      <v>79</v>
      <v>78</v>
      <v>78</v>
      <v>79</v>
      <v>78</v>
      <v>78</v>
      <v>80</v>
      <v>6</v>
      <v>77</v>
      <v>80</v>
      <v>7</v>
      <v>78</v>
      <v>80</v>
      <v>8</v>
      <v>9</v>
      <v>10</v>
      <v>80</v>
      <v>80</v>
      <v>78</v>
      <v>80</v>
      <v>11</v>
      <v>12</v>
      <v>13</v>
      <v>14</v>
      <v>80</v>
      <v>80</v>
      <v>80</v>
      <v>80</v>
      <v>80</v>
      <v>80</v>
      <v>80</v>
      <v>80</v>
      <v>80</v>
      <v>80</v>
      <v>80</v>
      <v>15</v>
    </spb>
    <spb s="2">
      <v>3</v>
      <v>Name</v>
      <v>LearnMoreOnLink</v>
    </spb>
    <spb s="7">
      <v>2019</v>
      <v>2019</v>
      <v>square km</v>
      <v>per thousand (2018)</v>
      <v>2022</v>
      <v>2019</v>
      <v>2018</v>
      <v>per liter (2016)</v>
      <v>2019</v>
      <v>years (2018)</v>
      <v>2019</v>
      <v>per thousand (2018)</v>
      <v>2019</v>
      <v>2017</v>
      <v>2016</v>
      <v>2019</v>
      <v>2016</v>
      <v>2018</v>
      <v>kilotons per year (2016)</v>
      <v>deaths per 100,000 (2017)</v>
      <v>kWh (2014)</v>
      <v>2014</v>
      <v>2017</v>
      <v>2017</v>
      <v>2017</v>
      <v>2017</v>
      <v>2017</v>
      <v>2015</v>
      <v>2017</v>
      <v>2017</v>
      <v>2018</v>
      <v>2018</v>
      <v>2019</v>
    </spb>
    <spb s="0">
      <v xml:space="preserve">Wikipedia	Cia	travel.state.gov	</v>
      <v xml:space="preserve">CC-BY-SA			</v>
      <v xml:space="preserve">http://en.wikipedia.org/wiki/Liberia	https://www.cia.gov/library/publications/the-world-factbook/geos/li.html?Transportation	https://travel.state.gov/content/travel/en/international-travel/International-Travel-Country-Information-Pages/Liberia.html	</v>
      <v xml:space="preserve">http://creativecommons.org/licenses/by-sa/3.0/			</v>
    </spb>
    <spb s="0">
      <v xml:space="preserve">Wikipedia	</v>
      <v xml:space="preserve">CC BY-SA 3.0	</v>
      <v xml:space="preserve">https://en.wikipedia.org/wiki/Liberia	</v>
      <v xml:space="preserve">https://creativecommons.org/licenses/by-sa/3.0	</v>
    </spb>
    <spb s="0">
      <v xml:space="preserve">Wikipedia	</v>
      <v xml:space="preserve">CC-BY-SA	</v>
      <v xml:space="preserve">http://en.wikipedia.org/wiki/Liberia	</v>
      <v xml:space="preserve">http://creativecommons.org/licenses/by-sa/3.0/	</v>
    </spb>
    <spb s="0">
      <v xml:space="preserve">Cia	</v>
      <v xml:space="preserve">	</v>
      <v xml:space="preserve">https://www.cia.gov/library/publications/the-world-factbook/geos/li.html?Transportation	</v>
      <v xml:space="preserve">	</v>
    </spb>
    <spb s="13">
      <v>0</v>
      <v>84</v>
      <v>85</v>
      <v>85</v>
      <v>3</v>
      <v>85</v>
      <v>85</v>
      <v>85</v>
      <v>86</v>
      <v>85</v>
      <v>85</v>
      <v>86</v>
      <v>85</v>
      <v>85</v>
      <v>87</v>
      <v>6</v>
      <v>84</v>
      <v>87</v>
      <v>7</v>
      <v>85</v>
      <v>87</v>
      <v>8</v>
      <v>9</v>
      <v>10</v>
      <v>87</v>
      <v>87</v>
      <v>85</v>
      <v>87</v>
      <v>11</v>
      <v>12</v>
      <v>13</v>
      <v>87</v>
      <v>87</v>
      <v>87</v>
      <v>87</v>
      <v>87</v>
      <v>87</v>
      <v>87</v>
      <v>87</v>
      <v>87</v>
      <v>87</v>
      <v>15</v>
    </spb>
    <spb s="2">
      <v>4</v>
      <v>Name</v>
      <v>LearnMoreOnLink</v>
    </spb>
    <spb s="14">
      <v>2018</v>
      <v>2019</v>
      <v>square km</v>
      <v>per thousand (2018)</v>
      <v>2022</v>
      <v>2018</v>
      <v>2018</v>
      <v>per liter (2016)</v>
      <v>2019</v>
      <v>years (2018)</v>
      <v>2013</v>
      <v>per thousand (2018)</v>
      <v>2019</v>
      <v>2017</v>
      <v>2016</v>
      <v>2019</v>
      <v>2016</v>
      <v>2015</v>
      <v>kilotons per year (2016)</v>
      <v>deaths per 100,000 (2017)</v>
      <v>2016</v>
      <v>2016</v>
      <v>2016</v>
      <v>2016</v>
      <v>2016</v>
      <v>2015</v>
      <v>2016</v>
      <v>2016</v>
      <v>2017</v>
      <v>2012</v>
      <v>2019</v>
    </spb>
    <spb s="0">
      <v xml:space="preserve">Wikipedia	</v>
      <v xml:space="preserve">CC-BY-SA	</v>
      <v xml:space="preserve">http://en.wikipedia.org/wiki/Kosovo	</v>
      <v xml:space="preserve">http://creativecommons.org/licenses/by-sa/3.0/	</v>
    </spb>
    <spb s="0">
      <v xml:space="preserve">Wikipedia	</v>
      <v xml:space="preserve">CC BY-SA 3.0	</v>
      <v xml:space="preserve">https://en.wikipedia.org/wiki/Kosovo	</v>
      <v xml:space="preserve">https://creativecommons.org/licenses/by-sa/3.0	</v>
    </spb>
    <spb s="15">
      <v>91</v>
      <v>92</v>
      <v>92</v>
      <v>92</v>
      <v>92</v>
      <v>92</v>
      <v>92</v>
      <v>92</v>
      <v>91</v>
      <v>92</v>
      <v>92</v>
      <v>92</v>
      <v>92</v>
    </spb>
    <spb s="2">
      <v>5</v>
      <v>Name</v>
      <v>LearnMoreOnLink</v>
    </spb>
    <spb s="16">
      <v>2013</v>
      <v>square km</v>
      <v>2024</v>
    </spb>
    <spb s="0">
      <v xml:space="preserve">Wikipedia	Cia	travel.state.gov	</v>
      <v xml:space="preserve">CC-BY-SA			</v>
      <v xml:space="preserve">http://en.wikipedia.org/wiki/Guatemala	https://www.cia.gov/library/publications/the-world-factbook/geos/gt.html?Transportation	https://travel.state.gov/content/travel/en/international-travel/International-Travel-Country-Information-Pages/Guatemala.html	</v>
      <v xml:space="preserve">http://creativecommons.org/licenses/by-sa/3.0/			</v>
    </spb>
    <spb s="0">
      <v xml:space="preserve">Wikipedia	</v>
      <v xml:space="preserve">CC BY-SA 3.0	</v>
      <v xml:space="preserve">https://en.wikipedia.org/wiki/Guatemala	</v>
      <v xml:space="preserve">https://creativecommons.org/licenses/by-sa/3.0	</v>
    </spb>
    <spb s="0">
      <v xml:space="preserve">Wikipedia	</v>
      <v xml:space="preserve">CC-BY-SA	</v>
      <v xml:space="preserve">http://en.wikipedia.org/wiki/Guatemala	</v>
      <v xml:space="preserve">http://creativecommons.org/licenses/by-sa/3.0/	</v>
    </spb>
    <spb s="0">
      <v xml:space="preserve">Cia	</v>
      <v xml:space="preserve">	</v>
      <v xml:space="preserve">https://www.cia.gov/library/publications/the-world-factbook/geos/gt.html?Transportation	</v>
      <v xml:space="preserve">	</v>
    </spb>
    <spb s="1">
      <v>0</v>
      <v>96</v>
      <v>97</v>
      <v>97</v>
      <v>3</v>
      <v>97</v>
      <v>97</v>
      <v>97</v>
      <v>98</v>
      <v>97</v>
      <v>97</v>
      <v>98</v>
      <v>97</v>
      <v>97</v>
      <v>99</v>
      <v>6</v>
      <v>96</v>
      <v>99</v>
      <v>7</v>
      <v>97</v>
      <v>99</v>
      <v>8</v>
      <v>9</v>
      <v>10</v>
      <v>99</v>
      <v>99</v>
      <v>97</v>
      <v>99</v>
      <v>11</v>
      <v>12</v>
      <v>13</v>
      <v>14</v>
      <v>99</v>
      <v>99</v>
      <v>99</v>
      <v>99</v>
      <v>99</v>
      <v>99</v>
      <v>99</v>
      <v>99</v>
      <v>99</v>
      <v>99</v>
      <v>99</v>
      <v>15</v>
    </spb>
    <spb s="7">
      <v>2019</v>
      <v>2019</v>
      <v>square km</v>
      <v>per thousand (2018)</v>
      <v>2022</v>
      <v>2019</v>
      <v>2018</v>
      <v>per liter (2016)</v>
      <v>2019</v>
      <v>years (2018)</v>
      <v>2018</v>
      <v>per thousand (2018)</v>
      <v>2019</v>
      <v>2017</v>
      <v>2016</v>
      <v>2019</v>
      <v>2016</v>
      <v>2018</v>
      <v>kilotons per year (2016)</v>
      <v>deaths per 100,000 (2017)</v>
      <v>kWh (2014)</v>
      <v>2014</v>
      <v>2014</v>
      <v>2014</v>
      <v>2014</v>
      <v>2014</v>
      <v>2014</v>
      <v>2015</v>
      <v>2014</v>
      <v>2014</v>
      <v>2018</v>
      <v>2015</v>
      <v>2019</v>
    </spb>
    <spb s="0">
      <v xml:space="preserve">Wikipedia	Wikipedia	travel.state.gov	</v>
      <v xml:space="preserve">CC-BY-SA	CC-BY-SA		</v>
      <v xml:space="preserve">http://en.wikipedia.org/wiki/Republic_of_Macedonia	http://en.wikipedia.org/wiki/North_Macedonia	https://travel.state.gov/content/travel/en/international-travel/International-Travel-Country-Information-Pages/Macedonia.html	</v>
      <v xml:space="preserve">http://creativecommons.org/licenses/by-sa/3.0/	http://creativecommons.org/licenses/by-sa/3.0/		</v>
    </spb>
    <spb s="0">
      <v xml:space="preserve">Wikipedia	</v>
      <v xml:space="preserve">CC BY-SA 3.0	</v>
      <v xml:space="preserve">https://en.wikipedia.org/wiki/North_Macedonia	</v>
      <v xml:space="preserve">https://creativecommons.org/licenses/by-sa/3.0	</v>
    </spb>
    <spb s="0">
      <v xml:space="preserve">Cia	</v>
      <v xml:space="preserve">	</v>
      <v xml:space="preserve">https://www.cia.gov/library/publications/the-world-factbook/geos/mk.html?Transportation	</v>
      <v xml:space="preserve">	</v>
    </spb>
    <spb s="17">
      <v>102</v>
      <v>103</v>
      <v>103</v>
      <v>103</v>
      <v>103</v>
      <v>103</v>
      <v>103</v>
      <v>103</v>
      <v>103</v>
      <v>103</v>
      <v>103</v>
      <v>103</v>
      <v>104</v>
    </spb>
    <spb s="2">
      <v>6</v>
      <v>Name</v>
      <v>LearnMoreOnLink</v>
    </spb>
    <spb s="18">
      <v>2013</v>
      <v>square km</v>
      <v>2022</v>
      <v>2015</v>
    </spb>
    <spb s="0">
      <v xml:space="preserve">Wikipedia	Cia	travel.state.gov	</v>
      <v xml:space="preserve">CC-BY-SA			</v>
      <v xml:space="preserve">http://en.wikipedia.org/wiki/Georgia_(country)	https://www.cia.gov/library/publications/the-world-factbook/geos/gg.html?Transportation	https://travel.state.gov/content/travel/en/international-travel/International-Travel-Country-Information-Pages/Georgia.html	</v>
      <v xml:space="preserve">http://creativecommons.org/licenses/by-sa/3.0/			</v>
    </spb>
    <spb s="0">
      <v xml:space="preserve">Wikipedia	</v>
      <v xml:space="preserve">CC BY-SA 3.0	</v>
      <v xml:space="preserve">https://en.wikipedia.org/wiki/Georgia_(country)	</v>
      <v xml:space="preserve">https://creativecommons.org/licenses/by-sa/3.0	</v>
    </spb>
    <spb s="0">
      <v xml:space="preserve">Wikipedia	</v>
      <v xml:space="preserve">CC-BY-SA	</v>
      <v xml:space="preserve">http://en.wikipedia.org/wiki/Georgia_(country)	</v>
      <v xml:space="preserve">http://creativecommons.org/licenses/by-sa/3.0/	</v>
    </spb>
    <spb s="0">
      <v xml:space="preserve">Cia	</v>
      <v xml:space="preserve">	</v>
      <v xml:space="preserve">https://www.cia.gov/library/publications/the-world-factbook/geos/gg.html?Transportation	</v>
      <v xml:space="preserve">	</v>
    </spb>
    <spb s="1">
      <v>0</v>
      <v>108</v>
      <v>109</v>
      <v>109</v>
      <v>3</v>
      <v>109</v>
      <v>109</v>
      <v>109</v>
      <v>110</v>
      <v>109</v>
      <v>109</v>
      <v>110</v>
      <v>109</v>
      <v>109</v>
      <v>111</v>
      <v>6</v>
      <v>108</v>
      <v>111</v>
      <v>7</v>
      <v>109</v>
      <v>111</v>
      <v>8</v>
      <v>9</v>
      <v>10</v>
      <v>111</v>
      <v>111</v>
      <v>109</v>
      <v>111</v>
      <v>11</v>
      <v>12</v>
      <v>13</v>
      <v>14</v>
      <v>111</v>
      <v>111</v>
      <v>111</v>
      <v>111</v>
      <v>111</v>
      <v>111</v>
      <v>111</v>
      <v>111</v>
      <v>111</v>
      <v>111</v>
      <v>111</v>
      <v>15</v>
    </spb>
    <spb s="7">
      <v>2019</v>
      <v>2019</v>
      <v>square km</v>
      <v>per thousand (2018)</v>
      <v>2022</v>
      <v>2019</v>
      <v>2018</v>
      <v>per liter (2016)</v>
      <v>2019</v>
      <v>years (2018)</v>
      <v>2018</v>
      <v>per thousand (2018)</v>
      <v>2019</v>
      <v>2017</v>
      <v>2016</v>
      <v>2019</v>
      <v>2016</v>
      <v>2018</v>
      <v>kilotons per year (2016)</v>
      <v>deaths per 100,000 (2017)</v>
      <v>kWh (2014)</v>
      <v>2014</v>
      <v>2018</v>
      <v>2018</v>
      <v>2018</v>
      <v>2018</v>
      <v>2018</v>
      <v>2015</v>
      <v>2018</v>
      <v>2018</v>
      <v>2018</v>
      <v>2019</v>
      <v>2019</v>
    </spb>
    <spb s="0">
      <v xml:space="preserve">Wikipedia	Cia	travel.state.gov	</v>
      <v xml:space="preserve">CC-BY-SA			</v>
      <v xml:space="preserve">http://en.wikipedia.org/wiki/Mozambique	https://www.cia.gov/library/publications/the-world-factbook/geos/mz.html?Transportation	https://travel.state.gov/content/travel/en/international-travel/International-Travel-Country-Information-Pages/Mozambique.html	</v>
      <v xml:space="preserve">http://creativecommons.org/licenses/by-sa/3.0/			</v>
    </spb>
    <spb s="0">
      <v xml:space="preserve">Wikipedia	</v>
      <v xml:space="preserve">CC BY-SA 3.0	</v>
      <v xml:space="preserve">https://en.wikipedia.org/wiki/Mozambique	</v>
      <v xml:space="preserve">https://creativecommons.org/licenses/by-sa/3.0	</v>
    </spb>
    <spb s="0">
      <v xml:space="preserve">Wikipedia	</v>
      <v xml:space="preserve">CC-BY-SA	</v>
      <v xml:space="preserve">http://en.wikipedia.org/wiki/Mozambique	</v>
      <v xml:space="preserve">http://creativecommons.org/licenses/by-sa/3.0/	</v>
    </spb>
    <spb s="0">
      <v xml:space="preserve">Cia	</v>
      <v xml:space="preserve">	</v>
      <v xml:space="preserve">https://www.cia.gov/library/publications/the-world-factbook/geos/mz.html?Transportation	</v>
      <v xml:space="preserve">	</v>
    </spb>
    <spb s="1">
      <v>0</v>
      <v>114</v>
      <v>115</v>
      <v>115</v>
      <v>3</v>
      <v>115</v>
      <v>115</v>
      <v>115</v>
      <v>116</v>
      <v>115</v>
      <v>115</v>
      <v>116</v>
      <v>115</v>
      <v>115</v>
      <v>117</v>
      <v>6</v>
      <v>114</v>
      <v>117</v>
      <v>7</v>
      <v>115</v>
      <v>117</v>
      <v>8</v>
      <v>9</v>
      <v>10</v>
      <v>117</v>
      <v>117</v>
      <v>115</v>
      <v>117</v>
      <v>11</v>
      <v>12</v>
      <v>13</v>
      <v>14</v>
      <v>117</v>
      <v>117</v>
      <v>117</v>
      <v>117</v>
      <v>117</v>
      <v>117</v>
      <v>117</v>
      <v>117</v>
      <v>117</v>
      <v>117</v>
      <v>117</v>
      <v>15</v>
    </spb>
    <spb s="7">
      <v>2019</v>
      <v>2019</v>
      <v>square km</v>
      <v>per thousand (2018)</v>
      <v>2022</v>
      <v>2019</v>
      <v>2018</v>
      <v>per liter (2016)</v>
      <v>2019</v>
      <v>years (2018)</v>
      <v>2018</v>
      <v>per thousand (2018)</v>
      <v>2019</v>
      <v>2017</v>
      <v>2016</v>
      <v>2019</v>
      <v>2016</v>
      <v>2018</v>
      <v>kilotons per year (2016)</v>
      <v>deaths per 100,000 (2017)</v>
      <v>kWh (2014)</v>
      <v>2014</v>
      <v>2014</v>
      <v>2014</v>
      <v>2014</v>
      <v>2014</v>
      <v>2014</v>
      <v>2015</v>
      <v>2014</v>
      <v>2014</v>
      <v>2018</v>
      <v>2018</v>
      <v>2019</v>
    </spb>
    <spb s="0">
      <v xml:space="preserve">Wikipedia	Cia	travel.state.gov	</v>
      <v xml:space="preserve">CC-BY-SA			</v>
      <v xml:space="preserve">http://en.wikipedia.org/wiki/Uganda	https://www.cia.gov/library/publications/the-world-factbook/geos/ug.html?Transportation	https://travel.state.gov/content/travel/en/international-travel/International-Travel-Country-Information-Pages/Uganda.html	</v>
      <v xml:space="preserve">http://creativecommons.org/licenses/by-sa/3.0/			</v>
    </spb>
    <spb s="0">
      <v xml:space="preserve">Wikipedia	</v>
      <v xml:space="preserve">CC BY-SA 3.0	</v>
      <v xml:space="preserve">https://en.wikipedia.org/wiki/Uganda	</v>
      <v xml:space="preserve">https://creativecommons.org/licenses/by-sa/3.0	</v>
    </spb>
    <spb s="0">
      <v xml:space="preserve">Wikipedia	</v>
      <v xml:space="preserve">CC-BY-SA	</v>
      <v xml:space="preserve">http://en.wikipedia.org/wiki/Uganda	</v>
      <v xml:space="preserve">http://creativecommons.org/licenses/by-sa/3.0/	</v>
    </spb>
    <spb s="0">
      <v xml:space="preserve">Cia	</v>
      <v xml:space="preserve">	</v>
      <v xml:space="preserve">https://www.cia.gov/library/publications/the-world-factbook/geos/ug.html?Transportation	</v>
      <v xml:space="preserve">	</v>
    </spb>
    <spb s="13">
      <v>0</v>
      <v>120</v>
      <v>121</v>
      <v>121</v>
      <v>3</v>
      <v>121</v>
      <v>121</v>
      <v>121</v>
      <v>122</v>
      <v>121</v>
      <v>121</v>
      <v>122</v>
      <v>121</v>
      <v>121</v>
      <v>123</v>
      <v>6</v>
      <v>120</v>
      <v>123</v>
      <v>7</v>
      <v>121</v>
      <v>123</v>
      <v>8</v>
      <v>9</v>
      <v>10</v>
      <v>123</v>
      <v>123</v>
      <v>121</v>
      <v>123</v>
      <v>11</v>
      <v>12</v>
      <v>13</v>
      <v>123</v>
      <v>123</v>
      <v>123</v>
      <v>123</v>
      <v>123</v>
      <v>123</v>
      <v>123</v>
      <v>123</v>
      <v>123</v>
      <v>123</v>
      <v>15</v>
    </spb>
    <spb s="14">
      <v>2019</v>
      <v>2019</v>
      <v>square km</v>
      <v>per thousand (2018)</v>
      <v>2022</v>
      <v>2019</v>
      <v>2018</v>
      <v>per liter (2016)</v>
      <v>2019</v>
      <v>years (2018)</v>
      <v>2018</v>
      <v>per thousand (2018)</v>
      <v>2019</v>
      <v>2017</v>
      <v>2016</v>
      <v>2019</v>
      <v>2016</v>
      <v>2017</v>
      <v>kilotons per year (2016)</v>
      <v>deaths per 100,000 (2017)</v>
      <v>2016</v>
      <v>2016</v>
      <v>2016</v>
      <v>2016</v>
      <v>2016</v>
      <v>2015</v>
      <v>2016</v>
      <v>2016</v>
      <v>2017</v>
      <v>2014</v>
      <v>2019</v>
    </spb>
    <spb s="0">
      <v xml:space="preserve">Wikipedia	Cia	travel.state.gov	</v>
      <v xml:space="preserve">CC-BY-SA			</v>
      <v xml:space="preserve">http://en.wikipedia.org/wiki/Rwanda	https://www.cia.gov/library/publications/the-world-factbook/geos/rw.html?Transportation	https://travel.state.gov/content/travel/en/international-travel/International-Travel-Country-Information-Pages/Rwanda.html	</v>
      <v xml:space="preserve">http://creativecommons.org/licenses/by-sa/3.0/			</v>
    </spb>
    <spb s="0">
      <v xml:space="preserve">Wikipedia	</v>
      <v xml:space="preserve">CC BY-SA 3.0	</v>
      <v xml:space="preserve">https://en.wikipedia.org/wiki/Rwanda	</v>
      <v xml:space="preserve">https://creativecommons.org/licenses/by-sa/3.0	</v>
    </spb>
    <spb s="0">
      <v xml:space="preserve">Wikipedia	</v>
      <v xml:space="preserve">CC-BY-SA	</v>
      <v xml:space="preserve">http://en.wikipedia.org/wiki/Rwanda	</v>
      <v xml:space="preserve">http://creativecommons.org/licenses/by-sa/3.0/	</v>
    </spb>
    <spb s="0">
      <v xml:space="preserve">Cia	</v>
      <v xml:space="preserve">	</v>
      <v xml:space="preserve">https://www.cia.gov/library/publications/the-world-factbook/geos/rw.html?Transportation	</v>
      <v xml:space="preserve">	</v>
    </spb>
    <spb s="19">
      <v>0</v>
      <v>126</v>
      <v>127</v>
      <v>127</v>
      <v>3</v>
      <v>127</v>
      <v>127</v>
      <v>127</v>
      <v>128</v>
      <v>127</v>
      <v>127</v>
      <v>127</v>
      <v>127</v>
      <v>129</v>
      <v>6</v>
      <v>126</v>
      <v>129</v>
      <v>7</v>
      <v>127</v>
      <v>129</v>
      <v>8</v>
      <v>9</v>
      <v>10</v>
      <v>129</v>
      <v>129</v>
      <v>127</v>
      <v>129</v>
      <v>11</v>
      <v>12</v>
      <v>13</v>
      <v>126</v>
      <v>129</v>
      <v>129</v>
      <v>129</v>
      <v>129</v>
      <v>129</v>
      <v>129</v>
      <v>129</v>
      <v>129</v>
      <v>129</v>
      <v>129</v>
      <v>15</v>
    </spb>
    <spb s="2">
      <v>7</v>
      <v>Name</v>
      <v>LearnMoreOnLink</v>
    </spb>
    <spb s="20">
      <v>2019</v>
      <v>2019</v>
      <v>square km</v>
      <v>per thousand (2018)</v>
      <v>2022</v>
      <v>2019</v>
      <v>2018</v>
      <v>per liter (2016)</v>
      <v>2019</v>
      <v>years (2018)</v>
      <v>2018</v>
      <v>per thousand (2018)</v>
      <v>2019</v>
      <v>2017</v>
      <v>2016</v>
      <v>2019</v>
      <v>2016</v>
      <v>2018</v>
      <v>kilotons per year (2016)</v>
      <v>deaths per 100,000 (2017)</v>
      <v>2019</v>
      <v>2016</v>
      <v>2016</v>
      <v>2016</v>
      <v>2016</v>
      <v>2016</v>
      <v>2015</v>
      <v>2016</v>
      <v>2016</v>
      <v>2018</v>
      <v>2018</v>
      <v>2019</v>
    </spb>
    <spb s="0">
      <v xml:space="preserve">Wikipedia	Cia	travel.state.gov	</v>
      <v xml:space="preserve">CC-BY-SA			</v>
      <v xml:space="preserve">http://en.wikipedia.org/wiki/South_Sudan	https://www.cia.gov/library/publications/the-world-factbook/geos/od.html?Transportation	https://travel.state.gov/content/travel/en/international-travel/International-Travel-Country-Information-Pages/SouthSudan.html	</v>
      <v xml:space="preserve">http://creativecommons.org/licenses/by-sa/3.0/			</v>
    </spb>
    <spb s="0">
      <v xml:space="preserve">Wikipedia	</v>
      <v xml:space="preserve">CC BY-SA 3.0	</v>
      <v xml:space="preserve">https://en.wikipedia.org/wiki/South_Sudan	</v>
      <v xml:space="preserve">https://creativecommons.org/licenses/by-sa/3.0	</v>
    </spb>
    <spb s="0">
      <v xml:space="preserve">Wikipedia	</v>
      <v xml:space="preserve">CC-BY-SA	</v>
      <v xml:space="preserve">http://en.wikipedia.org/wiki/South_Sudan	</v>
      <v xml:space="preserve">http://creativecommons.org/licenses/by-sa/3.0/	</v>
    </spb>
    <spb s="0">
      <v xml:space="preserve">Cia	</v>
      <v xml:space="preserve">	</v>
      <v xml:space="preserve">https://www.cia.gov/library/publications/the-world-factbook/geos/od.html?Transportation	</v>
      <v xml:space="preserve">	</v>
    </spb>
    <spb s="21">
      <v>0</v>
      <v>133</v>
      <v>134</v>
      <v>134</v>
      <v>3</v>
      <v>134</v>
      <v>134</v>
      <v>134</v>
      <v>135</v>
      <v>134</v>
      <v>134</v>
      <v>134</v>
      <v>134</v>
      <v>136</v>
      <v>6</v>
      <v>133</v>
      <v>136</v>
      <v>7</v>
      <v>134</v>
      <v>8</v>
      <v>9</v>
      <v>10</v>
      <v>136</v>
      <v>134</v>
      <v>12</v>
      <v>13</v>
      <v>14</v>
      <v>136</v>
      <v>136</v>
      <v>136</v>
      <v>136</v>
      <v>136</v>
      <v>136</v>
      <v>136</v>
      <v>136</v>
      <v>136</v>
      <v>136</v>
      <v>15</v>
    </spb>
    <spb s="2">
      <v>8</v>
      <v>Name</v>
      <v>LearnMoreOnLink</v>
    </spb>
    <spb s="22">
      <v>2017</v>
      <v>2015</v>
      <v>square km</v>
      <v>per thousand (2018)</v>
      <v>2022</v>
      <v>2017</v>
      <v>2018</v>
      <v>per liter (2016)</v>
      <v>2019</v>
      <v>years (2018)</v>
      <v>per thousand (2018)</v>
      <v>2019</v>
      <v>2017</v>
      <v>2019</v>
      <v>kilotons per year (2016)</v>
      <v>deaths per 100,000 (2017)</v>
      <v>kWh (2014)</v>
      <v>2014</v>
      <v>2009</v>
      <v>2009</v>
      <v>2009</v>
      <v>2009</v>
      <v>2009</v>
      <v>2015</v>
      <v>2009</v>
      <v>2009</v>
      <v>2015</v>
      <v>2019</v>
    </spb>
    <spb s="0">
      <v xml:space="preserve">Wikipedia	Cia	travel.state.gov	</v>
      <v xml:space="preserve">CC-BY-SA			</v>
      <v xml:space="preserve">http://en.wikipedia.org/wiki/Bolivia	https://www.cia.gov/library/publications/the-world-factbook/geos/bl.html?Transportation	https://travel.state.gov/content/travel/en/international-travel/International-Travel-Country-Information-Pages/Bolivia.html	</v>
      <v xml:space="preserve">http://creativecommons.org/licenses/by-sa/3.0/			</v>
    </spb>
    <spb s="0">
      <v xml:space="preserve">Wikipedia	</v>
      <v xml:space="preserve">CC BY-SA 3.0	</v>
      <v xml:space="preserve">https://en.wikipedia.org/wiki/Bolivia	</v>
      <v xml:space="preserve">https://creativecommons.org/licenses/by-sa/3.0	</v>
    </spb>
    <spb s="0">
      <v xml:space="preserve">Wikipedia	</v>
      <v xml:space="preserve">CC-BY-SA	</v>
      <v xml:space="preserve">http://en.wikipedia.org/wiki/Bolivia	</v>
      <v xml:space="preserve">http://creativecommons.org/licenses/by-sa/3.0/	</v>
    </spb>
    <spb s="0">
      <v xml:space="preserve">Cia	</v>
      <v xml:space="preserve">	</v>
      <v xml:space="preserve">https://www.cia.gov/library/publications/the-world-factbook/geos/bl.html?Transportation	</v>
      <v xml:space="preserve">	</v>
    </spb>
    <spb s="23">
      <v>0</v>
      <v>140</v>
      <v>141</v>
      <v>141</v>
      <v>3</v>
      <v>141</v>
      <v>141</v>
      <v>141</v>
      <v>142</v>
      <v>141</v>
      <v>141</v>
      <v>142</v>
      <v>141</v>
      <v>141</v>
      <v>143</v>
      <v>6</v>
      <v>140</v>
      <v>143</v>
      <v>7</v>
      <v>141</v>
      <v>143</v>
      <v>8</v>
      <v>9</v>
      <v>10</v>
      <v>143</v>
      <v>143</v>
      <v>141</v>
      <v>143</v>
      <v>11</v>
      <v>12</v>
      <v>13</v>
      <v>14</v>
      <v>143</v>
      <v>143</v>
      <v>143</v>
      <v>143</v>
      <v>143</v>
      <v>143</v>
      <v>143</v>
      <v>143</v>
      <v>143</v>
      <v>143</v>
      <v>15</v>
    </spb>
    <spb s="2">
      <v>9</v>
      <v>Name</v>
      <v>LearnMoreOnLink</v>
    </spb>
    <spb s="24">
      <v>2019</v>
      <v>2019</v>
      <v>square km</v>
      <v>per thousand (2018)</v>
      <v>2022</v>
      <v>2019</v>
      <v>2018</v>
      <v>per liter (2016)</v>
      <v>2019</v>
      <v>years (2018)</v>
      <v>2007</v>
      <v>per thousand (2018)</v>
      <v>2019</v>
      <v>2017</v>
      <v>2016</v>
      <v>2019</v>
      <v>2016</v>
      <v>2016</v>
      <v>kilotons per year (2016)</v>
      <v>deaths per 100,000 (2017)</v>
      <v>kWh (2014)</v>
      <v>2014</v>
      <v>2018</v>
      <v>2018</v>
      <v>2018</v>
      <v>2018</v>
      <v>2018</v>
      <v>2015</v>
      <v>2018</v>
      <v>2018</v>
      <v>2018</v>
      <v>2019</v>
    </spb>
    <spb s="0">
      <v xml:space="preserve">Wikipedia	Cia	travel.state.gov	</v>
      <v xml:space="preserve">CC-BY-SA			</v>
      <v xml:space="preserve">http://en.wikipedia.org/wiki/Zambia	https://www.cia.gov/library/publications/the-world-factbook/geos/za.html?Transportation	https://travel.state.gov/content/travel/en/international-travel/International-Travel-Country-Information-Pages/Zambia.html	</v>
      <v xml:space="preserve">http://creativecommons.org/licenses/by-sa/3.0/			</v>
    </spb>
    <spb s="0">
      <v xml:space="preserve">Wikipedia	</v>
      <v xml:space="preserve">CC BY-SA 3.0	</v>
      <v xml:space="preserve">https://en.wikipedia.org/wiki/Zambia	</v>
      <v xml:space="preserve">https://creativecommons.org/licenses/by-sa/3.0	</v>
    </spb>
    <spb s="0">
      <v xml:space="preserve">Wikipedia	</v>
      <v xml:space="preserve">CC-BY-SA	</v>
      <v xml:space="preserve">http://en.wikipedia.org/wiki/Zambia	</v>
      <v xml:space="preserve">http://creativecommons.org/licenses/by-sa/3.0/	</v>
    </spb>
    <spb s="0">
      <v xml:space="preserve">Cia	</v>
      <v xml:space="preserve">	</v>
      <v xml:space="preserve">https://www.cia.gov/library/publications/the-world-factbook/geos/za.html?Transportation	</v>
      <v xml:space="preserve">	</v>
    </spb>
    <spb s="9">
      <v>0</v>
      <v>147</v>
      <v>148</v>
      <v>148</v>
      <v>3</v>
      <v>148</v>
      <v>148</v>
      <v>148</v>
      <v>149</v>
      <v>148</v>
      <v>148</v>
      <v>149</v>
      <v>148</v>
      <v>148</v>
      <v>150</v>
      <v>6</v>
      <v>147</v>
      <v>150</v>
      <v>7</v>
      <v>148</v>
      <v>150</v>
      <v>8</v>
      <v>9</v>
      <v>10</v>
      <v>150</v>
      <v>150</v>
      <v>148</v>
      <v>150</v>
      <v>11</v>
      <v>12</v>
      <v>13</v>
      <v>14</v>
      <v>150</v>
      <v>147</v>
      <v>150</v>
      <v>150</v>
      <v>150</v>
      <v>150</v>
      <v>150</v>
      <v>150</v>
      <v>150</v>
      <v>150</v>
      <v>150</v>
      <v>150</v>
      <v>15</v>
    </spb>
    <spb s="10">
      <v>2019</v>
      <v>2019</v>
      <v>square km</v>
      <v>per thousand (2018)</v>
      <v>2022</v>
      <v>2019</v>
      <v>2018</v>
      <v>per liter (2016)</v>
      <v>2019</v>
      <v>years (2018)</v>
      <v>2018</v>
      <v>per thousand (2018)</v>
      <v>2019</v>
      <v>2017</v>
      <v>2016</v>
      <v>2019</v>
      <v>2016</v>
      <v>2018</v>
      <v>kilotons per year (2016)</v>
      <v>deaths per 100,000 (2017)</v>
      <v>kWh (2014)</v>
      <v>2013</v>
      <v>2011</v>
      <v>2015</v>
      <v>2015</v>
      <v>2015</v>
      <v>2015</v>
      <v>2015</v>
      <v>2015</v>
      <v>2015</v>
      <v>2015</v>
      <v>2017</v>
      <v>2012</v>
      <v>2019</v>
    </spb>
    <spb s="0">
      <v xml:space="preserve">Wikipedia	Cia	travel.state.gov	</v>
      <v xml:space="preserve">CC-BY-SA			</v>
      <v xml:space="preserve">http://en.wikipedia.org/wiki/Afghanistan	https://www.cia.gov/library/publications/the-world-factbook/geos/af.html?Transportation	https://travel.state.gov/content/travel/en/international-travel/International-Travel-Country-Information-Pages/Afghanistan.html	</v>
      <v xml:space="preserve">http://creativecommons.org/licenses/by-sa/3.0/			</v>
    </spb>
    <spb s="0">
      <v xml:space="preserve">Wikipedia	</v>
      <v xml:space="preserve">CC BY-SA 3.0	</v>
      <v xml:space="preserve">https://en.wikipedia.org/wiki/Afghanistan	</v>
      <v xml:space="preserve">https://creativecommons.org/licenses/by-sa/3.0	</v>
    </spb>
    <spb s="0">
      <v xml:space="preserve">Wikipedia	</v>
      <v xml:space="preserve">CC-BY-SA	</v>
      <v xml:space="preserve">http://en.wikipedia.org/wiki/Afghanistan	</v>
      <v xml:space="preserve">http://creativecommons.org/licenses/by-sa/3.0/	</v>
    </spb>
    <spb s="0">
      <v xml:space="preserve">Cia	</v>
      <v xml:space="preserve">	</v>
      <v xml:space="preserve">https://www.cia.gov/library/publications/the-world-factbook/geos/af.html?Transportation	</v>
      <v xml:space="preserve">	</v>
    </spb>
    <spb s="25">
      <v>0</v>
      <v>153</v>
      <v>154</v>
      <v>154</v>
      <v>3</v>
      <v>154</v>
      <v>154</v>
      <v>154</v>
      <v>155</v>
      <v>154</v>
      <v>154</v>
      <v>155</v>
      <v>154</v>
      <v>154</v>
      <v>156</v>
      <v>6</v>
      <v>153</v>
      <v>156</v>
      <v>7</v>
      <v>154</v>
      <v>156</v>
      <v>8</v>
      <v>9</v>
      <v>10</v>
      <v>156</v>
      <v>156</v>
      <v>154</v>
      <v>156</v>
      <v>11</v>
      <v>12</v>
      <v>13</v>
      <v>156</v>
      <v>156</v>
      <v>156</v>
      <v>15</v>
    </spb>
    <spb s="2">
      <v>10</v>
      <v>Name</v>
      <v>LearnMoreOnLink</v>
    </spb>
    <spb s="26">
      <v>2019</v>
      <v>2019</v>
      <v>square km</v>
      <v>per thousand (2018)</v>
      <v>2022</v>
      <v>2019</v>
      <v>2018</v>
      <v>per liter (2016)</v>
      <v>2019</v>
      <v>years (2018)</v>
      <v>2017</v>
      <v>per thousand (2018)</v>
      <v>2019</v>
      <v>2017</v>
      <v>2016</v>
      <v>2019</v>
      <v>2016</v>
      <v>2016</v>
      <v>kilotons per year (2016)</v>
      <v>deaths per 100,000 (2017)</v>
      <v>2015</v>
      <v>2018</v>
      <v>2018</v>
      <v>2019</v>
    </spb>
    <spb s="0">
      <v xml:space="preserve">Wikipedia	Cia	</v>
      <v xml:space="preserve">CC-BY-SA		</v>
      <v xml:space="preserve">http://en.wikipedia.org/wiki/Mongolia	https://www.cia.gov/library/publications/the-world-factbook/geos/mg.html?Transportation	</v>
      <v xml:space="preserve">http://creativecommons.org/licenses/by-sa/3.0/		</v>
    </spb>
    <spb s="0">
      <v xml:space="preserve">Wikipedia	</v>
      <v xml:space="preserve">CC BY-SA 3.0	</v>
      <v xml:space="preserve">https://en.wikipedia.org/wiki/Mongolia	</v>
      <v xml:space="preserve">https://creativecommons.org/licenses/by-sa/3.0	</v>
    </spb>
    <spb s="0">
      <v xml:space="preserve">Wikipedia	</v>
      <v xml:space="preserve">CC-BY-SA	</v>
      <v xml:space="preserve">http://en.wikipedia.org/wiki/Mongolia	</v>
      <v xml:space="preserve">http://creativecommons.org/licenses/by-sa/3.0/	</v>
    </spb>
    <spb s="0">
      <v xml:space="preserve">Cia	</v>
      <v xml:space="preserve">	</v>
      <v xml:space="preserve">https://www.cia.gov/library/publications/the-world-factbook/geos/mg.html?Transportation	</v>
      <v xml:space="preserve">	</v>
    </spb>
    <spb s="1">
      <v>0</v>
      <v>160</v>
      <v>161</v>
      <v>161</v>
      <v>3</v>
      <v>161</v>
      <v>161</v>
      <v>161</v>
      <v>162</v>
      <v>161</v>
      <v>161</v>
      <v>162</v>
      <v>161</v>
      <v>161</v>
      <v>163</v>
      <v>6</v>
      <v>160</v>
      <v>163</v>
      <v>7</v>
      <v>161</v>
      <v>163</v>
      <v>8</v>
      <v>9</v>
      <v>10</v>
      <v>163</v>
      <v>163</v>
      <v>161</v>
      <v>163</v>
      <v>11</v>
      <v>12</v>
      <v>13</v>
      <v>14</v>
      <v>163</v>
      <v>163</v>
      <v>163</v>
      <v>163</v>
      <v>163</v>
      <v>163</v>
      <v>163</v>
      <v>163</v>
      <v>163</v>
      <v>163</v>
      <v>163</v>
      <v>15</v>
    </spb>
    <spb s="7">
      <v>2019</v>
      <v>2019</v>
      <v>square km</v>
      <v>per thousand (2018)</v>
      <v>2022</v>
      <v>2019</v>
      <v>2018</v>
      <v>per liter (2016)</v>
      <v>2019</v>
      <v>years (2018)</v>
      <v>2018</v>
      <v>per thousand (2018)</v>
      <v>2019</v>
      <v>2017</v>
      <v>2016</v>
      <v>2019</v>
      <v>2016</v>
      <v>2016</v>
      <v>kilotons per year (2016)</v>
      <v>deaths per 100,000 (2017)</v>
      <v>kWh (2014)</v>
      <v>2014</v>
      <v>2018</v>
      <v>2018</v>
      <v>2018</v>
      <v>2018</v>
      <v>2018</v>
      <v>2015</v>
      <v>2018</v>
      <v>2018</v>
      <v>2018</v>
      <v>2018</v>
      <v>2019</v>
    </spb>
    <spb s="0">
      <v xml:space="preserve">Wikipedia	Cia	travel.state.gov	</v>
      <v xml:space="preserve">CC-BY-SA			</v>
      <v xml:space="preserve">http://en.wikipedia.org/wiki/Tanzania	https://www.cia.gov/library/publications/the-world-factbook/geos/tz.html?Transportation	https://travel.state.gov/content/travel/en/international-travel/International-Travel-Country-Information-Pages/Tanzania.html	</v>
      <v xml:space="preserve">http://creativecommons.org/licenses/by-sa/3.0/			</v>
    </spb>
    <spb s="0">
      <v xml:space="preserve">Wikipedia	</v>
      <v xml:space="preserve">CC BY-SA 3.0	</v>
      <v xml:space="preserve">https://en.wikipedia.org/wiki/Tanzania	</v>
      <v xml:space="preserve">https://creativecommons.org/licenses/by-sa/3.0	</v>
    </spb>
    <spb s="0">
      <v xml:space="preserve">Wikipedia	</v>
      <v xml:space="preserve">CC-BY-SA	</v>
      <v xml:space="preserve">http://en.wikipedia.org/wiki/Tanzania	</v>
      <v xml:space="preserve">http://creativecommons.org/licenses/by-sa/3.0/	</v>
    </spb>
    <spb s="0">
      <v xml:space="preserve">Cia	</v>
      <v xml:space="preserve">	</v>
      <v xml:space="preserve">https://www.cia.gov/library/publications/the-world-factbook/geos/tz.html?Transportation	</v>
      <v xml:space="preserve">	</v>
    </spb>
    <spb s="9">
      <v>0</v>
      <v>166</v>
      <v>167</v>
      <v>167</v>
      <v>3</v>
      <v>167</v>
      <v>167</v>
      <v>167</v>
      <v>168</v>
      <v>167</v>
      <v>167</v>
      <v>168</v>
      <v>167</v>
      <v>167</v>
      <v>169</v>
      <v>6</v>
      <v>166</v>
      <v>169</v>
      <v>7</v>
      <v>167</v>
      <v>169</v>
      <v>8</v>
      <v>9</v>
      <v>10</v>
      <v>169</v>
      <v>169</v>
      <v>167</v>
      <v>169</v>
      <v>11</v>
      <v>12</v>
      <v>13</v>
      <v>14</v>
      <v>169</v>
      <v>166</v>
      <v>169</v>
      <v>169</v>
      <v>169</v>
      <v>169</v>
      <v>169</v>
      <v>169</v>
      <v>169</v>
      <v>169</v>
      <v>169</v>
      <v>169</v>
      <v>15</v>
    </spb>
    <spb s="10">
      <v>2019</v>
      <v>2019</v>
      <v>square km</v>
      <v>per thousand (2018)</v>
      <v>2022</v>
      <v>2019</v>
      <v>2018</v>
      <v>per liter (2016)</v>
      <v>2019</v>
      <v>years (2018)</v>
      <v>2018</v>
      <v>per thousand (2018)</v>
      <v>2019</v>
      <v>2017</v>
      <v>2016</v>
      <v>2019</v>
      <v>2016</v>
      <v>2016</v>
      <v>kilotons per year (2016)</v>
      <v>deaths per 100,000 (2017)</v>
      <v>kWh (2014)</v>
      <v>2014</v>
      <v>2001</v>
      <v>2017</v>
      <v>2017</v>
      <v>2017</v>
      <v>2017</v>
      <v>2017</v>
      <v>2015</v>
      <v>2017</v>
      <v>2017</v>
      <v>2018</v>
      <v>2015</v>
      <v>2019</v>
    </spb>
    <spb s="0">
      <v xml:space="preserve">Wikipedia	Cia	travel.state.gov	</v>
      <v xml:space="preserve">CC-BY-SA			</v>
      <v xml:space="preserve">http://en.wikipedia.org/wiki/Cambodia	https://www.cia.gov/library/publications/the-world-factbook/geos/cb.html?Transportation	https://travel.state.gov/content/travel/en/international-travel/International-Travel-Country-Information-Pages/Cambodia.html	</v>
      <v xml:space="preserve">http://creativecommons.org/licenses/by-sa/3.0/			</v>
    </spb>
    <spb s="0">
      <v xml:space="preserve">Wikipedia	</v>
      <v xml:space="preserve">CC BY-SA 3.0	</v>
      <v xml:space="preserve">https://en.wikipedia.org/wiki/Cambodia	</v>
      <v xml:space="preserve">https://creativecommons.org/licenses/by-sa/3.0	</v>
    </spb>
    <spb s="0">
      <v xml:space="preserve">Wikipedia	</v>
      <v xml:space="preserve">CC-BY-SA	</v>
      <v xml:space="preserve">http://en.wikipedia.org/wiki/Cambodia	</v>
      <v xml:space="preserve">http://creativecommons.org/licenses/by-sa/3.0/	</v>
    </spb>
    <spb s="0">
      <v xml:space="preserve">Cia	</v>
      <v xml:space="preserve">	</v>
      <v xml:space="preserve">https://www.cia.gov/library/publications/the-world-factbook/geos/cb.html?Transportation	</v>
      <v xml:space="preserve">	</v>
    </spb>
    <spb s="27">
      <v>0</v>
      <v>172</v>
      <v>173</v>
      <v>173</v>
      <v>3</v>
      <v>173</v>
      <v>173</v>
      <v>173</v>
      <v>174</v>
      <v>173</v>
      <v>173</v>
      <v>173</v>
      <v>173</v>
      <v>175</v>
      <v>6</v>
      <v>172</v>
      <v>175</v>
      <v>7</v>
      <v>173</v>
      <v>175</v>
      <v>8</v>
      <v>9</v>
      <v>10</v>
      <v>175</v>
      <v>175</v>
      <v>173</v>
      <v>175</v>
      <v>11</v>
      <v>12</v>
      <v>13</v>
      <v>14</v>
      <v>175</v>
      <v>175</v>
      <v>175</v>
      <v>175</v>
      <v>15</v>
    </spb>
    <spb s="2">
      <v>11</v>
      <v>Name</v>
      <v>LearnMoreOnLink</v>
    </spb>
    <spb s="28">
      <v>2018</v>
      <v>2019</v>
      <v>square km</v>
      <v>per thousand (2018)</v>
      <v>2022</v>
      <v>2018</v>
      <v>2018</v>
      <v>per liter (2016)</v>
      <v>2019</v>
      <v>years (2018)</v>
      <v>2018</v>
      <v>per thousand (2018)</v>
      <v>2019</v>
      <v>2017</v>
      <v>2016</v>
      <v>2019</v>
      <v>2016</v>
      <v>2014</v>
      <v>kilotons per year (2016)</v>
      <v>deaths per 100,000 (2017)</v>
      <v>kWh (2014)</v>
      <v>2014</v>
      <v>2015</v>
      <v>2018</v>
      <v>2018</v>
      <v>2019</v>
    </spb>
    <spb s="0">
      <v xml:space="preserve">Wikipedia	Cia	travel.state.gov	</v>
      <v xml:space="preserve">CC-BY-SA			</v>
      <v xml:space="preserve">http://en.wikipedia.org/wiki/Sierra_Leone	https://www.cia.gov/library/publications/the-world-factbook/geos/sl.html?Transportation	https://travel.state.gov/content/travel/en/international-travel/International-Travel-Country-Information-Pages/SierraLeone.html	</v>
      <v xml:space="preserve">http://creativecommons.org/licenses/by-sa/3.0/			</v>
    </spb>
    <spb s="0">
      <v xml:space="preserve">Wikipedia	</v>
      <v xml:space="preserve">CC BY-SA 3.0	</v>
      <v xml:space="preserve">https://en.wikipedia.org/wiki/Sierra_Leone	</v>
      <v xml:space="preserve">https://creativecommons.org/licenses/by-sa/3.0	</v>
    </spb>
    <spb s="0">
      <v xml:space="preserve">Wikipedia	</v>
      <v xml:space="preserve">CC-BY-SA	</v>
      <v xml:space="preserve">http://en.wikipedia.org/wiki/Sierra_Leone	</v>
      <v xml:space="preserve">http://creativecommons.org/licenses/by-sa/3.0/	</v>
    </spb>
    <spb s="0">
      <v xml:space="preserve">Cia	</v>
      <v xml:space="preserve">	</v>
      <v xml:space="preserve">https://www.cia.gov/library/publications/the-world-factbook/geos/sl.html?Transportation	</v>
      <v xml:space="preserve">	</v>
    </spb>
    <spb s="13">
      <v>0</v>
      <v>179</v>
      <v>180</v>
      <v>180</v>
      <v>3</v>
      <v>180</v>
      <v>180</v>
      <v>180</v>
      <v>181</v>
      <v>180</v>
      <v>180</v>
      <v>181</v>
      <v>180</v>
      <v>180</v>
      <v>182</v>
      <v>6</v>
      <v>179</v>
      <v>182</v>
      <v>7</v>
      <v>180</v>
      <v>182</v>
      <v>8</v>
      <v>9</v>
      <v>10</v>
      <v>182</v>
      <v>182</v>
      <v>180</v>
      <v>182</v>
      <v>11</v>
      <v>12</v>
      <v>13</v>
      <v>182</v>
      <v>182</v>
      <v>182</v>
      <v>182</v>
      <v>182</v>
      <v>182</v>
      <v>182</v>
      <v>182</v>
      <v>182</v>
      <v>182</v>
      <v>15</v>
    </spb>
    <spb s="14">
      <v>2019</v>
      <v>2019</v>
      <v>square km</v>
      <v>per thousand (2018)</v>
      <v>2022</v>
      <v>2019</v>
      <v>2018</v>
      <v>per liter (2016)</v>
      <v>2019</v>
      <v>years (2018)</v>
      <v>2014</v>
      <v>per thousand (2018)</v>
      <v>2019</v>
      <v>2017</v>
      <v>2016</v>
      <v>2019</v>
      <v>2016</v>
      <v>2011</v>
      <v>kilotons per year (2016)</v>
      <v>deaths per 100,000 (2017)</v>
      <v>2018</v>
      <v>2018</v>
      <v>2018</v>
      <v>2018</v>
      <v>2018</v>
      <v>2015</v>
      <v>2018</v>
      <v>2018</v>
      <v>2018</v>
      <v>2002</v>
      <v>2019</v>
    </spb>
    <spb s="0">
      <v xml:space="preserve">Wikipedia	Cia	travel.state.gov	</v>
      <v xml:space="preserve">CC-BY-SA			</v>
      <v xml:space="preserve">http://en.wikipedia.org/wiki/Kenya	https://www.cia.gov/library/publications/the-world-factbook/geos/ke.html?Transportation	https://travel.state.gov/content/travel/en/international-travel/International-Travel-Country-Information-Pages/Kenya.html	</v>
      <v xml:space="preserve">http://creativecommons.org/licenses/by-sa/3.0/			</v>
    </spb>
    <spb s="0">
      <v xml:space="preserve">Wikipedia	</v>
      <v xml:space="preserve">CC BY-SA 3.0	</v>
      <v xml:space="preserve">https://en.wikipedia.org/wiki/Kenya	</v>
      <v xml:space="preserve">https://creativecommons.org/licenses/by-sa/3.0	</v>
    </spb>
    <spb s="0">
      <v xml:space="preserve">Wikipedia	</v>
      <v xml:space="preserve">CC-BY-SA	</v>
      <v xml:space="preserve">http://en.wikipedia.org/wiki/Kenya	</v>
      <v xml:space="preserve">http://creativecommons.org/licenses/by-sa/3.0/	</v>
    </spb>
    <spb s="0">
      <v xml:space="preserve">Cia	</v>
      <v xml:space="preserve">	</v>
      <v xml:space="preserve">https://www.cia.gov/library/publications/the-world-factbook/geos/ke.html?Transportation	</v>
      <v xml:space="preserve">	</v>
    </spb>
    <spb s="9">
      <v>0</v>
      <v>185</v>
      <v>186</v>
      <v>186</v>
      <v>3</v>
      <v>186</v>
      <v>186</v>
      <v>186</v>
      <v>187</v>
      <v>186</v>
      <v>186</v>
      <v>187</v>
      <v>186</v>
      <v>186</v>
      <v>188</v>
      <v>6</v>
      <v>185</v>
      <v>188</v>
      <v>7</v>
      <v>186</v>
      <v>188</v>
      <v>8</v>
      <v>9</v>
      <v>10</v>
      <v>188</v>
      <v>188</v>
      <v>186</v>
      <v>188</v>
      <v>11</v>
      <v>12</v>
      <v>13</v>
      <v>14</v>
      <v>188</v>
      <v>185</v>
      <v>188</v>
      <v>188</v>
      <v>188</v>
      <v>188</v>
      <v>188</v>
      <v>188</v>
      <v>188</v>
      <v>188</v>
      <v>188</v>
      <v>188</v>
      <v>15</v>
    </spb>
    <spb s="10">
      <v>2018</v>
      <v>2019</v>
      <v>square km</v>
      <v>per thousand (2018)</v>
      <v>2022</v>
      <v>2018</v>
      <v>2018</v>
      <v>per liter (2016)</v>
      <v>2019</v>
      <v>years (2018)</v>
      <v>2018</v>
      <v>per thousand (2018)</v>
      <v>2019</v>
      <v>2017</v>
      <v>2016</v>
      <v>2019</v>
      <v>2016</v>
      <v>2018</v>
      <v>kilotons per year (2016)</v>
      <v>deaths per 100,000 (2017)</v>
      <v>kWh (2014)</v>
      <v>2014</v>
      <v>2019</v>
      <v>2015</v>
      <v>2015</v>
      <v>2015</v>
      <v>2015</v>
      <v>2015</v>
      <v>2015</v>
      <v>2015</v>
      <v>2015</v>
      <v>2016</v>
      <v>2017</v>
      <v>2019</v>
    </spb>
    <spb s="0">
      <v xml:space="preserve">Wikipedia	Cia	travel.state.gov	</v>
      <v xml:space="preserve">CC-BY-SA			</v>
      <v xml:space="preserve">http://en.wikipedia.org/wiki/Bosnia_and_Herzegovina	https://www.cia.gov/library/publications/the-world-factbook/geos/bk.html?Transportation	https://travel.state.gov/content/travel/en/international-travel/International-Travel-Country-Information-Pages/BosniaandHerzegovina.html	</v>
      <v xml:space="preserve">http://creativecommons.org/licenses/by-sa/3.0/			</v>
    </spb>
    <spb s="0">
      <v xml:space="preserve">Wikipedia	</v>
      <v xml:space="preserve">CC BY-SA 3.0	</v>
      <v xml:space="preserve">https://en.wikipedia.org/wiki/Bosnia_and_Herzegovina	</v>
      <v xml:space="preserve">https://creativecommons.org/licenses/by-sa/3.0	</v>
    </spb>
    <spb s="0">
      <v xml:space="preserve">Wikipedia	</v>
      <v xml:space="preserve">CC-BY-SA	</v>
      <v xml:space="preserve">http://en.wikipedia.org/wiki/Bosnia_and_Herzegovina	</v>
      <v xml:space="preserve">http://creativecommons.org/licenses/by-sa/3.0/	</v>
    </spb>
    <spb s="0">
      <v xml:space="preserve">Cia	</v>
      <v xml:space="preserve">	</v>
      <v xml:space="preserve">https://www.cia.gov/library/publications/the-world-factbook/geos/bk.html?Transportation	</v>
      <v xml:space="preserve">	</v>
    </spb>
    <spb s="29">
      <v>0</v>
      <v>191</v>
      <v>192</v>
      <v>192</v>
      <v>3</v>
      <v>192</v>
      <v>192</v>
      <v>192</v>
      <v>193</v>
      <v>192</v>
      <v>192</v>
      <v>193</v>
      <v>192</v>
      <v>192</v>
      <v>194</v>
      <v>6</v>
      <v>191</v>
      <v>194</v>
      <v>7</v>
      <v>192</v>
      <v>194</v>
      <v>8</v>
      <v>9</v>
      <v>10</v>
      <v>194</v>
      <v>194</v>
      <v>192</v>
      <v>194</v>
      <v>11</v>
      <v>12</v>
      <v>13</v>
      <v>14</v>
      <v>194</v>
      <v>194</v>
      <v>194</v>
      <v>194</v>
      <v>194</v>
      <v>194</v>
      <v>194</v>
      <v>194</v>
      <v>194</v>
      <v>194</v>
      <v>15</v>
    </spb>
    <spb s="2">
      <v>12</v>
      <v>Name</v>
      <v>LearnMoreOnLink</v>
    </spb>
    <spb s="30">
      <v>2019</v>
      <v>2019</v>
      <v>square km</v>
      <v>per thousand (2018)</v>
      <v>2022</v>
      <v>2019</v>
      <v>2018</v>
      <v>per liter (2016)</v>
      <v>2019</v>
      <v>years (2018)</v>
      <v>2018</v>
      <v>per thousand (2018)</v>
      <v>2019</v>
      <v>2017</v>
      <v>2016</v>
      <v>2019</v>
      <v>2016</v>
      <v>2015</v>
      <v>kilotons per year (2016)</v>
      <v>deaths per 100,000 (2017)</v>
      <v>kWh (2014)</v>
      <v>2014</v>
      <v>2011</v>
      <v>2011</v>
      <v>2011</v>
      <v>2011</v>
      <v>2011</v>
      <v>2015</v>
      <v>2011</v>
      <v>2011</v>
      <v>2002</v>
      <v>2019</v>
    </spb>
    <spb s="0">
      <v xml:space="preserve">Wikipedia	Cia	</v>
      <v xml:space="preserve">CC-BY-SA		</v>
      <v xml:space="preserve">http://en.wikipedia.org/wiki/Serbia	https://www.cia.gov/library/publications/the-world-factbook/geos/ri.html?Transportation	</v>
      <v xml:space="preserve">http://creativecommons.org/licenses/by-sa/3.0/		</v>
    </spb>
    <spb s="0">
      <v xml:space="preserve">Wikipedia	</v>
      <v xml:space="preserve">CC BY-SA 3.0	</v>
      <v xml:space="preserve">https://en.wikipedia.org/wiki/Serbia	</v>
      <v xml:space="preserve">https://creativecommons.org/licenses/by-sa/3.0	</v>
    </spb>
    <spb s="0">
      <v xml:space="preserve">Wikipedia	</v>
      <v xml:space="preserve">CC-BY-SA	</v>
      <v xml:space="preserve">http://en.wikipedia.org/wiki/Serbia	</v>
      <v xml:space="preserve">http://creativecommons.org/licenses/by-sa/3.0/	</v>
    </spb>
    <spb s="0">
      <v xml:space="preserve">Cia	</v>
      <v xml:space="preserve">	</v>
      <v xml:space="preserve">https://www.cia.gov/library/publications/the-world-factbook/geos/ri.html?Transportation	</v>
      <v xml:space="preserve">	</v>
    </spb>
    <spb s="9">
      <v>0</v>
      <v>198</v>
      <v>199</v>
      <v>199</v>
      <v>3</v>
      <v>199</v>
      <v>199</v>
      <v>199</v>
      <v>200</v>
      <v>199</v>
      <v>199</v>
      <v>200</v>
      <v>199</v>
      <v>199</v>
      <v>201</v>
      <v>6</v>
      <v>198</v>
      <v>201</v>
      <v>7</v>
      <v>199</v>
      <v>201</v>
      <v>8</v>
      <v>9</v>
      <v>10</v>
      <v>201</v>
      <v>201</v>
      <v>199</v>
      <v>201</v>
      <v>11</v>
      <v>12</v>
      <v>13</v>
      <v>14</v>
      <v>201</v>
      <v>198</v>
      <v>201</v>
      <v>201</v>
      <v>201</v>
      <v>201</v>
      <v>201</v>
      <v>201</v>
      <v>201</v>
      <v>201</v>
      <v>201</v>
      <v>201</v>
      <v>15</v>
    </spb>
    <spb s="10">
      <v>2019</v>
      <v>2019</v>
      <v>square km</v>
      <v>per thousand (2018)</v>
      <v>2022</v>
      <v>2019</v>
      <v>2018</v>
      <v>per liter (2016)</v>
      <v>2019</v>
      <v>years (2018)</v>
      <v>2012</v>
      <v>per thousand (2018)</v>
      <v>2019</v>
      <v>2017</v>
      <v>2016</v>
      <v>2019</v>
      <v>2016</v>
      <v>2016</v>
      <v>kilotons per year (2016)</v>
      <v>deaths per 100,000 (2017)</v>
      <v>kWh (2014)</v>
      <v>2014</v>
      <v>2011</v>
      <v>2017</v>
      <v>2017</v>
      <v>2017</v>
      <v>2017</v>
      <v>2017</v>
      <v>2015</v>
      <v>2017</v>
      <v>2017</v>
      <v>2018</v>
      <v>2018</v>
      <v>2019</v>
    </spb>
    <spb s="0">
      <v xml:space="preserve">Wikipedia	Cia	travel.state.gov	</v>
      <v xml:space="preserve">CC-BY-SA			</v>
      <v xml:space="preserve">http://en.wikipedia.org/wiki/Somalia	https://www.cia.gov/library/publications/the-world-factbook/geos/so.html?Transportation	https://travel.state.gov/content/travel/en/international-travel/International-Travel-Country-Information-Pages/Somalia.html	</v>
      <v xml:space="preserve">http://creativecommons.org/licenses/by-sa/3.0/			</v>
    </spb>
    <spb s="0">
      <v xml:space="preserve">Wikipedia	</v>
      <v xml:space="preserve">CC BY-SA 3.0	</v>
      <v xml:space="preserve">https://en.wikipedia.org/wiki/Somalia	</v>
      <v xml:space="preserve">https://creativecommons.org/licenses/by-sa/3.0	</v>
    </spb>
    <spb s="0">
      <v xml:space="preserve">Wikipedia	</v>
      <v xml:space="preserve">CC-BY-SA	</v>
      <v xml:space="preserve">http://en.wikipedia.org/wiki/Somalia	</v>
      <v xml:space="preserve">http://creativecommons.org/licenses/by-sa/3.0/	</v>
    </spb>
    <spb s="0">
      <v xml:space="preserve">Cia	</v>
      <v xml:space="preserve">	</v>
      <v xml:space="preserve">https://www.cia.gov/library/publications/the-world-factbook/geos/so.html?Transportation	</v>
      <v xml:space="preserve">	</v>
    </spb>
    <spb s="31">
      <v>204</v>
      <v>205</v>
      <v>205</v>
      <v>3</v>
      <v>205</v>
      <v>205</v>
      <v>205</v>
      <v>206</v>
      <v>205</v>
      <v>205</v>
      <v>205</v>
      <v>205</v>
      <v>6</v>
      <v>204</v>
      <v>7</v>
      <v>205</v>
      <v>207</v>
      <v>8</v>
      <v>9</v>
      <v>10</v>
      <v>207</v>
      <v>207</v>
      <v>205</v>
      <v>207</v>
      <v>11</v>
      <v>12</v>
      <v>13</v>
      <v>207</v>
      <v>207</v>
      <v>15</v>
    </spb>
    <spb s="2">
      <v>13</v>
      <v>Name</v>
      <v>LearnMoreOnLink</v>
    </spb>
    <spb s="32">
      <v>2018</v>
      <v>square km</v>
      <v>per thousand (2018)</v>
      <v>2022</v>
      <v>2018</v>
      <v>per liter (2016)</v>
      <v>years (2018)</v>
      <v>2018</v>
      <v>per thousand (2018)</v>
      <v>2019</v>
      <v>2017</v>
      <v>2016</v>
      <v>2019</v>
      <v>2016</v>
      <v>2014</v>
      <v>kilotons per year (2016)</v>
      <v>deaths per 100,000 (2017)</v>
      <v>2007</v>
      <v>1987</v>
      <v>2019</v>
    </spb>
    <spb s="0">
      <v xml:space="preserve">Wikipedia	Cia	travel.state.gov	</v>
      <v xml:space="preserve">CC-BY-SA			</v>
      <v xml:space="preserve">http://en.wikipedia.org/wiki/Ethiopia	https://www.cia.gov/library/publications/the-world-factbook/geos/et.html?Transportation	https://travel.state.gov/content/travel/en/international-travel/International-Travel-Country-Information-Pages/Ethiopia.html	</v>
      <v xml:space="preserve">http://creativecommons.org/licenses/by-sa/3.0/			</v>
    </spb>
    <spb s="0">
      <v xml:space="preserve">Wikipedia	</v>
      <v xml:space="preserve">CC BY-SA 3.0	</v>
      <v xml:space="preserve">https://en.wikipedia.org/wiki/Ethiopia	</v>
      <v xml:space="preserve">https://creativecommons.org/licenses/by-sa/3.0	</v>
    </spb>
    <spb s="0">
      <v xml:space="preserve">Wikipedia	</v>
      <v xml:space="preserve">CC-BY-SA	</v>
      <v xml:space="preserve">http://en.wikipedia.org/wiki/Ethiopia	</v>
      <v xml:space="preserve">http://creativecommons.org/licenses/by-sa/3.0/	</v>
    </spb>
    <spb s="0">
      <v xml:space="preserve">Cia	</v>
      <v xml:space="preserve">	</v>
      <v xml:space="preserve">https://www.cia.gov/library/publications/the-world-factbook/geos/et.html?Transportation	</v>
      <v xml:space="preserve">	</v>
    </spb>
    <spb s="33">
      <v>0</v>
      <v>211</v>
      <v>212</v>
      <v>212</v>
      <v>3</v>
      <v>212</v>
      <v>212</v>
      <v>212</v>
      <v>213</v>
      <v>212</v>
      <v>212</v>
      <v>212</v>
      <v>212</v>
      <v>214</v>
      <v>6</v>
      <v>211</v>
      <v>214</v>
      <v>7</v>
      <v>212</v>
      <v>214</v>
      <v>8</v>
      <v>9</v>
      <v>10</v>
      <v>214</v>
      <v>214</v>
      <v>212</v>
      <v>214</v>
      <v>11</v>
      <v>12</v>
      <v>13</v>
      <v>14</v>
      <v>214</v>
      <v>214</v>
      <v>214</v>
      <v>214</v>
      <v>214</v>
      <v>214</v>
      <v>214</v>
      <v>214</v>
      <v>214</v>
      <v>214</v>
      <v>214</v>
      <v>15</v>
    </spb>
    <spb s="2">
      <v>14</v>
      <v>Name</v>
      <v>LearnMoreOnLink</v>
    </spb>
    <spb s="7">
      <v>2019</v>
      <v>2019</v>
      <v>square km</v>
      <v>per thousand (2018)</v>
      <v>2022</v>
      <v>2019</v>
      <v>2018</v>
      <v>per liter (2016)</v>
      <v>2019</v>
      <v>years (2018)</v>
      <v>2018</v>
      <v>per thousand (2018)</v>
      <v>2019</v>
      <v>2017</v>
      <v>2016</v>
      <v>2019</v>
      <v>2016</v>
      <v>2018</v>
      <v>kilotons per year (2016)</v>
      <v>deaths per 100,000 (2017)</v>
      <v>kWh (2014)</v>
      <v>2014</v>
      <v>2015</v>
      <v>2015</v>
      <v>2015</v>
      <v>2015</v>
      <v>2015</v>
      <v>2015</v>
      <v>2015</v>
      <v>2015</v>
      <v>2015</v>
      <v>2014</v>
      <v>2019</v>
    </spb>
    <spb s="0">
      <v xml:space="preserve">Wikipedia	Cia	travel.state.gov	</v>
      <v xml:space="preserve">CC-BY-SA			</v>
      <v xml:space="preserve">http://en.wikipedia.org/wiki/Ghana	https://www.cia.gov/library/publications/the-world-factbook/geos/gh.html?Transportation	https://travel.state.gov/content/travel/en/international-travel/International-Travel-Country-Information-Pages/Ghana.html	</v>
      <v xml:space="preserve">http://creativecommons.org/licenses/by-sa/3.0/			</v>
    </spb>
    <spb s="0">
      <v xml:space="preserve">Wikipedia	</v>
      <v xml:space="preserve">CC BY-SA 3.0	</v>
      <v xml:space="preserve">https://en.wikipedia.org/wiki/Ghana	</v>
      <v xml:space="preserve">https://creativecommons.org/licenses/by-sa/3.0	</v>
    </spb>
    <spb s="0">
      <v xml:space="preserve">Wikipedia	</v>
      <v xml:space="preserve">CC-BY-SA	</v>
      <v xml:space="preserve">http://en.wikipedia.org/wiki/Ghana	</v>
      <v xml:space="preserve">http://creativecommons.org/licenses/by-sa/3.0/	</v>
    </spb>
    <spb s="0">
      <v xml:space="preserve">Cia	</v>
      <v xml:space="preserve">	</v>
      <v xml:space="preserve">https://www.cia.gov/library/publications/the-world-factbook/geos/gh.html?Transportation	</v>
      <v xml:space="preserve">	</v>
    </spb>
    <spb s="9">
      <v>0</v>
      <v>218</v>
      <v>219</v>
      <v>219</v>
      <v>3</v>
      <v>219</v>
      <v>219</v>
      <v>219</v>
      <v>220</v>
      <v>219</v>
      <v>219</v>
      <v>220</v>
      <v>219</v>
      <v>219</v>
      <v>221</v>
      <v>6</v>
      <v>218</v>
      <v>221</v>
      <v>7</v>
      <v>219</v>
      <v>221</v>
      <v>8</v>
      <v>9</v>
      <v>10</v>
      <v>221</v>
      <v>221</v>
      <v>219</v>
      <v>221</v>
      <v>11</v>
      <v>12</v>
      <v>13</v>
      <v>14</v>
      <v>221</v>
      <v>218</v>
      <v>221</v>
      <v>221</v>
      <v>221</v>
      <v>221</v>
      <v>221</v>
      <v>221</v>
      <v>221</v>
      <v>221</v>
      <v>221</v>
      <v>221</v>
      <v>15</v>
    </spb>
    <spb s="10">
      <v>2019</v>
      <v>2019</v>
      <v>square km</v>
      <v>per thousand (2018)</v>
      <v>2022</v>
      <v>2019</v>
      <v>2018</v>
      <v>per liter (2016)</v>
      <v>2019</v>
      <v>years (2018)</v>
      <v>2018</v>
      <v>per thousand (2018)</v>
      <v>2019</v>
      <v>2017</v>
      <v>2016</v>
      <v>2019</v>
      <v>2016</v>
      <v>2017</v>
      <v>kilotons per year (2016)</v>
      <v>deaths per 100,000 (2017)</v>
      <v>kWh (2014)</v>
      <v>2014</v>
      <v>2011</v>
      <v>2016</v>
      <v>2016</v>
      <v>2016</v>
      <v>2016</v>
      <v>2016</v>
      <v>2015</v>
      <v>2016</v>
      <v>2016</v>
      <v>2019</v>
      <v>2018</v>
      <v>2019</v>
    </spb>
    <spb s="0">
      <v xml:space="preserve">Wikipedia	Cia	travel.state.gov	</v>
      <v xml:space="preserve">CC-BY-SA			</v>
      <v xml:space="preserve">http://en.wikipedia.org/wiki/Tajikistan	https://www.cia.gov/library/publications/the-world-factbook/geos/ti.html?Transportation	https://travel.state.gov/content/travel/en/international-travel/International-Travel-Country-Information-Pages/Tajikistan.html	</v>
      <v xml:space="preserve">http://creativecommons.org/licenses/by-sa/3.0/			</v>
    </spb>
    <spb s="0">
      <v xml:space="preserve">Wikipedia	</v>
      <v xml:space="preserve">CC BY-SA 3.0	</v>
      <v xml:space="preserve">https://en.wikipedia.org/wiki/Tajikistan	</v>
      <v xml:space="preserve">https://creativecommons.org/licenses/by-sa/3.0	</v>
    </spb>
    <spb s="0">
      <v xml:space="preserve">Wikipedia	</v>
      <v xml:space="preserve">CC-BY-SA	</v>
      <v xml:space="preserve">http://en.wikipedia.org/wiki/Tajikistan	</v>
      <v xml:space="preserve">http://creativecommons.org/licenses/by-sa/3.0/	</v>
    </spb>
    <spb s="0">
      <v xml:space="preserve">Cia	</v>
      <v xml:space="preserve">	</v>
      <v xml:space="preserve">https://www.cia.gov/library/publications/the-world-factbook/geos/ti.html?Transportation	</v>
      <v xml:space="preserve">	</v>
    </spb>
    <spb s="1">
      <v>0</v>
      <v>224</v>
      <v>225</v>
      <v>225</v>
      <v>3</v>
      <v>225</v>
      <v>225</v>
      <v>225</v>
      <v>226</v>
      <v>225</v>
      <v>225</v>
      <v>226</v>
      <v>225</v>
      <v>225</v>
      <v>227</v>
      <v>6</v>
      <v>224</v>
      <v>227</v>
      <v>7</v>
      <v>225</v>
      <v>227</v>
      <v>8</v>
      <v>9</v>
      <v>10</v>
      <v>227</v>
      <v>227</v>
      <v>225</v>
      <v>227</v>
      <v>11</v>
      <v>12</v>
      <v>13</v>
      <v>14</v>
      <v>227</v>
      <v>227</v>
      <v>227</v>
      <v>227</v>
      <v>227</v>
      <v>227</v>
      <v>227</v>
      <v>227</v>
      <v>227</v>
      <v>227</v>
      <v>227</v>
      <v>15</v>
    </spb>
    <spb s="7">
      <v>2016</v>
      <v>2019</v>
      <v>square km</v>
      <v>per thousand (2018)</v>
      <v>2022</v>
      <v>2016</v>
      <v>2018</v>
      <v>per liter (2016)</v>
      <v>2019</v>
      <v>years (2018)</v>
      <v>2004</v>
      <v>per thousand (2018)</v>
      <v>2019</v>
      <v>2017</v>
      <v>2016</v>
      <v>2019</v>
      <v>2016</v>
      <v>2014</v>
      <v>kilotons per year (2016)</v>
      <v>deaths per 100,000 (2017)</v>
      <v>kWh (2014)</v>
      <v>2014</v>
      <v>2015</v>
      <v>2015</v>
      <v>2015</v>
      <v>2015</v>
      <v>2015</v>
      <v>2015</v>
      <v>2015</v>
      <v>2015</v>
      <v>2017</v>
      <v>2017</v>
      <v>2019</v>
    </spb>
    <spb s="0">
      <v xml:space="preserve">Wikipedia	Cia	travel.state.gov	</v>
      <v xml:space="preserve">CC-BY-SA			</v>
      <v xml:space="preserve">http://en.wikipedia.org/wiki/Kyrgyzstan	https://www.cia.gov/library/publications/the-world-factbook/geos/kg.html?Transportation	https://travel.state.gov/content/travel/en/international-travel/International-Travel-Country-Information-Pages/Kyrgyzstan.html	</v>
      <v xml:space="preserve">http://creativecommons.org/licenses/by-sa/3.0/			</v>
    </spb>
    <spb s="0">
      <v xml:space="preserve">Wikipedia	</v>
      <v xml:space="preserve">CC BY-SA 3.0	</v>
      <v xml:space="preserve">https://en.wikipedia.org/wiki/Kyrgyzstan	</v>
      <v xml:space="preserve">https://creativecommons.org/licenses/by-sa/3.0	</v>
    </spb>
    <spb s="0">
      <v xml:space="preserve">Wikipedia	</v>
      <v xml:space="preserve">CC-BY-SA	</v>
      <v xml:space="preserve">http://en.wikipedia.org/wiki/Kyrgyzstan	</v>
      <v xml:space="preserve">http://creativecommons.org/licenses/by-sa/3.0/	</v>
    </spb>
    <spb s="0">
      <v xml:space="preserve">Cia	</v>
      <v xml:space="preserve">	</v>
      <v xml:space="preserve">https://www.cia.gov/library/publications/the-world-factbook/geos/kg.html?Transportation	</v>
      <v xml:space="preserve">	</v>
    </spb>
    <spb s="1">
      <v>0</v>
      <v>230</v>
      <v>231</v>
      <v>231</v>
      <v>3</v>
      <v>231</v>
      <v>231</v>
      <v>231</v>
      <v>232</v>
      <v>231</v>
      <v>231</v>
      <v>232</v>
      <v>231</v>
      <v>231</v>
      <v>233</v>
      <v>6</v>
      <v>230</v>
      <v>233</v>
      <v>7</v>
      <v>231</v>
      <v>233</v>
      <v>8</v>
      <v>9</v>
      <v>10</v>
      <v>233</v>
      <v>233</v>
      <v>231</v>
      <v>233</v>
      <v>11</v>
      <v>12</v>
      <v>13</v>
      <v>14</v>
      <v>233</v>
      <v>233</v>
      <v>233</v>
      <v>233</v>
      <v>233</v>
      <v>233</v>
      <v>233</v>
      <v>233</v>
      <v>233</v>
      <v>233</v>
      <v>233</v>
      <v>15</v>
    </spb>
    <spb s="7">
      <v>2019</v>
      <v>2019</v>
      <v>square km</v>
      <v>per thousand (2018)</v>
      <v>2022</v>
      <v>2019</v>
      <v>2018</v>
      <v>per liter (2016)</v>
      <v>2019</v>
      <v>years (2018)</v>
      <v>2018</v>
      <v>per thousand (2018)</v>
      <v>2019</v>
      <v>2017</v>
      <v>2016</v>
      <v>2019</v>
      <v>2016</v>
      <v>2014</v>
      <v>kilotons per year (2016)</v>
      <v>deaths per 100,000 (2017)</v>
      <v>kWh (2014)</v>
      <v>2014</v>
      <v>2018</v>
      <v>2018</v>
      <v>2018</v>
      <v>2018</v>
      <v>2018</v>
      <v>2015</v>
      <v>2018</v>
      <v>2018</v>
      <v>2018</v>
      <v>2018</v>
      <v>2019</v>
    </spb>
    <spb s="0">
      <v xml:space="preserve">Wikipedia	Cia	travel.state.gov	</v>
      <v xml:space="preserve">CC-BY-SA			</v>
      <v xml:space="preserve">http://en.wikipedia.org/wiki/Senegal	https://www.cia.gov/library/publications/the-world-factbook/geos/sg.html?Transportation	https://travel.state.gov/content/travel/en/international-travel/International-Travel-Country-Information-Pages/Senegal.html	</v>
      <v xml:space="preserve">http://creativecommons.org/licenses/by-sa/3.0/			</v>
    </spb>
    <spb s="0">
      <v xml:space="preserve">Wikipedia	</v>
      <v xml:space="preserve">CC BY-SA 3.0	</v>
      <v xml:space="preserve">https://en.wikipedia.org/wiki/Senegal	</v>
      <v xml:space="preserve">https://creativecommons.org/licenses/by-sa/3.0	</v>
    </spb>
    <spb s="0">
      <v xml:space="preserve">Wikipedia	</v>
      <v xml:space="preserve">CC-BY-SA	</v>
      <v xml:space="preserve">http://en.wikipedia.org/wiki/Senegal	</v>
      <v xml:space="preserve">http://creativecommons.org/licenses/by-sa/3.0/	</v>
    </spb>
    <spb s="0">
      <v xml:space="preserve">Cia	</v>
      <v xml:space="preserve">	</v>
      <v xml:space="preserve">https://www.cia.gov/library/publications/the-world-factbook/geos/sg.html?Transportation	</v>
      <v xml:space="preserve">	</v>
    </spb>
    <spb s="1">
      <v>0</v>
      <v>236</v>
      <v>237</v>
      <v>237</v>
      <v>3</v>
      <v>237</v>
      <v>237</v>
      <v>237</v>
      <v>238</v>
      <v>237</v>
      <v>237</v>
      <v>238</v>
      <v>237</v>
      <v>237</v>
      <v>239</v>
      <v>6</v>
      <v>236</v>
      <v>239</v>
      <v>7</v>
      <v>237</v>
      <v>239</v>
      <v>8</v>
      <v>9</v>
      <v>10</v>
      <v>239</v>
      <v>239</v>
      <v>237</v>
      <v>239</v>
      <v>11</v>
      <v>12</v>
      <v>13</v>
      <v>14</v>
      <v>239</v>
      <v>239</v>
      <v>239</v>
      <v>239</v>
      <v>239</v>
      <v>239</v>
      <v>239</v>
      <v>239</v>
      <v>239</v>
      <v>239</v>
      <v>239</v>
      <v>15</v>
    </spb>
    <spb s="7">
      <v>2019</v>
      <v>2019</v>
      <v>square km</v>
      <v>per thousand (2018)</v>
      <v>2022</v>
      <v>2019</v>
      <v>2018</v>
      <v>per liter (2016)</v>
      <v>2019</v>
      <v>years (2018)</v>
      <v>2018</v>
      <v>per thousand (2018)</v>
      <v>2019</v>
      <v>2017</v>
      <v>2016</v>
      <v>2019</v>
      <v>2016</v>
      <v>2017</v>
      <v>kilotons per year (2016)</v>
      <v>deaths per 100,000 (2017)</v>
      <v>kWh (2014)</v>
      <v>2014</v>
      <v>2011</v>
      <v>2011</v>
      <v>2011</v>
      <v>2011</v>
      <v>2011</v>
      <v>2015</v>
      <v>2011</v>
      <v>2011</v>
      <v>2018</v>
      <v>2018</v>
      <v>2019</v>
    </spb>
    <spb s="0">
      <v xml:space="preserve">Wikipedia	Cia	travel.state.gov	</v>
      <v xml:space="preserve">CC-BY-SA			</v>
      <v xml:space="preserve">http://en.wikipedia.org/wiki/Honduras	https://www.cia.gov/library/publications/the-world-factbook/geos/ho.html?Transportation	https://travel.state.gov/content/travel/en/international-travel/International-Travel-Country-Information-Pages/Honduras.html	</v>
      <v xml:space="preserve">http://creativecommons.org/licenses/by-sa/3.0/			</v>
    </spb>
    <spb s="0">
      <v xml:space="preserve">Wikipedia	</v>
      <v xml:space="preserve">CC BY-SA 3.0	</v>
      <v xml:space="preserve">https://en.wikipedia.org/wiki/Honduras	</v>
      <v xml:space="preserve">https://creativecommons.org/licenses/by-sa/3.0	</v>
    </spb>
    <spb s="0">
      <v xml:space="preserve">Wikipedia	</v>
      <v xml:space="preserve">CC-BY-SA	</v>
      <v xml:space="preserve">http://en.wikipedia.org/wiki/Honduras	</v>
      <v xml:space="preserve">http://creativecommons.org/licenses/by-sa/3.0/	</v>
    </spb>
    <spb s="0">
      <v xml:space="preserve">Cia	</v>
      <v xml:space="preserve">	</v>
      <v xml:space="preserve">https://www.cia.gov/library/publications/the-world-factbook/geos/ho.html?Transportation	</v>
      <v xml:space="preserve">	</v>
    </spb>
    <spb s="1">
      <v>0</v>
      <v>242</v>
      <v>243</v>
      <v>243</v>
      <v>3</v>
      <v>243</v>
      <v>243</v>
      <v>243</v>
      <v>244</v>
      <v>243</v>
      <v>243</v>
      <v>244</v>
      <v>243</v>
      <v>243</v>
      <v>245</v>
      <v>6</v>
      <v>242</v>
      <v>245</v>
      <v>7</v>
      <v>243</v>
      <v>245</v>
      <v>8</v>
      <v>9</v>
      <v>10</v>
      <v>245</v>
      <v>245</v>
      <v>243</v>
      <v>245</v>
      <v>11</v>
      <v>12</v>
      <v>13</v>
      <v>14</v>
      <v>245</v>
      <v>245</v>
      <v>245</v>
      <v>245</v>
      <v>245</v>
      <v>245</v>
      <v>245</v>
      <v>245</v>
      <v>245</v>
      <v>245</v>
      <v>245</v>
      <v>15</v>
    </spb>
    <spb s="7">
      <v>2019</v>
      <v>2019</v>
      <v>square km</v>
      <v>per thousand (2018)</v>
      <v>2022</v>
      <v>2019</v>
      <v>2018</v>
      <v>per liter (2016)</v>
      <v>2019</v>
      <v>years (2018)</v>
      <v>2015</v>
      <v>per thousand (2018)</v>
      <v>2019</v>
      <v>2017</v>
      <v>2016</v>
      <v>2019</v>
      <v>2016</v>
      <v>2017</v>
      <v>kilotons per year (2016)</v>
      <v>deaths per 100,000 (2017)</v>
      <v>kWh (2014)</v>
      <v>2014</v>
      <v>2018</v>
      <v>2018</v>
      <v>2018</v>
      <v>2018</v>
      <v>2018</v>
      <v>2015</v>
      <v>2018</v>
      <v>2018</v>
      <v>2017</v>
      <v>2018</v>
      <v>2019</v>
    </spb>
    <spb s="0">
      <v xml:space="preserve">Wikipedia	Cia	travel.state.gov	</v>
      <v xml:space="preserve">CC-BY-SA			</v>
      <v xml:space="preserve">http://en.wikipedia.org/wiki/Democratic_Republic_of_the_Congo	https://www.cia.gov/library/publications/the-world-factbook/geos/cg.html?Transportation	https://travel.state.gov/content/travel/en/international-travel/International-Travel-Country-Information-Pages/DemocraticRepublicoftheCongoDRC.html	</v>
      <v xml:space="preserve">http://creativecommons.org/licenses/by-sa/3.0/			</v>
    </spb>
    <spb s="0">
      <v xml:space="preserve">Wikipedia	</v>
      <v xml:space="preserve">CC BY-SA 3.0	</v>
      <v xml:space="preserve">https://en.wikipedia.org/wiki/Democratic_Republic_of_the_Congo	</v>
      <v xml:space="preserve">https://creativecommons.org/licenses/by-sa/3.0	</v>
    </spb>
    <spb s="0">
      <v xml:space="preserve">Wikipedia	</v>
      <v xml:space="preserve">CC-BY-SA	</v>
      <v xml:space="preserve">http://en.wikipedia.org/wiki/Democratic_Republic_of_the_Congo	</v>
      <v xml:space="preserve">http://creativecommons.org/licenses/by-sa/3.0/	</v>
    </spb>
    <spb s="0">
      <v xml:space="preserve">Cia	</v>
      <v xml:space="preserve">	</v>
      <v xml:space="preserve">https://www.cia.gov/library/publications/the-world-factbook/geos/cg.html?Transportation	</v>
      <v xml:space="preserve">	</v>
    </spb>
    <spb s="1">
      <v>0</v>
      <v>248</v>
      <v>249</v>
      <v>249</v>
      <v>3</v>
      <v>249</v>
      <v>249</v>
      <v>249</v>
      <v>250</v>
      <v>249</v>
      <v>249</v>
      <v>250</v>
      <v>249</v>
      <v>249</v>
      <v>251</v>
      <v>6</v>
      <v>248</v>
      <v>251</v>
      <v>7</v>
      <v>249</v>
      <v>251</v>
      <v>8</v>
      <v>9</v>
      <v>10</v>
      <v>251</v>
      <v>251</v>
      <v>249</v>
      <v>251</v>
      <v>11</v>
      <v>12</v>
      <v>13</v>
      <v>14</v>
      <v>251</v>
      <v>251</v>
      <v>251</v>
      <v>251</v>
      <v>251</v>
      <v>251</v>
      <v>251</v>
      <v>251</v>
      <v>251</v>
      <v>251</v>
      <v>251</v>
      <v>15</v>
    </spb>
    <spb s="7">
      <v>2016</v>
      <v>2019</v>
      <v>square km</v>
      <v>per thousand (2018)</v>
      <v>2021</v>
      <v>2016</v>
      <v>2018</v>
      <v>per liter (2016)</v>
      <v>2019</v>
      <v>years (2018)</v>
      <v>1989</v>
      <v>per thousand (2018)</v>
      <v>2019</v>
      <v>2017</v>
      <v>2016</v>
      <v>2019</v>
      <v>2016</v>
      <v>2016</v>
      <v>kilotons per year (2016)</v>
      <v>deaths per 100,000 (2017)</v>
      <v>kWh (2014)</v>
      <v>2014</v>
      <v>2012</v>
      <v>2012</v>
      <v>2012</v>
      <v>2012</v>
      <v>2012</v>
      <v>2015</v>
      <v>2012</v>
      <v>2012</v>
      <v>2015</v>
      <v>2016</v>
      <v>2019</v>
    </spb>
  </spbData>
</supportingPropertyBags>
</file>

<file path=xl/richData/rdsupportingpropertybagstructure.xml><?xml version="1.0" encoding="utf-8"?>
<spbStructures xmlns="http://schemas.microsoft.com/office/spreadsheetml/2017/richdata2" count="34">
  <s>
    <k n="SourceText" t="s"/>
    <k n="LicenseText" t="s"/>
    <k n="SourceAddress" t="s"/>
    <k n="LicenseAddress"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UniqueName" t="spb"/>
    <k n="VDPID/VSID" t="spb"/>
    <k n="LearnMoreOnLink" t="spb"/>
  </s>
  <s>
    <k n="Name" t="i"/>
    <k n="Image" t="i"/>
  </s>
  <s>
    <k n="link" t="s"/>
    <k n="logo" t="s"/>
    <k n="name" t="s"/>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GDP" t="spb"/>
    <k n="Area" t="spb"/>
    <k n="Name" t="spb"/>
    <k n="Population" t="spb"/>
    <k n="UniqueName" t="spb"/>
    <k n="Description" t="spb"/>
    <k n="Calling code" t="spb"/>
    <k n="Largest city" t="spb"/>
    <k n="Minimum wage" t="spb"/>
    <k n="Currency code" t="spb"/>
    <k n="Official name" t="spb"/>
    <k n="National anthem" t="spb"/>
    <k n="Capital/Major City" t="spb"/>
  </s>
  <s>
    <k n="GDP" t="s"/>
    <k n="Area" t="s"/>
    <k n="Population" t="s"/>
  </s>
  <s>
    <k n="GDP" t="spb"/>
    <k n="Area" t="spb"/>
    <k n="Name" t="spb"/>
    <k n="Population" t="spb"/>
    <k n="UniqueName" t="spb"/>
    <k n="Description" t="spb"/>
    <k n="Calling code" t="spb"/>
    <k n="Largest city" t="spb"/>
    <k n="Currency code" t="spb"/>
    <k n="Official name" t="spb"/>
    <k n="National anthem" t="spb"/>
    <k n="Capital/Major City" t="spb"/>
    <k n="Out of pocket health expenditure (%)" t="spb"/>
  </s>
  <s>
    <k n="GDP" t="s"/>
    <k n="Area" t="s"/>
    <k n="Population" t="s"/>
    <k n="Out of pocket health expenditure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Infant mortality" t="spb"/>
    <k n="Urban population" t="spb"/>
    <k n="Armed forces size" t="spb"/>
    <k n="Unemployment rate" t="spb"/>
    <k n="Capital/Major City"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Population: Labor force participation (%)" t="spb"/>
  </s>
  <s>
    <k n="CPI" t="s"/>
    <k n="GDP" t="s"/>
    <k n="Area" t="s"/>
    <k n="Birth rate" t="s"/>
    <k n="Population" t="s"/>
    <k n="CPI Change (%)" t="s"/>
    <k n="Fertility rate" t="s"/>
    <k n="Gasoline price" t="s"/>
    <k n="Total tax rate" t="s"/>
    <k n="Life expectancy" t="s"/>
    <k n="Infant mortality" t="s"/>
    <k n="Urban population" t="s"/>
    <k n="Armed forces size" t="s"/>
    <k n="Unemployment rate"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tertiary education enrollment (%)" t="s"/>
    <k n="Population: Labor force participation (%)" t="s"/>
  </s>
  <s>
    <k n="GDP" t="spb"/>
    <k n="Area" t="spb"/>
    <k n="Name" t="spb"/>
    <k n="Birth rate" t="spb"/>
    <k n="Population" t="spb"/>
    <k n="UniqueName" t="spb"/>
    <k n="Description" t="spb"/>
    <k n="Abbreviation" t="spb"/>
    <k n="Calling code" t="spb"/>
    <k n="Largest city" t="spb"/>
    <k n="Currency code" t="spb"/>
    <k n="Official name" t="spb"/>
    <k n="Fertility rate" t="spb"/>
    <k n="Gasoline pric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Gross primary education enrollment (%)" t="spb"/>
    <k n="Gross tertiary education enrollment (%)" t="spb"/>
    <k n="Population: Labor force participation (%)" t="spb"/>
  </s>
  <s>
    <k n="GDP" t="s"/>
    <k n="Area" t="s"/>
    <k n="Birth rate" t="s"/>
    <k n="Population" t="s"/>
    <k n="Fertility rate" t="s"/>
    <k n="Gasoline pric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14" formatCode="0.00%"/>
    </x:dxf>
    <x:dxf>
      <x:numFmt numFmtId="3" formatCode="#,##0"/>
    </x:dxf>
    <x:dxf>
      <x:numFmt numFmtId="2" formatCode="0.00"/>
    </x:dxf>
    <x:dxf>
      <x:numFmt numFmtId="1" formatCode="0"/>
    </x:dxf>
    <x:dxf>
      <x:numFmt numFmtId="4" formatCode="#,##0.00"/>
    </x:dxf>
    <x:dxf>
      <x:numFmt numFmtId="0" formatCode="General"/>
    </x:dxf>
  </dxfs>
  <richProperties>
    <rPr n="IsTitleField" t="b"/>
    <rPr n="IsHeroField" t="b"/>
    <rPr n="NumberFormat" t="s"/>
  </richProperties>
  <richStyles>
    <rSty>
      <rpv i="0">1</rpv>
    </rSty>
    <rSty>
      <rpv i="1">1</rpv>
    </rSty>
    <rSty dxfid="0">
      <rpv i="2">0.0%</rpv>
    </rSty>
    <rSty dxfid="1">
      <rpv i="2">#,##0</rpv>
    </rSty>
    <rSty dxfid="2">
      <rpv i="2">0.00</rpv>
    </rSty>
    <rSty dxfid="3">
      <rpv i="2">0</rpv>
    </rSty>
    <rSty dxfid="4">
      <rpv i="2">#,##0.00</rpv>
    </rSty>
    <rSty dxfid="5">
      <rpv i="2">0.0</rpv>
    </rSty>
    <rSty dxfid="5">
      <rpv i="2">_([$$-en-US]* #,##0.00_);_([$$-en-US]* (#,##0.00);_([$$-en-US]* "-"??_);_(@_)</rpv>
    </rSty>
    <rSty dxfid="5">
      <rpv i="2">_([$$-en-US]* #,##0_);_([$$-en-US]* (#,##0);_([$$-en-US]* "-"_);_(@_)</rpv>
    </rSty>
    <rSty dxfid="0"/>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6" displayName="Table16" ref="A2:AI100" totalsRowShown="0" headerRowDxfId="154" headerRowBorderDxfId="153" tableBorderDxfId="152">
  <autoFilter ref="A2:AI100" xr:uid="{00000000-0009-0000-0100-000001000000}"/>
  <sortState xmlns:xlrd2="http://schemas.microsoft.com/office/spreadsheetml/2017/richdata2" ref="A3:AI100">
    <sortCondition ref="T2:T100"/>
  </sortState>
  <tableColumns count="35">
    <tableColumn id="1" xr3:uid="{00000000-0010-0000-0000-000001000000}" name="Programmes" dataDxfId="151"/>
    <tableColumn id="2" xr3:uid="{00000000-0010-0000-0000-000002000000}" name="Code"/>
    <tableColumn id="3" xr3:uid="{00000000-0010-0000-0000-000003000000}" name="Donor 1" dataDxfId="150"/>
    <tableColumn id="4" xr3:uid="{00000000-0010-0000-0000-000004000000}" name="Donor 2"/>
    <tableColumn id="5" xr3:uid="{00000000-0010-0000-0000-000005000000}" name="Donor 3"/>
    <tableColumn id="6" xr3:uid="{00000000-0010-0000-0000-000006000000}" name="Donor 4"/>
    <tableColumn id="7" xr3:uid="{00000000-0010-0000-0000-000007000000}" name="Main Implementer"/>
    <tableColumn id="8" xr3:uid="{00000000-0010-0000-0000-000008000000}" name="Country" dataDxfId="149"/>
    <tableColumn id="9" xr3:uid="{00000000-0010-0000-0000-000009000000}" name="Start" dataDxfId="148"/>
    <tableColumn id="10" xr3:uid="{00000000-0010-0000-0000-00000A000000}" name="End"/>
    <tableColumn id="11" xr3:uid="{00000000-0010-0000-0000-00000B000000}" name="Programme Length" dataDxfId="147">
      <calculatedColumnFormula>J3-I3</calculatedColumnFormula>
    </tableColumn>
    <tableColumn id="12" xr3:uid="{00000000-0010-0000-0000-00000C000000}" name="Sector"/>
    <tableColumn id="13" xr3:uid="{00000000-0010-0000-0000-00000D000000}" name="Primary Objective" dataDxfId="146"/>
    <tableColumn id="35" xr3:uid="{00000000-0010-0000-0000-000023000000}" name="Link to BEAM Project Page (if applicable)"/>
    <tableColumn id="14" xr3:uid="{00000000-0010-0000-0000-00000E000000}" name="Political Stability (Av. of Prog Period)" dataDxfId="145"/>
    <tableColumn id="15" xr3:uid="{00000000-0010-0000-0000-00000F000000}" name="Inflation (Av. of Prog Period)"/>
    <tableColumn id="16" xr3:uid="{00000000-0010-0000-0000-000010000000}" name="World Bank:Stable vs. FCAS" dataDxfId="144"/>
    <tableColumn id="17" xr3:uid="{00000000-0010-0000-0000-000011000000}" name="# of Beneficiaries" dataDxfId="143"/>
    <tableColumn id="18" xr3:uid="{00000000-0010-0000-0000-000012000000}" name="Beneficiary Income Generated (USD)" dataDxfId="142" dataCellStyle="Comma"/>
    <tableColumn id="19" xr3:uid="{00000000-0010-0000-0000-000013000000}" name="Cost (USD)" dataDxfId="141" dataCellStyle="Comma"/>
    <tableColumn id="20" xr3:uid="{00000000-0010-0000-0000-000014000000}" name="FTE/Jobs Created" dataDxfId="140"/>
    <tableColumn id="21" xr3:uid="{00000000-0010-0000-0000-000015000000}" name="Jobs Improved" dataDxfId="139"/>
    <tableColumn id="22" xr3:uid="{00000000-0010-0000-0000-000016000000}" name="Buinesses Engaged" dataDxfId="138"/>
    <tableColumn id="23" xr3:uid="{00000000-0010-0000-0000-000017000000}" name="Private Sector Investment (USD)"/>
    <tableColumn id="24" xr3:uid="{00000000-0010-0000-0000-000018000000}" name="Private Sector Revenues Generated (USD)" dataDxfId="137" dataCellStyle="Comma"/>
    <tableColumn id="25" xr3:uid="{00000000-0010-0000-0000-000019000000}" name="Export Value Generated (USD)" dataDxfId="136" dataCellStyle="Comma"/>
    <tableColumn id="26" xr3:uid="{00000000-0010-0000-0000-00001A000000}" name="Income per beneficiary (USD)" dataDxfId="135">
      <calculatedColumnFormula>S3/R3</calculatedColumnFormula>
    </tableColumn>
    <tableColumn id="27" xr3:uid="{00000000-0010-0000-0000-00001B000000}" name="Private Sector Investment (USD) / Project cost " dataDxfId="134" dataCellStyle="Comma">
      <calculatedColumnFormula>IF(X3&gt;0,X3/T3,"")</calculatedColumnFormula>
    </tableColumn>
    <tableColumn id="28" xr3:uid="{00000000-0010-0000-0000-00001C000000}" name="Private Sector Revenues Generated (USD) / Project cost" dataDxfId="133" dataCellStyle="Comma">
      <calculatedColumnFormula>IF(Y3&gt;0,Y3/T3,"")</calculatedColumnFormula>
    </tableColumn>
    <tableColumn id="29" xr3:uid="{00000000-0010-0000-0000-00001D000000}" name="Export Revenue Generated/Project Cost" dataDxfId="132" dataCellStyle="Comma">
      <calculatedColumnFormula>IF(Z3&gt;0,Z3/T3,"")</calculatedColumnFormula>
    </tableColumn>
    <tableColumn id="30" xr3:uid="{00000000-0010-0000-0000-00001E000000}" name="Cost (USD)/Job created" dataDxfId="131" dataCellStyle="Comma">
      <calculatedColumnFormula>IF(U3&gt;0,T3/U3,"")</calculatedColumnFormula>
    </tableColumn>
    <tableColumn id="33" xr3:uid="{00000000-0010-0000-0000-000021000000}" name="Job created per $Mn" dataDxfId="130" dataCellStyle="Comma">
      <calculatedColumnFormula>IF(T3&gt;0,U3/(T3/1000000),"")</calculatedColumnFormula>
    </tableColumn>
    <tableColumn id="31" xr3:uid="{00000000-0010-0000-0000-00001F000000}" name="Cost (USD)/Job improved" dataDxfId="129" dataCellStyle="Comma">
      <calculatedColumnFormula>IF(V3&gt;0,T3/V3,"")</calculatedColumnFormula>
    </tableColumn>
    <tableColumn id="34" xr3:uid="{00000000-0010-0000-0000-000022000000}" name="Job improved per $Mn" dataDxfId="128" dataCellStyle="Comma">
      <calculatedColumnFormula>IF(T3&gt;0,V3/(T3/1000000),"")</calculatedColumnFormula>
    </tableColumn>
    <tableColumn id="32" xr3:uid="{00000000-0010-0000-0000-000020000000}" name="Beneficiary Income (USD) / Project Cost" dataDxfId="127">
      <calculatedColumnFormula>IF(S3&gt;0,S3/T3,"")</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D94" totalsRowShown="0" headerRowBorderDxfId="126" tableBorderDxfId="125">
  <autoFilter ref="A2:D94" xr:uid="{00000000-0009-0000-0100-000002000000}"/>
  <tableColumns count="4">
    <tableColumn id="1" xr3:uid="{00000000-0010-0000-0100-000001000000}" name="Programmes Included"/>
    <tableColumn id="2" xr3:uid="{00000000-0010-0000-0100-000002000000}" name="Code" dataDxfId="124"/>
    <tableColumn id="3" xr3:uid="{00000000-0010-0000-0100-000003000000}" name="Project Page" dataDxfId="123" dataCellStyle="Hyperlink"/>
    <tableColumn id="4" xr3:uid="{00000000-0010-0000-0100-000004000000}" name="Result Count (V)" dataDxfId="122" dataCellStyle="Hyperlink"/>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F2:I36" totalsRowShown="0" headerRowBorderDxfId="121" tableBorderDxfId="120">
  <autoFilter ref="F2:I36" xr:uid="{00000000-0009-0000-0100-000003000000}"/>
  <tableColumns count="4">
    <tableColumn id="1" xr3:uid="{00000000-0010-0000-0200-000001000000}" name="Programmes Excluded" dataDxfId="119"/>
    <tableColumn id="2" xr3:uid="{00000000-0010-0000-0200-000002000000}" name="Code" dataDxfId="118"/>
    <tableColumn id="3" xr3:uid="{00000000-0010-0000-0200-000003000000}" name="Reason"/>
    <tableColumn id="4" xr3:uid="{00000000-0010-0000-0200-000004000000}" name="Project Page" dataDxfId="117" dataCellStyle="Hyperlink"/>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8" displayName="Table8" ref="A4:AA92" totalsRowShown="0" headerRowDxfId="116" headerRowBorderDxfId="115" tableBorderDxfId="114">
  <autoFilter ref="A4:AA92" xr:uid="{00000000-0009-0000-0100-000004000000}"/>
  <tableColumns count="27">
    <tableColumn id="1" xr3:uid="{00000000-0010-0000-0300-000001000000}" name="Programmes" dataDxfId="113"/>
    <tableColumn id="2" xr3:uid="{00000000-0010-0000-0300-000002000000}" name="Code" dataDxfId="112"/>
    <tableColumn id="3" xr3:uid="{00000000-0010-0000-0300-000003000000}" name="Donor 1" dataDxfId="111"/>
    <tableColumn id="4" xr3:uid="{00000000-0010-0000-0300-000004000000}" name="Donor 2" dataDxfId="110"/>
    <tableColumn id="5" xr3:uid="{00000000-0010-0000-0300-000005000000}" name="Donor 3" dataDxfId="109"/>
    <tableColumn id="6" xr3:uid="{00000000-0010-0000-0300-000006000000}" name="Donor 4" dataDxfId="108"/>
    <tableColumn id="7" xr3:uid="{00000000-0010-0000-0300-000007000000}" name="Main Implementer" dataDxfId="107"/>
    <tableColumn id="8" xr3:uid="{00000000-0010-0000-0300-000008000000}" name="Country" dataDxfId="106"/>
    <tableColumn id="10" xr3:uid="{00000000-0010-0000-0300-00000A000000}" name="Start" dataDxfId="105"/>
    <tableColumn id="11" xr3:uid="{00000000-0010-0000-0300-00000B000000}" name="End" dataDxfId="104"/>
    <tableColumn id="12" xr3:uid="{00000000-0010-0000-0300-00000C000000}" name="Programme Length" dataDxfId="103">
      <calculatedColumnFormula>J5-I5</calculatedColumnFormula>
    </tableColumn>
    <tableColumn id="13" xr3:uid="{00000000-0010-0000-0300-00000D000000}" name="Sector" dataDxfId="102"/>
    <tableColumn id="14" xr3:uid="{00000000-0010-0000-0300-00000E000000}" name="Primary Objective" dataDxfId="101"/>
    <tableColumn id="22" xr3:uid="{00000000-0010-0000-0300-000016000000}" name="Income per beneficiary (USD)" dataDxfId="100"/>
    <tableColumn id="39" xr3:uid="{00000000-0010-0000-0300-000027000000}" name="Private Sector Investment (USD) / Project cost " dataDxfId="99"/>
    <tableColumn id="21" xr3:uid="{00000000-0010-0000-0300-000015000000}" name="Private Sector Revenues Generated (USD) / Project cost" dataDxfId="98"/>
    <tableColumn id="20" xr3:uid="{00000000-0010-0000-0300-000014000000}" name="Export Revenue Generated (USD) /Project Cost" dataDxfId="97"/>
    <tableColumn id="24" xr3:uid="{00000000-0010-0000-0300-000018000000}" name="Cost (USD)/Job created" dataDxfId="96"/>
    <tableColumn id="23" xr3:uid="{00000000-0010-0000-0300-000017000000}" name="Cost (USD)/Job improved" dataDxfId="95"/>
    <tableColumn id="19" xr3:uid="{00000000-0010-0000-0300-000013000000}" name="Beneficiary Income (USD) / Project Cost" dataDxfId="94"/>
    <tableColumn id="44" xr3:uid="{00000000-0010-0000-0300-00002C000000}" name="FCAS Status" dataDxfId="93"/>
    <tableColumn id="40" xr3:uid="{00000000-0010-0000-0300-000028000000}" name="Country Income Level" dataDxfId="92"/>
    <tableColumn id="15" xr3:uid="{00000000-0010-0000-0300-00000F000000}" name="Political Stability (Av. of Prog Period)" dataDxfId="91">
      <calculatedColumnFormula>'VfM MSD Mastersheet'!#REF!</calculatedColumnFormula>
    </tableColumn>
    <tableColumn id="16" xr3:uid="{00000000-0010-0000-0300-000010000000}" name="Quntiles" dataDxfId="90">
      <calculatedColumnFormula array="1">_xlfn.IFS(
W5&lt;= $AO$5, "1st Quintile (Lowest)",
W5&lt;= $AP$5, "2nd Quintile (Median)",
W5&lt;= $AQ$5, "3rd Quintile",
TRUE, "Above 3rd Quintile"
)</calculatedColumnFormula>
    </tableColumn>
    <tableColumn id="17" xr3:uid="{00000000-0010-0000-0300-000011000000}" name="Inflation (Av. of Prog Period)" dataDxfId="89">
      <calculatedColumnFormula>'VfM MSD Mastersheet'!#REF!</calculatedColumnFormula>
    </tableColumn>
    <tableColumn id="18" xr3:uid="{00000000-0010-0000-0300-000012000000}" name="Quntiles2" dataDxfId="88">
      <calculatedColumnFormula array="1">_xlfn.IFS(
Y5&lt;= $AO$6, "1st Quintile (Lowest)",
Y5&lt;= $AP$6, "2nd Quintile (Median)",
Y5&lt;= $AQ$6, "3rd Quintile",
TRUE, "Above 3rd Quintile"
)</calculatedColumnFormula>
    </tableColumn>
    <tableColumn id="43" xr3:uid="{00000000-0010-0000-0300-00002B000000}" name="Grouping" dataDxfId="87"/>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9" displayName="Table9" ref="A2:AH88" totalsRowShown="0" headerRowDxfId="86" headerRowBorderDxfId="85" tableBorderDxfId="84">
  <autoFilter ref="A2:AH88" xr:uid="{00000000-0009-0000-0100-000005000000}"/>
  <sortState xmlns:xlrd2="http://schemas.microsoft.com/office/spreadsheetml/2017/richdata2" ref="A3:AH88">
    <sortCondition ref="N2:N88"/>
  </sortState>
  <tableColumns count="34">
    <tableColumn id="1" xr3:uid="{00000000-0010-0000-0400-000001000000}" name="Programmes" dataDxfId="83"/>
    <tableColumn id="2" xr3:uid="{00000000-0010-0000-0400-000002000000}" name="Code" dataDxfId="82"/>
    <tableColumn id="3" xr3:uid="{00000000-0010-0000-0400-000003000000}" name="Donor 1" dataDxfId="81"/>
    <tableColumn id="4" xr3:uid="{00000000-0010-0000-0400-000004000000}" name="Donor 2" dataDxfId="80"/>
    <tableColumn id="5" xr3:uid="{00000000-0010-0000-0400-000005000000}" name="Donor 3" dataDxfId="79"/>
    <tableColumn id="6" xr3:uid="{00000000-0010-0000-0400-000006000000}" name="Donor 4" dataDxfId="78"/>
    <tableColumn id="7" xr3:uid="{00000000-0010-0000-0400-000007000000}" name="Main Implementer" dataDxfId="77"/>
    <tableColumn id="8" xr3:uid="{00000000-0010-0000-0400-000008000000}" name="Country" dataDxfId="76"/>
    <tableColumn id="10" xr3:uid="{00000000-0010-0000-0400-00000A000000}" name="Start" dataDxfId="75"/>
    <tableColumn id="11" xr3:uid="{00000000-0010-0000-0400-00000B000000}" name="End" dataDxfId="74"/>
    <tableColumn id="12" xr3:uid="{00000000-0010-0000-0400-00000C000000}" name="Programme Length" dataDxfId="73">
      <calculatedColumnFormula>J3-I3</calculatedColumnFormula>
    </tableColumn>
    <tableColumn id="13" xr3:uid="{00000000-0010-0000-0400-00000D000000}" name="Sector" dataDxfId="72"/>
    <tableColumn id="14" xr3:uid="{00000000-0010-0000-0400-00000E000000}" name="Primary Objective" dataDxfId="71"/>
    <tableColumn id="28" xr3:uid="{00000000-0010-0000-0400-00001C000000}" name="Cost (USD)" dataDxfId="70" dataCellStyle="Currency"/>
    <tableColumn id="30" xr3:uid="{00000000-0010-0000-0400-00001E000000}" name="Cost (USD)/Year" dataDxfId="69" dataCellStyle="Currency">
      <calculatedColumnFormula>Table9[[#This Row],[Cost (USD)]]/Table9[[#This Row],[Programme Length]]</calculatedColumnFormula>
    </tableColumn>
    <tableColumn id="29" xr3:uid="{00000000-0010-0000-0400-00001D000000}" name="Cost Quartiles" dataDxfId="68">
      <calculatedColumnFormula array="1">IF(N3=0,"N/A",
_xlfn.IFS(
N3&lt;=$BC$6,"1st Quartile (Lowest 25%)",
N3&lt;=$BD$6,"2nd Quartile (25–50%)",
N3&lt;=$BE$6,"3rd Quartile (50–75%)",
TRUE,"4th Quartile (Highest 25%)"
))</calculatedColumnFormula>
    </tableColumn>
    <tableColumn id="22" xr3:uid="{00000000-0010-0000-0400-000016000000}" name="Income per beneficiary (USD)" dataDxfId="67"/>
    <tableColumn id="27" xr3:uid="{00000000-0010-0000-0400-00001B000000}" name="Normalised Income Impact Ratio" dataDxfId="66">
      <calculatedColumnFormula>IFERROR(Q3/AC3,"")</calculatedColumnFormula>
    </tableColumn>
    <tableColumn id="39" xr3:uid="{00000000-0010-0000-0400-000027000000}" name="Private Sector Investment (USD) / Project cost " dataDxfId="65"/>
    <tableColumn id="21" xr3:uid="{00000000-0010-0000-0400-000015000000}" name="Private Sector Revenues Generated (USD) / Project cost" dataDxfId="64"/>
    <tableColumn id="20" xr3:uid="{00000000-0010-0000-0400-000014000000}" name="Export Revenue Generated (USD) /Project Cost" dataDxfId="63"/>
    <tableColumn id="24" xr3:uid="{00000000-0010-0000-0400-000018000000}" name="Cost (USD)/Job created" dataDxfId="62"/>
    <tableColumn id="9" xr3:uid="{00000000-0010-0000-0400-000009000000}" name="Job created per $Mn" dataDxfId="61"/>
    <tableColumn id="23" xr3:uid="{00000000-0010-0000-0400-000017000000}" name="Cost (USD)/Job improved" dataDxfId="60"/>
    <tableColumn id="25" xr3:uid="{00000000-0010-0000-0400-000019000000}" name="Job improved per $Mn" dataDxfId="59"/>
    <tableColumn id="19" xr3:uid="{00000000-0010-0000-0400-000013000000}" name="Beneficiary Income (USD) / Project Cost" dataDxfId="58"/>
    <tableColumn id="44" xr3:uid="{00000000-0010-0000-0400-00002C000000}" name="FCAS Status" dataDxfId="57"/>
    <tableColumn id="40" xr3:uid="{00000000-0010-0000-0400-000028000000}" name="Country Income Level" dataDxfId="56"/>
    <tableColumn id="26" xr3:uid="{00000000-0010-0000-0400-00001A000000}" name="GDP per capita (PPP)" dataDxfId="55" dataCellStyle="Currency"/>
    <tableColumn id="15" xr3:uid="{00000000-0010-0000-0400-00000F000000}" name="Political Stability (Av. of Prog Period)" dataDxfId="54">
      <calculatedColumnFormula>'VfM MSD Mastersheet'!#REF!</calculatedColumnFormula>
    </tableColumn>
    <tableColumn id="16" xr3:uid="{00000000-0010-0000-0400-000010000000}" name="Political Stability - Quntiles" dataDxfId="53">
      <calculatedColumnFormula array="1">_xlfn.IFS(
AD3&lt;= $BC$3, "1st Quintile (Lowest)",
AD3&lt;= $BD$3, "2nd Quintile (Median)",
AD3&lt;= $BE$3, "3rd Quintile",
TRUE, "Above 3rd Quintile"
)</calculatedColumnFormula>
    </tableColumn>
    <tableColumn id="17" xr3:uid="{00000000-0010-0000-0400-000011000000}" name="Inflation (Av. of Prog Period)" dataDxfId="52">
      <calculatedColumnFormula>'VfM MSD Mastersheet'!#REF!</calculatedColumnFormula>
    </tableColumn>
    <tableColumn id="18" xr3:uid="{00000000-0010-0000-0400-000012000000}" name="Inflation - Quntiles" dataDxfId="51">
      <calculatedColumnFormula array="1">_xlfn.IFS(
AF3&lt;= $BC$4, "1st Quintile (Lowest)",
AF3&lt;= $BD$4, "2nd Quintile (Median)",
AF3&lt;= $BE$4, "3rd Quintile",
TRUE, "Above 3rd Quintile"
)</calculatedColumnFormula>
    </tableColumn>
    <tableColumn id="43" xr3:uid="{00000000-0010-0000-0400-00002B000000}" name="Grouping" dataDxfId="50"/>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1" displayName="Table1" ref="A4:AF65" totalsRowShown="0" headerRowBorderDxfId="49" tableBorderDxfId="48">
  <autoFilter ref="A4:AF65" xr:uid="{00000000-0009-0000-0100-000006000000}"/>
  <tableColumns count="32">
    <tableColumn id="1" xr3:uid="{00000000-0010-0000-0500-000001000000}" name="Programmes" dataDxfId="47"/>
    <tableColumn id="2" xr3:uid="{00000000-0010-0000-0500-000002000000}" name="Code"/>
    <tableColumn id="3" xr3:uid="{00000000-0010-0000-0500-000003000000}" name="Donor 1" dataDxfId="46"/>
    <tableColumn id="4" xr3:uid="{00000000-0010-0000-0500-000004000000}" name="Donor 2"/>
    <tableColumn id="5" xr3:uid="{00000000-0010-0000-0500-000005000000}" name="Donor 3"/>
    <tableColumn id="6" xr3:uid="{00000000-0010-0000-0500-000006000000}" name="Donor 4"/>
    <tableColumn id="7" xr3:uid="{00000000-0010-0000-0500-000007000000}" name="Main Implementer"/>
    <tableColumn id="8" xr3:uid="{00000000-0010-0000-0500-000008000000}" name="Country"/>
    <tableColumn id="9" xr3:uid="{00000000-0010-0000-0500-000009000000}" name="Start"/>
    <tableColumn id="10" xr3:uid="{00000000-0010-0000-0500-00000A000000}" name="End"/>
    <tableColumn id="11" xr3:uid="{00000000-0010-0000-0500-00000B000000}" name="Programme Length">
      <calculatedColumnFormula>J5-I5+1</calculatedColumnFormula>
    </tableColumn>
    <tableColumn id="12" xr3:uid="{00000000-0010-0000-0500-00000C000000}" name="Sector"/>
    <tableColumn id="13" xr3:uid="{00000000-0010-0000-0500-00000D000000}" name="Primary Objective" dataDxfId="45"/>
    <tableColumn id="14" xr3:uid="{00000000-0010-0000-0500-00000E000000}" name="Political Stability (Av. of Prog Period)" dataDxfId="44"/>
    <tableColumn id="15" xr3:uid="{00000000-0010-0000-0500-00000F000000}" name="Inflation (Av. of Prog Period)"/>
    <tableColumn id="16" xr3:uid="{00000000-0010-0000-0500-000010000000}" name="World Bank:Stable vs. FCAS" dataDxfId="43"/>
    <tableColumn id="17" xr3:uid="{00000000-0010-0000-0500-000011000000}" name="No. Beneficiaries" dataDxfId="42"/>
    <tableColumn id="18" xr3:uid="{00000000-0010-0000-0500-000012000000}" name="Beneficiary Income Generated (USD)" dataDxfId="41" dataCellStyle="Comma"/>
    <tableColumn id="19" xr3:uid="{00000000-0010-0000-0500-000013000000}" name="Cost (USD)" dataDxfId="40" dataCellStyle="Comma"/>
    <tableColumn id="20" xr3:uid="{00000000-0010-0000-0500-000014000000}" name="FTE/Jobs Created" dataDxfId="39"/>
    <tableColumn id="21" xr3:uid="{00000000-0010-0000-0500-000015000000}" name="Jobs Improved" dataDxfId="38"/>
    <tableColumn id="22" xr3:uid="{00000000-0010-0000-0500-000016000000}" name="Buinesses Engaged" dataDxfId="37"/>
    <tableColumn id="23" xr3:uid="{00000000-0010-0000-0500-000017000000}" name="Private Sector Investment (USD)"/>
    <tableColumn id="24" xr3:uid="{00000000-0010-0000-0500-000018000000}" name="Private Sector Revenues Generated (USD)" dataDxfId="36" dataCellStyle="Comma"/>
    <tableColumn id="25" xr3:uid="{00000000-0010-0000-0500-000019000000}" name="Export value generated (USD)" dataDxfId="35" dataCellStyle="Comma"/>
    <tableColumn id="26" xr3:uid="{00000000-0010-0000-0500-00001A000000}" name="Income per beneficiary (USD)" dataDxfId="34">
      <calculatedColumnFormula>R5/Q5</calculatedColumnFormula>
    </tableColumn>
    <tableColumn id="27" xr3:uid="{00000000-0010-0000-0500-00001B000000}" name="Private Sector Investment (USD) / Project cost " dataDxfId="33" dataCellStyle="Comma">
      <calculatedColumnFormula>IF(W5&gt;0,W5/S5,"")</calculatedColumnFormula>
    </tableColumn>
    <tableColumn id="28" xr3:uid="{00000000-0010-0000-0500-00001C000000}" name="Private Sector Revenues Generated (USD) / Project cost" dataDxfId="32" dataCellStyle="Comma">
      <calculatedColumnFormula>IF(X5&gt;0,X5/S5,"")</calculatedColumnFormula>
    </tableColumn>
    <tableColumn id="29" xr3:uid="{00000000-0010-0000-0500-00001D000000}" name="Export revenue generated/Project Cost" dataDxfId="31" dataCellStyle="Comma">
      <calculatedColumnFormula>IF(Y5&gt;0,Y5/S5,"")</calculatedColumnFormula>
    </tableColumn>
    <tableColumn id="30" xr3:uid="{00000000-0010-0000-0500-00001E000000}" name="Cost (USD)/Job created" dataDxfId="30" dataCellStyle="Comma">
      <calculatedColumnFormula>IF(T5&gt;0,S5/T5,"")</calculatedColumnFormula>
    </tableColumn>
    <tableColumn id="31" xr3:uid="{00000000-0010-0000-0500-00001F000000}" name="Cost (USD)/Job improved" dataDxfId="29" dataCellStyle="Comma">
      <calculatedColumnFormula>IF(U5&gt;0,S5/U5,"")</calculatedColumnFormula>
    </tableColumn>
    <tableColumn id="32" xr3:uid="{00000000-0010-0000-0500-000020000000}" name="Beneficiary Income (USD) / Project Cost" dataDxfId="28">
      <calculatedColumnFormula>IF(R5&gt;0,R5/S5,"")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57" dT="2026-03-25T13:08:24.23" personId="{B6392E51-32DA-4DAC-9A6D-7C48C413078D}" id="{62FB723E-1209-4513-A5B5-CBF81443D962}">
    <text>Not in refugee setting</text>
  </threadedComment>
  <threadedComment ref="H66" dT="2026-02-05T15:06:24.60" personId="{90531FD9-50C3-4336-9830-2FAB368C2B2F}" id="{7132F43F-5925-4D2E-AC7A-8B9C31367B40}">
    <text>Operated in refugee environments</text>
  </threadedComment>
  <threadedComment ref="H73" dT="2026-03-25T13:08:24.23" personId="{B6392E51-32DA-4DAC-9A6D-7C48C413078D}" id="{8DE5E050-A2BC-40C3-A4D6-CC032890D8FD}">
    <text>Not in refugee setting</text>
  </threadedComment>
  <threadedComment ref="H83" dT="2026-03-25T16:17:54.62" personId="{B6392E51-32DA-4DAC-9A6D-7C48C413078D}" id="{ED0528E3-B559-4A91-A95B-F1AE60E6330F}">
    <text>Note: Operated in northeast Nigeria (Borno, Adamawa, Yobe, and Gombe States as well as the expansion states of Benue, Kebbi, Ebonyi, Niger and FCT)where humanitarian crisis still takes place.</text>
  </threadedComment>
</ThreadedComments>
</file>

<file path=xl/threadedComments/threadedComment2.xml><?xml version="1.0" encoding="utf-8"?>
<ThreadedComments xmlns="http://schemas.microsoft.com/office/spreadsheetml/2018/threadedcomments" xmlns:x="http://schemas.openxmlformats.org/spreadsheetml/2006/main">
  <threadedComment ref="AH50" dT="2026-06-15T14:27:43.27" personId="{B6392E51-32DA-4DAC-9A6D-7C48C413078D}" id="{AB2B85EC-8A99-404D-AC58-605ED8CE278C}">
    <text>No available inflation data, but based on the automated grouping logics, it’s classified under Group 2B.</text>
  </threadedComment>
  <threadedComment ref="H52" dT="2026-03-25T13:08:24.23" personId="{B6392E51-32DA-4DAC-9A6D-7C48C413078D}" id="{D0FA7E5E-2771-461A-919D-0CB4140C4799}">
    <text>Not in refugee setting</text>
  </threadedComment>
  <threadedComment ref="H61" dT="2026-02-05T15:06:24.60" personId="{90531FD9-50C3-4336-9830-2FAB368C2B2F}" id="{299C71AF-06F4-42E3-8D4D-28840AFC6A85}">
    <text>Note: Operated in refugee environments</text>
  </threadedComment>
  <threadedComment ref="AH65" dT="2026-06-15T14:26:30.51" personId="{B6392E51-32DA-4DAC-9A6D-7C48C413078D}" id="{9F0D19C6-BFAB-41BF-8D0B-8F2DA0807572}">
    <text>No available data but based on research, Palestine should be classified as Group 1.</text>
  </threadedComment>
  <threadedComment ref="H67" dT="2026-03-25T13:08:24.23" personId="{B6392E51-32DA-4DAC-9A6D-7C48C413078D}" id="{359CB2CB-DFB9-411D-B3C4-F23EA82BC863}">
    <text>Not in refugee setting</text>
  </threadedComment>
  <threadedComment ref="H73" dT="2026-03-25T16:17:54.62" personId="{B6392E51-32DA-4DAC-9A6D-7C48C413078D}" id="{8CB3263E-39F6-4C11-947C-34B73512A15F}">
    <text>Note: Operated in northeast Nigeria (Borno, Adamawa, Yobe, and Gombe States as well as the expansion states of Benue, Kebbi, Ebonyi, Niger and FCT)where humanitarian crisis still takes place.</text>
  </threadedComment>
</ThreadedComments>
</file>

<file path=xl/threadedComments/threadedComment3.xml><?xml version="1.0" encoding="utf-8"?>
<ThreadedComments xmlns="http://schemas.microsoft.com/office/spreadsheetml/2018/threadedcomments" xmlns:x="http://schemas.openxmlformats.org/spreadsheetml/2006/main">
  <threadedComment ref="A8" dT="2026-06-15T14:35:21.17" personId="{B6392E51-32DA-4DAC-9A6D-7C48C413078D}" id="{156C277D-49BC-4F58-93AB-6006620B1D8C}">
    <text>For ease of interpretation and analysis: 
1. Group 1 = Politically and macroeconomically constrained
2. Group 2A: Politically constrained only
3. Group 2B: Macroeconomically constrained only
4. Group 3: Stable</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beamexchange.org/implement/programme-index/nu-tec-northern-uganda-transforming-the-economy-through-climate-smart-agriculture/" TargetMode="External"/><Relationship Id="rId21" Type="http://schemas.openxmlformats.org/officeDocument/2006/relationships/hyperlink" Target="https://beamexchange.org/implement/programme-index/pave-partnerships-and-value-expansion-for-seed-systems-in-phase-1/" TargetMode="External"/><Relationship Id="rId34" Type="http://schemas.openxmlformats.org/officeDocument/2006/relationships/hyperlink" Target="https://beamexchange.org/implement/programme-index/%C3%A9lan-rdc/" TargetMode="External"/><Relationship Id="rId42" Type="http://schemas.openxmlformats.org/officeDocument/2006/relationships/hyperlink" Target="https://beamexchange.org/implement/programme-index/moli-market-opportunities-for-livelihood-improvement-phase-2/" TargetMode="External"/><Relationship Id="rId47" Type="http://schemas.openxmlformats.org/officeDocument/2006/relationships/hyperlink" Target="https://beamexchange.org/implement/programme-index/ppse-promoting-private-sector-employment/" TargetMode="External"/><Relationship Id="rId50" Type="http://schemas.openxmlformats.org/officeDocument/2006/relationships/hyperlink" Target="https://beamexchange.org/implement/programme-index/lead-livelihood-enhancement-through-agricultural-development/" TargetMode="External"/><Relationship Id="rId55" Type="http://schemas.openxmlformats.org/officeDocument/2006/relationships/hyperlink" Target="https://beamexchange.org/implement/programme-index/bif-2-business-innovation-facility-phase-2/" TargetMode="External"/><Relationship Id="rId63" Type="http://schemas.openxmlformats.org/officeDocument/2006/relationships/vmlDrawing" Target="../drawings/vmlDrawing1.vml"/><Relationship Id="rId7" Type="http://schemas.openxmlformats.org/officeDocument/2006/relationships/hyperlink" Target="https://beamexchange.org/implement/programme-index/imsar-improving-market-systems-for-agriculture-in-rwanda/" TargetMode="External"/><Relationship Id="rId2" Type="http://schemas.openxmlformats.org/officeDocument/2006/relationships/hyperlink" Target="https://beamexchange.org/implement/programme-index/foresite-food-security-and-resilience-in-transitioning-environments/" TargetMode="External"/><Relationship Id="rId16" Type="http://schemas.openxmlformats.org/officeDocument/2006/relationships/hyperlink" Target="https://beamexchange.org/implement/programme-index/pims-promoting-inclusive-markets-in-somalia/" TargetMode="External"/><Relationship Id="rId29" Type="http://schemas.openxmlformats.org/officeDocument/2006/relationships/hyperlink" Target="https://beamexchange.org/implement/programme-index/cidc-alliances-for-coconut-industry-development-for-the-caribbean/" TargetMode="External"/><Relationship Id="rId11" Type="http://schemas.openxmlformats.org/officeDocument/2006/relationships/hyperlink" Target="https://beamexchange.org/implement/programme-index/enterprise-partners-part-of-private-enterprise-programme-ethiopia-pepe/" TargetMode="External"/><Relationship Id="rId24" Type="http://schemas.openxmlformats.org/officeDocument/2006/relationships/hyperlink" Target="https://beamexchange.org/implement/programme-index/katalyst-phase-1/" TargetMode="External"/><Relationship Id="rId32" Type="http://schemas.openxmlformats.org/officeDocument/2006/relationships/hyperlink" Target="https://beamexchange.org/implement/programme-index/namdp-sahaj-nepal-agricultural-market-development-programme-phase-1/" TargetMode="External"/><Relationship Id="rId37" Type="http://schemas.openxmlformats.org/officeDocument/2006/relationships/hyperlink" Target="https://beamexchange.org/implement/programme-index/propcom-mai-karfi/" TargetMode="External"/><Relationship Id="rId40" Type="http://schemas.openxmlformats.org/officeDocument/2006/relationships/hyperlink" Target="https://beamexchange.org/implement/programme-index/hilando-culturas-spinning-cultures/" TargetMode="External"/><Relationship Id="rId45" Type="http://schemas.openxmlformats.org/officeDocument/2006/relationships/hyperlink" Target="https://beamexchange.org/implement/programme-index/kmap-kenya-market-assistance-programme/" TargetMode="External"/><Relationship Id="rId53" Type="http://schemas.openxmlformats.org/officeDocument/2006/relationships/hyperlink" Target="https://beamexchange.org/implement/programme-index/ag-inputs-agricultural-inputs-activity/" TargetMode="External"/><Relationship Id="rId58" Type="http://schemas.openxmlformats.org/officeDocument/2006/relationships/hyperlink" Target="https://beamexchange.org/implement/programme-index/orora-wihaze/" TargetMode="External"/><Relationship Id="rId66" Type="http://schemas.microsoft.com/office/2017/10/relationships/threadedComment" Target="../threadedComments/threadedComment1.xml"/><Relationship Id="rId5" Type="http://schemas.openxmlformats.org/officeDocument/2006/relationships/hyperlink" Target="https://beamexchange.org/implement/programme-index/eye-enhancing-youth-employment-phase-2/" TargetMode="External"/><Relationship Id="rId61" Type="http://schemas.openxmlformats.org/officeDocument/2006/relationships/hyperlink" Target="https://beamexchange.org/implement/programme-index/avc-hvc-afghanistan-value-chains-high-value-crops/" TargetMode="External"/><Relationship Id="rId19" Type="http://schemas.openxmlformats.org/officeDocument/2006/relationships/hyperlink" Target="https://beamexchange.org/implement/programme-index/r2j-road-to-jobs/" TargetMode="External"/><Relationship Id="rId14" Type="http://schemas.openxmlformats.org/officeDocument/2006/relationships/hyperlink" Target="https://beamexchange.org/implement/programme-index/made-market-development-in-the-niger-delta-phases-i-and-ii/" TargetMode="External"/><Relationship Id="rId22" Type="http://schemas.openxmlformats.org/officeDocument/2006/relationships/hyperlink" Target="https://beamexchange.org/implement/programme-index/prime-pastoralist-areas-resilience-improvement-through-market-expansion/" TargetMode="External"/><Relationship Id="rId27" Type="http://schemas.openxmlformats.org/officeDocument/2006/relationships/hyperlink" Target="https://beamexchange.org/implement/programme-index/mdf-market-development-facility-phase-1/" TargetMode="External"/><Relationship Id="rId30" Type="http://schemas.openxmlformats.org/officeDocument/2006/relationships/hyperlink" Target="https://beamexchange.org/implement/programme-index/pmdp-palestinian-market-development-programme/" TargetMode="External"/><Relationship Id="rId35" Type="http://schemas.openxmlformats.org/officeDocument/2006/relationships/hyperlink" Target="https://beamexchange.org/implement/programme-index/soba-sierra-leone-opportunities-for-business-action/" TargetMode="External"/><Relationship Id="rId43" Type="http://schemas.openxmlformats.org/officeDocument/2006/relationships/hyperlink" Target="https://beamexchange.org/implement/programme-index/avc-agricultural-value-chains-activity/" TargetMode="External"/><Relationship Id="rId48" Type="http://schemas.openxmlformats.org/officeDocument/2006/relationships/hyperlink" Target="https://beamexchange.org/implement/programme-index/marketmakers/" TargetMode="External"/><Relationship Id="rId56" Type="http://schemas.openxmlformats.org/officeDocument/2006/relationships/hyperlink" Target="https://beamexchange.org/implement/programme-index/alcp-alliances-caucasus-programme/" TargetMode="External"/><Relationship Id="rId64" Type="http://schemas.openxmlformats.org/officeDocument/2006/relationships/table" Target="../tables/table1.xml"/><Relationship Id="rId8" Type="http://schemas.openxmlformats.org/officeDocument/2006/relationships/hyperlink" Target="https://beamexchange.org/implement/programme-index/sdvc-bangladesh-strengthening-the-dairy-value-chain/" TargetMode="External"/><Relationship Id="rId51" Type="http://schemas.openxmlformats.org/officeDocument/2006/relationships/hyperlink" Target="https://beamexchange.org/implement/programme-index/ime-increasing-market-employability/" TargetMode="External"/><Relationship Id="rId3" Type="http://schemas.openxmlformats.org/officeDocument/2006/relationships/hyperlink" Target="https://beamexchange.org/implement/programme-index/construya-peru-construcci%C3%B3n-segura-saludable-y-sostenible-en-sectores-urbanos-vulnerables/" TargetMode="External"/><Relationship Id="rId12" Type="http://schemas.openxmlformats.org/officeDocument/2006/relationships/hyperlink" Target="https://beamexchange.org/implement/programme-index/stars-strengthening-african-rural-smallholders/" TargetMode="External"/><Relationship Id="rId17" Type="http://schemas.openxmlformats.org/officeDocument/2006/relationships/hyperlink" Target="https://beamexchange.org/implement/programme-index/prisma-promoting-rural-incomes-through-support-for-markets-in-agriculture/" TargetMode="External"/><Relationship Id="rId25" Type="http://schemas.openxmlformats.org/officeDocument/2006/relationships/hyperlink" Target="https://beamexchange.org/implement/programme-index/katalyst-phase-2/" TargetMode="External"/><Relationship Id="rId33" Type="http://schemas.openxmlformats.org/officeDocument/2006/relationships/hyperlink" Target="https://beamexchange.org/implement/programme-index/namdp-sahaj-nepal-agricultural-market-development-programme-phase-2/" TargetMode="External"/><Relationship Id="rId38" Type="http://schemas.openxmlformats.org/officeDocument/2006/relationships/hyperlink" Target="https://beamexchange.org/implement/programme-index/eela-energy-efficiency-in-brick-kilns-in-latin-america/" TargetMode="External"/><Relationship Id="rId46" Type="http://schemas.openxmlformats.org/officeDocument/2006/relationships/hyperlink" Target="https://beamexchange.org/implement/programme-index/zgjp-zambia-green-jobs-programme/" TargetMode="External"/><Relationship Id="rId59" Type="http://schemas.openxmlformats.org/officeDocument/2006/relationships/hyperlink" Target="https://beamexchange.org/implement/programme-index/tms-transforming-market-systems-activity/" TargetMode="External"/><Relationship Id="rId20" Type="http://schemas.openxmlformats.org/officeDocument/2006/relationships/hyperlink" Target="https://beamexchange.org/implement/programme-index/moringa-more-income-generated-for-poor-families-in-indonesia/" TargetMode="External"/><Relationship Id="rId41" Type="http://schemas.openxmlformats.org/officeDocument/2006/relationships/hyperlink" Target="https://beamexchange.org/implement/programme-index/yapasa-youth-in-agribusiness/" TargetMode="External"/><Relationship Id="rId54" Type="http://schemas.openxmlformats.org/officeDocument/2006/relationships/hyperlink" Target="https://beamexchange.org/implement/programme-index/grow-liberia/" TargetMode="External"/><Relationship Id="rId62" Type="http://schemas.openxmlformats.org/officeDocument/2006/relationships/hyperlink" Target="https://beamexchange.org/implement/programme-index/musika-making-agricultural-markets-work-for-zambia/" TargetMode="External"/><Relationship Id="rId1" Type="http://schemas.openxmlformats.org/officeDocument/2006/relationships/hyperlink" Target="https://beamexchange.org/implement/programme-index/chain-cambodia-horticulture-advancing-income-nutrition/" TargetMode="External"/><Relationship Id="rId6" Type="http://schemas.openxmlformats.org/officeDocument/2006/relationships/hyperlink" Target="https://beamexchange.org/implement/programme-index/eye-enhancing-youth-employment-phase-3/" TargetMode="External"/><Relationship Id="rId15" Type="http://schemas.openxmlformats.org/officeDocument/2006/relationships/hyperlink" Target="https://beamexchange.org/implement/programme-index/inovagro-innovation-for-agribusiness/" TargetMode="External"/><Relationship Id="rId23" Type="http://schemas.openxmlformats.org/officeDocument/2006/relationships/hyperlink" Target="https://beamexchange.org/implement/programme-index/shomoshti-prosperity-for-the-poor-and-disadvantaged-phase-2/" TargetMode="External"/><Relationship Id="rId28" Type="http://schemas.openxmlformats.org/officeDocument/2006/relationships/hyperlink" Target="https://beamexchange.org/implement/programme-index/mdf-market-development-facility-phase-2/" TargetMode="External"/><Relationship Id="rId36" Type="http://schemas.openxmlformats.org/officeDocument/2006/relationships/hyperlink" Target="https://beamexchange.org/implement/programme-index/m-sawa-maendeleo-sawa/" TargetMode="External"/><Relationship Id="rId49" Type="http://schemas.openxmlformats.org/officeDocument/2006/relationships/hyperlink" Target="https://beamexchange.org/implement/programme-index/m4c-making-markets-work-for-the-jamuna-padma-and-teesta-chars/" TargetMode="External"/><Relationship Id="rId57" Type="http://schemas.openxmlformats.org/officeDocument/2006/relationships/hyperlink" Target="https://beamexchange.org/implement/programme-index/made-market-development-for-northern-ghana/" TargetMode="External"/><Relationship Id="rId10" Type="http://schemas.openxmlformats.org/officeDocument/2006/relationships/hyperlink" Target="https://beamexchange.org/implement/programme-index/pepz-private-enterprise-programme-zambia/" TargetMode="External"/><Relationship Id="rId31" Type="http://schemas.openxmlformats.org/officeDocument/2006/relationships/hyperlink" Target="https://beamexchange.org/implement/programme-index/ftf-inova-agricultural-innovations-activity/" TargetMode="External"/><Relationship Id="rId44" Type="http://schemas.openxmlformats.org/officeDocument/2006/relationships/hyperlink" Target="https://beamexchange.org/implement/programme-index/mercados-rurales/" TargetMode="External"/><Relationship Id="rId52" Type="http://schemas.openxmlformats.org/officeDocument/2006/relationships/hyperlink" Target="https://beamexchange.org/implement/programme-index/gems-4-growth-and-employment-in-states-wholesale-retail-sector/" TargetMode="External"/><Relationship Id="rId60" Type="http://schemas.openxmlformats.org/officeDocument/2006/relationships/hyperlink" Target="https://beamexchange.org/implement/programme-index/win-women-in-business/" TargetMode="External"/><Relationship Id="rId65" Type="http://schemas.openxmlformats.org/officeDocument/2006/relationships/comments" Target="../comments1.xml"/><Relationship Id="rId4" Type="http://schemas.openxmlformats.org/officeDocument/2006/relationships/hyperlink" Target="https://beamexchange.org/implement/programme-index/eye-enhancing-youth-employment-phase-1/" TargetMode="External"/><Relationship Id="rId9" Type="http://schemas.openxmlformats.org/officeDocument/2006/relationships/hyperlink" Target="https://beamexchange.org/implement/programme-index/rdc-rice-and-diversified-crops-activity/" TargetMode="External"/><Relationship Id="rId13" Type="http://schemas.openxmlformats.org/officeDocument/2006/relationships/hyperlink" Target="https://beamexchange.org/implement/programme-index/ctdp-cotton-and-textiles-development-programme/" TargetMode="External"/><Relationship Id="rId18" Type="http://schemas.openxmlformats.org/officeDocument/2006/relationships/hyperlink" Target="https://beamexchange.org/implement/programme-index/aip-rural-australia-indonesia-partnership-for-rural-economic-development/" TargetMode="External"/><Relationship Id="rId39" Type="http://schemas.openxmlformats.org/officeDocument/2006/relationships/hyperlink" Target="https://beamexchange.org/implement/programme-index/horti-sempre-increasing-the-income-of-horticultural-smallholders-in-northern-mozambique/"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2.xml.rels><?xml version="1.0" encoding="UTF-8" standalone="yes"?>
<Relationships xmlns="http://schemas.openxmlformats.org/package/2006/relationships"><Relationship Id="rId26" Type="http://schemas.openxmlformats.org/officeDocument/2006/relationships/hyperlink" Target="https://beamexchange.org/implement/programme-index/wit-water-innovation-technologies/" TargetMode="External"/><Relationship Id="rId21" Type="http://schemas.openxmlformats.org/officeDocument/2006/relationships/hyperlink" Target="https://beamexchange.org/implement/programme-index/ctdp-cotton-and-textiles-development-programme/" TargetMode="External"/><Relationship Id="rId42" Type="http://schemas.openxmlformats.org/officeDocument/2006/relationships/hyperlink" Target="https://beamexchange.org/implement/programme-index/wrcf-western-region-coastal-foundation/" TargetMode="External"/><Relationship Id="rId47" Type="http://schemas.openxmlformats.org/officeDocument/2006/relationships/hyperlink" Target="https://beamexchange.org/implement/programme-index/katalyst-phase-1/" TargetMode="External"/><Relationship Id="rId63" Type="http://schemas.openxmlformats.org/officeDocument/2006/relationships/hyperlink" Target="https://beamexchange.org/implement/programme-index/soba-sierra-leone-opportunities-for-business-action/" TargetMode="External"/><Relationship Id="rId68" Type="http://schemas.openxmlformats.org/officeDocument/2006/relationships/hyperlink" Target="https://beamexchange.org/implement/programme-index/horti-sempre-increasing-the-income-of-horticultural-smallholders-in-northern-mozambique/" TargetMode="External"/><Relationship Id="rId84" Type="http://schemas.openxmlformats.org/officeDocument/2006/relationships/hyperlink" Target="https://beamexchange.org/implement/programme-index/ag-inputs-agricultural-inputs-activity/" TargetMode="External"/><Relationship Id="rId89" Type="http://schemas.openxmlformats.org/officeDocument/2006/relationships/hyperlink" Target="https://beamexchange.org/implement/programme-index/namdp-sahaj-nepal-agricultural-market-development-programme-phase-2/" TargetMode="External"/><Relationship Id="rId16" Type="http://schemas.openxmlformats.org/officeDocument/2006/relationships/hyperlink" Target="https://beamexchange.org/implement/programme-index/fsd-mozambique-financial-services-deepening/" TargetMode="External"/><Relationship Id="rId11" Type="http://schemas.openxmlformats.org/officeDocument/2006/relationships/hyperlink" Target="https://beamexchange.org/implement/programme-index/sdvc-bangladesh-strengthening-the-dairy-value-chain/" TargetMode="External"/><Relationship Id="rId32" Type="http://schemas.openxmlformats.org/officeDocument/2006/relationships/hyperlink" Target="https://beamexchange.org/implement/programme-index/the-ilo-lab-inclusive-market-development-for-decent-work/" TargetMode="External"/><Relationship Id="rId37" Type="http://schemas.openxmlformats.org/officeDocument/2006/relationships/hyperlink" Target="https://beamexchange.org/implement/programme-index/pave-partnerships-and-value-expansion-for-seed-systems-in-phase-1/" TargetMode="External"/><Relationship Id="rId53" Type="http://schemas.openxmlformats.org/officeDocument/2006/relationships/hyperlink" Target="https://beamexchange.org/implement/programme-index/cidc-alliances-for-coconut-industry-development-for-the-caribbean/" TargetMode="External"/><Relationship Id="rId58" Type="http://schemas.openxmlformats.org/officeDocument/2006/relationships/hyperlink" Target="https://beamexchange.org/implement/programme-index/enable-2-enhancing-nigerian-advocacy-for-a-better-business-environment-ii/" TargetMode="External"/><Relationship Id="rId74" Type="http://schemas.openxmlformats.org/officeDocument/2006/relationships/hyperlink" Target="https://beamexchange.org/implement/programme-index/eye-enhancing-youth-employment-phase-1/" TargetMode="External"/><Relationship Id="rId79" Type="http://schemas.openxmlformats.org/officeDocument/2006/relationships/hyperlink" Target="https://beamexchange.org/implement/programme-index/marketmakers/" TargetMode="External"/><Relationship Id="rId5" Type="http://schemas.openxmlformats.org/officeDocument/2006/relationships/hyperlink" Target="https://beamexchange.org/implement/programme-index/construya-peru-construcci%C3%B3n-segura-saludable-y-sostenible-en-sectores-urbanos-vulnerables/" TargetMode="External"/><Relationship Id="rId90" Type="http://schemas.openxmlformats.org/officeDocument/2006/relationships/hyperlink" Target="https://beamexchange.org/implement/programme-index/tms-transforming-market-systems-activity/" TargetMode="External"/><Relationship Id="rId95" Type="http://schemas.openxmlformats.org/officeDocument/2006/relationships/table" Target="../tables/table3.xml"/><Relationship Id="rId22" Type="http://schemas.openxmlformats.org/officeDocument/2006/relationships/hyperlink" Target="https://beamexchange.org/implement/programme-index/esclp-eastern-samar-cacao-livelihood-programme/" TargetMode="External"/><Relationship Id="rId27" Type="http://schemas.openxmlformats.org/officeDocument/2006/relationships/hyperlink" Target="https://beamexchange.org/implement/programme-index/pims-promoting-inclusive-markets-in-somalia/" TargetMode="External"/><Relationship Id="rId43" Type="http://schemas.openxmlformats.org/officeDocument/2006/relationships/hyperlink" Target="https://beamexchange.org/implement/programme-index/shomoshti-prosperity-for-the-poor-and-disadvantaged-phase-2/" TargetMode="External"/><Relationship Id="rId48" Type="http://schemas.openxmlformats.org/officeDocument/2006/relationships/hyperlink" Target="https://beamexchange.org/implement/programme-index/ecovecindarios-eco-communities/" TargetMode="External"/><Relationship Id="rId64" Type="http://schemas.openxmlformats.org/officeDocument/2006/relationships/hyperlink" Target="https://beamexchange.org/implement/programme-index/katalyst-phase-3/" TargetMode="External"/><Relationship Id="rId69" Type="http://schemas.openxmlformats.org/officeDocument/2006/relationships/hyperlink" Target="https://beamexchange.org/implement/programme-index/hilando-culturas-spinning-cultures/" TargetMode="External"/><Relationship Id="rId8" Type="http://schemas.openxmlformats.org/officeDocument/2006/relationships/hyperlink" Target="https://beamexchange.org/implement/programme-index/eela-energy-efficiency-in-brick-kilns-in-latin-america/" TargetMode="External"/><Relationship Id="rId51" Type="http://schemas.openxmlformats.org/officeDocument/2006/relationships/hyperlink" Target="https://beamexchange.org/implement/programme-index/mdf-market-development-facility-phase-2/" TargetMode="External"/><Relationship Id="rId72" Type="http://schemas.openxmlformats.org/officeDocument/2006/relationships/hyperlink" Target="https://beamexchange.org/implement/programme-index/avc-agricultural-value-chains-activity/" TargetMode="External"/><Relationship Id="rId80" Type="http://schemas.openxmlformats.org/officeDocument/2006/relationships/hyperlink" Target="https://beamexchange.org/implement/programme-index/m4c-making-markets-work-for-the-jamuna-padma-and-teesta-chars/" TargetMode="External"/><Relationship Id="rId85" Type="http://schemas.openxmlformats.org/officeDocument/2006/relationships/hyperlink" Target="https://beamexchange.org/implement/programme-index/grow-liberia/" TargetMode="External"/><Relationship Id="rId93" Type="http://schemas.openxmlformats.org/officeDocument/2006/relationships/hyperlink" Target="https://beamexchange.org/implement/programme-index/musika-making-agricultural-markets-work-for-zambia/" TargetMode="External"/><Relationship Id="rId3" Type="http://schemas.openxmlformats.org/officeDocument/2006/relationships/hyperlink" Target="https://beamexchange.org/implement/programme-index/foresite-food-security-and-resilience-in-transitioning-environments/" TargetMode="External"/><Relationship Id="rId12" Type="http://schemas.openxmlformats.org/officeDocument/2006/relationships/hyperlink" Target="https://beamexchange.org/implement/programme-index/me4ps-market-and-employment-for-peace-and-stability/" TargetMode="External"/><Relationship Id="rId17" Type="http://schemas.openxmlformats.org/officeDocument/2006/relationships/hyperlink" Target="https://beamexchange.org/implement/programme-index/enterprise-partners-part-of-private-enterprise-programme-ethiopia-pepe/" TargetMode="External"/><Relationship Id="rId25" Type="http://schemas.openxmlformats.org/officeDocument/2006/relationships/hyperlink" Target="https://beamexchange.org/implement/programme-index/inovagro-innovation-for-agribusiness/" TargetMode="External"/><Relationship Id="rId33" Type="http://schemas.openxmlformats.org/officeDocument/2006/relationships/hyperlink" Target="https://beamexchange.org/implement/programme-index/r2j-road-to-jobs/" TargetMode="External"/><Relationship Id="rId38" Type="http://schemas.openxmlformats.org/officeDocument/2006/relationships/hyperlink" Target="https://beamexchange.org/implement/programme-index/dynamic-driving-youth-led-new-agribusiness-and-microenterprise-in-northern-uganda/" TargetMode="External"/><Relationship Id="rId46" Type="http://schemas.openxmlformats.org/officeDocument/2006/relationships/hyperlink" Target="https://beamexchange.org/implement/programme-index/transform-wash/" TargetMode="External"/><Relationship Id="rId59" Type="http://schemas.openxmlformats.org/officeDocument/2006/relationships/hyperlink" Target="https://beamexchange.org/implement/programme-index/namdp-sahaj-nepal-agricultural-market-development-programme-phase-1/" TargetMode="External"/><Relationship Id="rId67" Type="http://schemas.openxmlformats.org/officeDocument/2006/relationships/hyperlink" Target="https://beamexchange.org/implement/programme-index/propcom-mai-karfi/" TargetMode="External"/><Relationship Id="rId20" Type="http://schemas.openxmlformats.org/officeDocument/2006/relationships/hyperlink" Target="https://beamexchange.org/implement/programme-index/promoting-livelihoods-of-forcibly-displaced-persons-in-jijiga-ethiopia/" TargetMode="External"/><Relationship Id="rId41" Type="http://schemas.openxmlformats.org/officeDocument/2006/relationships/hyperlink" Target="https://beamexchange.org/implement/programme-index/eye-enhancing-youth-employment-phase-2/" TargetMode="External"/><Relationship Id="rId54" Type="http://schemas.openxmlformats.org/officeDocument/2006/relationships/hyperlink" Target="https://beamexchange.org/implement/programme-index/regional-biotrade-project-in-south-east-asia/" TargetMode="External"/><Relationship Id="rId62" Type="http://schemas.openxmlformats.org/officeDocument/2006/relationships/hyperlink" Target="https://beamexchange.org/implement/programme-index/lift-land-investment-for-transformation/" TargetMode="External"/><Relationship Id="rId70" Type="http://schemas.openxmlformats.org/officeDocument/2006/relationships/hyperlink" Target="https://beamexchange.org/implement/programme-index/yapasa-youth-in-agribusiness/" TargetMode="External"/><Relationship Id="rId75" Type="http://schemas.openxmlformats.org/officeDocument/2006/relationships/hyperlink" Target="https://beamexchange.org/implement/programme-index/kmap-kenya-market-assistance-programme/" TargetMode="External"/><Relationship Id="rId83" Type="http://schemas.openxmlformats.org/officeDocument/2006/relationships/hyperlink" Target="https://beamexchange.org/implement/programme-index/gems-4-growth-and-employment-in-states-wholesale-retail-sector/" TargetMode="External"/><Relationship Id="rId88" Type="http://schemas.openxmlformats.org/officeDocument/2006/relationships/hyperlink" Target="https://beamexchange.org/implement/programme-index/made-market-development-for-northern-ghana/" TargetMode="External"/><Relationship Id="rId91" Type="http://schemas.openxmlformats.org/officeDocument/2006/relationships/hyperlink" Target="https://beamexchange.org/implement/programme-index/win-women-in-business/" TargetMode="External"/><Relationship Id="rId1" Type="http://schemas.openxmlformats.org/officeDocument/2006/relationships/hyperlink" Target="https://beamexchange.org/implement/programme-index/chain-cambodia-horticulture-advancing-income-nutrition/" TargetMode="External"/><Relationship Id="rId6" Type="http://schemas.openxmlformats.org/officeDocument/2006/relationships/hyperlink" Target="https://beamexchange.org/implement/programme-index/re4r-renewable-energy-for-refugees/" TargetMode="External"/><Relationship Id="rId15" Type="http://schemas.openxmlformats.org/officeDocument/2006/relationships/hyperlink" Target="https://beamexchange.org/implement/programme-index/pepz-private-enterprise-programme-zambia/" TargetMode="External"/><Relationship Id="rId23" Type="http://schemas.openxmlformats.org/officeDocument/2006/relationships/hyperlink" Target="https://beamexchange.org/implement/programme-index/made-market-development-in-the-niger-delta-phases-i-and-ii/" TargetMode="External"/><Relationship Id="rId28" Type="http://schemas.openxmlformats.org/officeDocument/2006/relationships/hyperlink" Target="https://beamexchange.org/implement/programme-index/ntf-inclusive-tourism/" TargetMode="External"/><Relationship Id="rId36" Type="http://schemas.openxmlformats.org/officeDocument/2006/relationships/hyperlink" Target="https://beamexchange.org/implement/programme-index/seed-strengthening-entrepreneurship-and-enterprise-development/" TargetMode="External"/><Relationship Id="rId49" Type="http://schemas.openxmlformats.org/officeDocument/2006/relationships/hyperlink" Target="https://beamexchange.org/implement/programme-index/nu-tec-northern-uganda-transforming-the-economy-through-climate-smart-agriculture/" TargetMode="External"/><Relationship Id="rId57" Type="http://schemas.openxmlformats.org/officeDocument/2006/relationships/hyperlink" Target="https://beamexchange.org/implement/programme-index/ftf-inova-agricultural-innovations-activity/" TargetMode="External"/><Relationship Id="rId10" Type="http://schemas.openxmlformats.org/officeDocument/2006/relationships/hyperlink" Target="https://beamexchange.org/implement/programme-index/pave-partnership-and-value-expansion-phase-2/" TargetMode="External"/><Relationship Id="rId31" Type="http://schemas.openxmlformats.org/officeDocument/2006/relationships/hyperlink" Target="https://beamexchange.org/implement/programme-index/aip-rural-australia-indonesia-partnership-for-rural-economic-development/" TargetMode="External"/><Relationship Id="rId44" Type="http://schemas.openxmlformats.org/officeDocument/2006/relationships/hyperlink" Target="https://beamexchange.org/implement/programme-index/3si-supporting-sustainable-sanitation-improvements/" TargetMode="External"/><Relationship Id="rId52" Type="http://schemas.openxmlformats.org/officeDocument/2006/relationships/hyperlink" Target="https://beamexchange.org/implement/programme-index/sunmap-support-to-national-malaria-programme/" TargetMode="External"/><Relationship Id="rId60" Type="http://schemas.openxmlformats.org/officeDocument/2006/relationships/hyperlink" Target="https://beamexchange.org/implement/programme-index/psp4h-private-sector-innovation-programme-for-health/" TargetMode="External"/><Relationship Id="rId65" Type="http://schemas.openxmlformats.org/officeDocument/2006/relationships/hyperlink" Target="https://beamexchange.org/implement/programme-index/m-sawa-maendeleo-sawa/" TargetMode="External"/><Relationship Id="rId73" Type="http://schemas.openxmlformats.org/officeDocument/2006/relationships/hyperlink" Target="https://beamexchange.org/implement/programme-index/mercados-rurales/" TargetMode="External"/><Relationship Id="rId78" Type="http://schemas.openxmlformats.org/officeDocument/2006/relationships/hyperlink" Target="https://beamexchange.org/implement/programme-index/mdf-market-development-facility-phase-1/" TargetMode="External"/><Relationship Id="rId81" Type="http://schemas.openxmlformats.org/officeDocument/2006/relationships/hyperlink" Target="https://beamexchange.org/implement/programme-index/lead-livelihood-enhancement-through-agricultural-development/" TargetMode="External"/><Relationship Id="rId86" Type="http://schemas.openxmlformats.org/officeDocument/2006/relationships/hyperlink" Target="https://beamexchange.org/implement/programme-index/bif-2-business-innovation-facility-phase-2/" TargetMode="External"/><Relationship Id="rId94" Type="http://schemas.openxmlformats.org/officeDocument/2006/relationships/table" Target="../tables/table2.xml"/><Relationship Id="rId4" Type="http://schemas.openxmlformats.org/officeDocument/2006/relationships/hyperlink" Target="https://beamexchange.org/implement/programme-index/slr-strengthening-livelihoods-and-resilience-activity/" TargetMode="External"/><Relationship Id="rId9" Type="http://schemas.openxmlformats.org/officeDocument/2006/relationships/hyperlink" Target="https://beamexchange.org/implement/programme-index/imsar-improving-market-systems-for-agriculture-in-rwanda/" TargetMode="External"/><Relationship Id="rId13" Type="http://schemas.openxmlformats.org/officeDocument/2006/relationships/hyperlink" Target="https://beamexchange.org/implement/programme-index/rdc-rice-and-diversified-crops-activity/" TargetMode="External"/><Relationship Id="rId18" Type="http://schemas.openxmlformats.org/officeDocument/2006/relationships/hyperlink" Target="https://beamexchange.org/implement/programme-index/rama-bc-resilient-agricultural-market-activity-beira-corridor/" TargetMode="External"/><Relationship Id="rId39" Type="http://schemas.openxmlformats.org/officeDocument/2006/relationships/hyperlink" Target="https://beamexchange.org/implement/programme-index/prime-pastoralist-areas-resilience-improvement-through-market-expansion/" TargetMode="External"/><Relationship Id="rId34" Type="http://schemas.openxmlformats.org/officeDocument/2006/relationships/hyperlink" Target="https://beamexchange.org/implement/programme-index/promoting-decent-work-in-rwandas-informal-economy-project/" TargetMode="External"/><Relationship Id="rId50" Type="http://schemas.openxmlformats.org/officeDocument/2006/relationships/hyperlink" Target="https://beamexchange.org/implement/programme-index/fidecop-portable-wood-burning-stoves-innovation-and-development-fund/" TargetMode="External"/><Relationship Id="rId55" Type="http://schemas.openxmlformats.org/officeDocument/2006/relationships/hyperlink" Target="https://beamexchange.org/implement/programme-index/pmdp-palestinian-market-development-programme/" TargetMode="External"/><Relationship Id="rId76" Type="http://schemas.openxmlformats.org/officeDocument/2006/relationships/hyperlink" Target="https://beamexchange.org/implement/programme-index/zgjp-zambia-green-jobs-programme/" TargetMode="External"/><Relationship Id="rId7" Type="http://schemas.openxmlformats.org/officeDocument/2006/relationships/hyperlink" Target="https://beamexchange.org/implement/programme-index/eye-enhancing-youth-employment-phase-3/" TargetMode="External"/><Relationship Id="rId71" Type="http://schemas.openxmlformats.org/officeDocument/2006/relationships/hyperlink" Target="https://beamexchange.org/implement/programme-index/moli-market-opportunities-for-livelihood-improvement-phase-2/" TargetMode="External"/><Relationship Id="rId92" Type="http://schemas.openxmlformats.org/officeDocument/2006/relationships/hyperlink" Target="https://beamexchange.org/implement/programme-index/avc-hvc-afghanistan-value-chains-high-value-crops/" TargetMode="External"/><Relationship Id="rId2" Type="http://schemas.openxmlformats.org/officeDocument/2006/relationships/hyperlink" Target="https://beamexchange.org/implement/programme-index/construya-colombia-construcci%C3%B3n-segura-saludable-y-sostenible-en-sectores-urbanos-vulnerables/" TargetMode="External"/><Relationship Id="rId29" Type="http://schemas.openxmlformats.org/officeDocument/2006/relationships/hyperlink" Target="https://beamexchange.org/implement/programme-index/prisma-promoting-rural-incomes-through-support-for-markets-in-agriculture/" TargetMode="External"/><Relationship Id="rId24" Type="http://schemas.openxmlformats.org/officeDocument/2006/relationships/hyperlink" Target="https://beamexchange.org/implement/programme-index/esip-enhancing-sustainable-income-in-the-philippines/" TargetMode="External"/><Relationship Id="rId40" Type="http://schemas.openxmlformats.org/officeDocument/2006/relationships/hyperlink" Target="https://beamexchange.org/implement/programme-index/uhbdp-ukraine-horticultural-business-development-project/" TargetMode="External"/><Relationship Id="rId45" Type="http://schemas.openxmlformats.org/officeDocument/2006/relationships/hyperlink" Target="https://beamexchange.org/implement/programme-index/katalyst-phase-2/" TargetMode="External"/><Relationship Id="rId66" Type="http://schemas.openxmlformats.org/officeDocument/2006/relationships/hyperlink" Target="https://beamexchange.org/implement/programme-index/fsip-financial-services-inclusion-programme/" TargetMode="External"/><Relationship Id="rId87" Type="http://schemas.openxmlformats.org/officeDocument/2006/relationships/hyperlink" Target="https://beamexchange.org/implement/programme-index/alcp-alliances-caucasus-programme/" TargetMode="External"/><Relationship Id="rId61" Type="http://schemas.openxmlformats.org/officeDocument/2006/relationships/hyperlink" Target="https://beamexchange.org/implement/programme-index/%C3%A9lan-rdc/" TargetMode="External"/><Relationship Id="rId82" Type="http://schemas.openxmlformats.org/officeDocument/2006/relationships/hyperlink" Target="https://beamexchange.org/implement/programme-index/ime-increasing-market-employability/" TargetMode="External"/><Relationship Id="rId19" Type="http://schemas.openxmlformats.org/officeDocument/2006/relationships/hyperlink" Target="https://beamexchange.org/implement/programme-index/stars-strengthening-african-rural-smallholders/" TargetMode="External"/><Relationship Id="rId14" Type="http://schemas.openxmlformats.org/officeDocument/2006/relationships/hyperlink" Target="https://beamexchange.org/implement/programme-index/smsu-sanitation-marketing-scale-up/" TargetMode="External"/><Relationship Id="rId30" Type="http://schemas.openxmlformats.org/officeDocument/2006/relationships/hyperlink" Target="https://beamexchange.org/implement/programme-index/3i-investing-in-infrastructure/" TargetMode="External"/><Relationship Id="rId35" Type="http://schemas.openxmlformats.org/officeDocument/2006/relationships/hyperlink" Target="https://beamexchange.org/implement/programme-index/moringa-more-income-generated-for-poor-families-in-indonesia/" TargetMode="External"/><Relationship Id="rId56" Type="http://schemas.openxmlformats.org/officeDocument/2006/relationships/hyperlink" Target="https://beamexchange.org/implement/programme-index/fsd-zambia-financial-sector-deepening/" TargetMode="External"/><Relationship Id="rId77" Type="http://schemas.openxmlformats.org/officeDocument/2006/relationships/hyperlink" Target="https://beamexchange.org/implement/programme-index/ppse-promoting-private-sector-employment/"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5.xml"/><Relationship Id="rId1" Type="http://schemas.openxmlformats.org/officeDocument/2006/relationships/vmlDrawing" Target="../drawings/vmlDrawing2.vml"/><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5A87CD"/>
  </sheetPr>
  <dimension ref="A1:AJ100"/>
  <sheetViews>
    <sheetView tabSelected="1" zoomScale="85" zoomScaleNormal="85" workbookViewId="0">
      <selection activeCell="A2" sqref="A2"/>
    </sheetView>
  </sheetViews>
  <sheetFormatPr defaultRowHeight="15" x14ac:dyDescent="0.25"/>
  <cols>
    <col min="1" max="1" width="27.7109375" customWidth="1"/>
    <col min="2" max="2" width="19" customWidth="1"/>
    <col min="3" max="3" width="12.28515625" customWidth="1"/>
    <col min="4" max="4" width="11.7109375" customWidth="1"/>
    <col min="5" max="5" width="12.140625" customWidth="1"/>
    <col min="6" max="6" width="12.28515625" customWidth="1"/>
    <col min="7" max="7" width="18.85546875" customWidth="1"/>
    <col min="8" max="8" width="18.7109375" customWidth="1"/>
    <col min="9" max="9" width="7.7109375" customWidth="1"/>
    <col min="10" max="10" width="6.5703125" customWidth="1"/>
    <col min="11" max="11" width="13.28515625" customWidth="1"/>
    <col min="12" max="12" width="15" customWidth="1"/>
    <col min="13" max="13" width="19.28515625" customWidth="1"/>
    <col min="14" max="14" width="23" customWidth="1"/>
    <col min="15" max="17" width="18.140625" customWidth="1"/>
    <col min="18" max="18" width="17.42578125" customWidth="1"/>
    <col min="19" max="19" width="19.140625" style="3" customWidth="1"/>
    <col min="20" max="23" width="15.85546875" customWidth="1"/>
    <col min="24" max="24" width="18.42578125" customWidth="1"/>
    <col min="25" max="25" width="23" customWidth="1"/>
    <col min="26" max="26" width="16.85546875" customWidth="1"/>
    <col min="27" max="27" width="16.28515625" customWidth="1"/>
    <col min="28" max="29" width="27.7109375" customWidth="1"/>
    <col min="30" max="33" width="22.28515625" customWidth="1"/>
    <col min="34" max="34" width="21.28515625" customWidth="1"/>
    <col min="35" max="35" width="22.28515625" customWidth="1"/>
  </cols>
  <sheetData>
    <row r="1" spans="1:36" ht="16.899999999999999" customHeight="1" x14ac:dyDescent="0.25"/>
    <row r="2" spans="1:36" ht="37.15" customHeight="1" x14ac:dyDescent="0.25">
      <c r="A2" s="207" t="s">
        <v>0</v>
      </c>
      <c r="B2" s="207" t="s">
        <v>1</v>
      </c>
      <c r="C2" s="207" t="s">
        <v>2</v>
      </c>
      <c r="D2" s="207" t="s">
        <v>3</v>
      </c>
      <c r="E2" s="207" t="s">
        <v>4</v>
      </c>
      <c r="F2" s="207" t="s">
        <v>5</v>
      </c>
      <c r="G2" s="207" t="s">
        <v>6</v>
      </c>
      <c r="H2" s="207" t="s">
        <v>7</v>
      </c>
      <c r="I2" s="207" t="s">
        <v>8</v>
      </c>
      <c r="J2" s="207" t="s">
        <v>9</v>
      </c>
      <c r="K2" s="207" t="s">
        <v>10</v>
      </c>
      <c r="L2" s="207" t="s">
        <v>11</v>
      </c>
      <c r="M2" s="207" t="s">
        <v>12</v>
      </c>
      <c r="N2" s="207" t="s">
        <v>13</v>
      </c>
      <c r="O2" s="207" t="s">
        <v>14</v>
      </c>
      <c r="P2" s="207" t="s">
        <v>15</v>
      </c>
      <c r="Q2" s="207" t="s">
        <v>16</v>
      </c>
      <c r="R2" s="207" t="s">
        <v>17</v>
      </c>
      <c r="S2" s="463" t="s">
        <v>18</v>
      </c>
      <c r="T2" s="462" t="s">
        <v>19</v>
      </c>
      <c r="U2" s="207" t="s">
        <v>20</v>
      </c>
      <c r="V2" s="207" t="s">
        <v>21</v>
      </c>
      <c r="W2" s="462" t="s">
        <v>22</v>
      </c>
      <c r="X2" s="207" t="s">
        <v>23</v>
      </c>
      <c r="Y2" s="207" t="s">
        <v>24</v>
      </c>
      <c r="Z2" s="464" t="s">
        <v>25</v>
      </c>
      <c r="AA2" s="351" t="s">
        <v>26</v>
      </c>
      <c r="AB2" s="207" t="s">
        <v>27</v>
      </c>
      <c r="AC2" s="207" t="s">
        <v>28</v>
      </c>
      <c r="AD2" s="462" t="s">
        <v>29</v>
      </c>
      <c r="AE2" s="207" t="s">
        <v>30</v>
      </c>
      <c r="AF2" s="207" t="s">
        <v>31</v>
      </c>
      <c r="AG2" s="207" t="s">
        <v>32</v>
      </c>
      <c r="AH2" s="207" t="s">
        <v>33</v>
      </c>
      <c r="AI2" s="207" t="s">
        <v>34</v>
      </c>
      <c r="AJ2" s="2"/>
    </row>
    <row r="3" spans="1:36" ht="14.45" customHeight="1" x14ac:dyDescent="0.25">
      <c r="A3" s="45" t="s">
        <v>35</v>
      </c>
      <c r="B3" s="30" t="s">
        <v>36</v>
      </c>
      <c r="C3" s="14" t="s">
        <v>37</v>
      </c>
      <c r="D3" s="30"/>
      <c r="E3" s="30"/>
      <c r="F3" s="30"/>
      <c r="G3" s="30" t="s">
        <v>38</v>
      </c>
      <c r="H3" s="470" t="e" vm="1">
        <v>#VALUE!</v>
      </c>
      <c r="I3" s="45">
        <v>2023</v>
      </c>
      <c r="J3" s="30">
        <v>2023</v>
      </c>
      <c r="K3" s="68">
        <f>J3-I3+1</f>
        <v>1</v>
      </c>
      <c r="L3" s="45" t="s">
        <v>39</v>
      </c>
      <c r="M3" s="68" t="s">
        <v>40</v>
      </c>
      <c r="N3" s="322" t="s">
        <v>41</v>
      </c>
      <c r="O3" s="475">
        <f>AVERAGE('Poli Stab'!BP183)</f>
        <v>-0.22618499398231501</v>
      </c>
      <c r="P3" s="476">
        <f>AVERAGE(Inflation!BP183)</f>
        <v>7.1158726153082599</v>
      </c>
      <c r="Q3" s="62" t="s">
        <v>42</v>
      </c>
      <c r="R3" s="152">
        <v>267</v>
      </c>
      <c r="S3" s="187">
        <f>11288*267/59</f>
        <v>51082.983050847455</v>
      </c>
      <c r="T3" s="157">
        <f>291000+297000</f>
        <v>588000</v>
      </c>
      <c r="U3" s="86">
        <f>25*267/60</f>
        <v>111.25</v>
      </c>
      <c r="V3" s="105">
        <f>35*267/60</f>
        <v>155.75</v>
      </c>
      <c r="W3" s="77">
        <v>3</v>
      </c>
      <c r="X3" s="479">
        <v>0</v>
      </c>
      <c r="Y3" s="187">
        <f>11288*267/59</f>
        <v>51082.983050847455</v>
      </c>
      <c r="Z3" s="157">
        <v>0</v>
      </c>
      <c r="AA3" s="165">
        <f t="shared" ref="AA3:AA9" si="0">S3/R3</f>
        <v>191.32203389830508</v>
      </c>
      <c r="AB3" s="92" t="str">
        <f t="shared" ref="AB3:AB38" si="1">IF(X3&gt;0,X3/T3,"")</f>
        <v/>
      </c>
      <c r="AC3" s="93">
        <f t="shared" ref="AC3:AC34" si="2">IF(Y3&gt;0,Y3/T3,"")</f>
        <v>8.6875821515046692E-2</v>
      </c>
      <c r="AD3" s="170" t="str">
        <f t="shared" ref="AD3:AD34" si="3">IF(Z3&gt;0,Z3/T3,"")</f>
        <v/>
      </c>
      <c r="AE3" s="484">
        <f t="shared" ref="AE3:AE34" si="4">IF(U3&gt;0,T3/U3,"")</f>
        <v>5285.393258426966</v>
      </c>
      <c r="AF3" s="485">
        <f t="shared" ref="AF3:AF34" si="5">IF(T3&gt;0,U3/(T3/1000000),"")</f>
        <v>189.20068027210885</v>
      </c>
      <c r="AG3" s="187">
        <f t="shared" ref="AG3:AG34" si="6">IF(V3&gt;0,T3/V3,"")</f>
        <v>3775.2808988764045</v>
      </c>
      <c r="AH3" s="187">
        <f t="shared" ref="AH3:AH34" si="7">IF(T3&gt;0,V3/(T3/1000000),"")</f>
        <v>264.88095238095241</v>
      </c>
      <c r="AI3" s="175">
        <f t="shared" ref="AI3:AI29" si="8">IF(S3&gt;0,S3/T3,"")</f>
        <v>8.6875821515046692E-2</v>
      </c>
    </row>
    <row r="4" spans="1:36" ht="14.45" customHeight="1" x14ac:dyDescent="0.25">
      <c r="A4" s="29" t="s">
        <v>43</v>
      </c>
      <c r="B4" s="17" t="s">
        <v>44</v>
      </c>
      <c r="C4" s="29" t="s">
        <v>45</v>
      </c>
      <c r="D4" s="17"/>
      <c r="E4" s="17"/>
      <c r="F4" s="17"/>
      <c r="G4" s="17" t="s">
        <v>46</v>
      </c>
      <c r="H4" s="450" t="e" vm="2">
        <v>#VALUE!</v>
      </c>
      <c r="I4" s="29">
        <v>2017</v>
      </c>
      <c r="J4" s="17">
        <v>2020</v>
      </c>
      <c r="K4" s="66">
        <f t="shared" ref="K4:K43" si="9">J4-I4</f>
        <v>3</v>
      </c>
      <c r="L4" s="4" t="s">
        <v>39</v>
      </c>
      <c r="M4" s="66" t="s">
        <v>47</v>
      </c>
      <c r="N4" s="138" t="s">
        <v>48</v>
      </c>
      <c r="O4" s="72">
        <f>AVERAGE('Poli Stab'!BJ189:BM189)</f>
        <v>-2.17384085059166</v>
      </c>
      <c r="P4" s="28">
        <f>AVERAGE(Inflation!BJ189:BM189)</f>
        <v>7.3704464696130687</v>
      </c>
      <c r="Q4" s="63" t="s">
        <v>49</v>
      </c>
      <c r="R4" s="153">
        <v>4418</v>
      </c>
      <c r="S4" s="84">
        <v>0</v>
      </c>
      <c r="T4" s="158">
        <v>700000</v>
      </c>
      <c r="U4" s="89">
        <v>0</v>
      </c>
      <c r="V4" s="107">
        <f>136+500</f>
        <v>636</v>
      </c>
      <c r="W4" s="6">
        <v>130</v>
      </c>
      <c r="X4" s="108">
        <v>0</v>
      </c>
      <c r="Y4" s="84">
        <v>0</v>
      </c>
      <c r="Z4" s="158">
        <v>0</v>
      </c>
      <c r="AA4" s="164">
        <f t="shared" si="0"/>
        <v>0</v>
      </c>
      <c r="AB4" s="94" t="str">
        <f t="shared" si="1"/>
        <v/>
      </c>
      <c r="AC4" s="95" t="str">
        <f t="shared" si="2"/>
        <v/>
      </c>
      <c r="AD4" s="171" t="str">
        <f t="shared" si="3"/>
        <v/>
      </c>
      <c r="AE4" s="98" t="str">
        <f t="shared" si="4"/>
        <v/>
      </c>
      <c r="AF4" s="131">
        <f t="shared" si="5"/>
        <v>0</v>
      </c>
      <c r="AG4" s="95">
        <f t="shared" si="6"/>
        <v>1100.6289308176101</v>
      </c>
      <c r="AH4" s="84">
        <f t="shared" si="7"/>
        <v>908.57142857142867</v>
      </c>
      <c r="AI4" s="176" t="str">
        <f t="shared" si="8"/>
        <v/>
      </c>
    </row>
    <row r="5" spans="1:36" ht="14.45" customHeight="1" x14ac:dyDescent="0.25">
      <c r="A5" s="4" t="s">
        <v>50</v>
      </c>
      <c r="B5" t="s">
        <v>51</v>
      </c>
      <c r="C5" s="4" t="s">
        <v>52</v>
      </c>
      <c r="G5" t="s">
        <v>53</v>
      </c>
      <c r="H5" s="452" t="e" vm="3">
        <v>#VALUE!</v>
      </c>
      <c r="I5" s="4">
        <v>2017</v>
      </c>
      <c r="J5">
        <v>2020</v>
      </c>
      <c r="K5" s="66">
        <f t="shared" si="9"/>
        <v>3</v>
      </c>
      <c r="L5" s="4" t="s">
        <v>39</v>
      </c>
      <c r="M5" s="66" t="s">
        <v>40</v>
      </c>
      <c r="N5" s="322" t="s">
        <v>54</v>
      </c>
      <c r="O5" s="126">
        <f>AVERAGE('Poli Stab'!BJ179:BM179)</f>
        <v>-1.9798536002635951</v>
      </c>
      <c r="P5" s="13">
        <f>AVERAGE(Inflation!BJ179:BM179)</f>
        <v>13.309954624194646</v>
      </c>
      <c r="Q5" s="63" t="s">
        <v>42</v>
      </c>
      <c r="R5" s="153">
        <f>1767+309</f>
        <v>2076</v>
      </c>
      <c r="S5" s="84">
        <v>0</v>
      </c>
      <c r="T5" s="295">
        <v>1400000</v>
      </c>
      <c r="U5" s="89">
        <v>0</v>
      </c>
      <c r="V5" s="107">
        <f>1767+309</f>
        <v>2076</v>
      </c>
      <c r="W5" s="6">
        <v>1000</v>
      </c>
      <c r="X5" s="108">
        <v>0</v>
      </c>
      <c r="Y5" s="482">
        <f>12*Table16[[#This Row],[Jobs Improved]]</f>
        <v>24912</v>
      </c>
      <c r="Z5" s="158">
        <v>0</v>
      </c>
      <c r="AA5" s="164">
        <f t="shared" si="0"/>
        <v>0</v>
      </c>
      <c r="AB5" s="94" t="str">
        <f t="shared" si="1"/>
        <v/>
      </c>
      <c r="AC5" s="95">
        <f t="shared" si="2"/>
        <v>1.7794285714285714E-2</v>
      </c>
      <c r="AD5" s="171" t="str">
        <f t="shared" si="3"/>
        <v/>
      </c>
      <c r="AE5" s="98" t="str">
        <f t="shared" si="4"/>
        <v/>
      </c>
      <c r="AF5" s="131">
        <f t="shared" si="5"/>
        <v>0</v>
      </c>
      <c r="AG5" s="84">
        <f t="shared" si="6"/>
        <v>674.37379576107901</v>
      </c>
      <c r="AH5" s="84">
        <f t="shared" si="7"/>
        <v>1482.8571428571429</v>
      </c>
      <c r="AI5" s="176" t="str">
        <f t="shared" si="8"/>
        <v/>
      </c>
    </row>
    <row r="6" spans="1:36" ht="14.45" customHeight="1" x14ac:dyDescent="0.25">
      <c r="A6" s="4" t="s">
        <v>55</v>
      </c>
      <c r="B6" t="s">
        <v>56</v>
      </c>
      <c r="C6" s="29" t="s">
        <v>57</v>
      </c>
      <c r="G6" t="s">
        <v>58</v>
      </c>
      <c r="H6" s="452" t="s">
        <v>59</v>
      </c>
      <c r="I6" s="4">
        <v>2014</v>
      </c>
      <c r="J6">
        <v>2017</v>
      </c>
      <c r="K6" s="66">
        <f t="shared" si="9"/>
        <v>3</v>
      </c>
      <c r="L6" s="4" t="s">
        <v>39</v>
      </c>
      <c r="M6" s="66" t="s">
        <v>40</v>
      </c>
      <c r="N6" s="461" t="s">
        <v>60</v>
      </c>
      <c r="O6" s="126">
        <f>(AVERAGE('Poli Stab'!BG33:BJ33)+AVERAGE('Poli Stab'!BJ191:BO191))/2</f>
        <v>-0.30084842195113498</v>
      </c>
      <c r="P6" s="13">
        <f>(AVERAGE(Inflation!BG33:BJ33)+AVERAGE(Inflation!BJ191:BO191))/2</f>
        <v>3.8143528392697315</v>
      </c>
      <c r="Q6" s="63" t="s">
        <v>49</v>
      </c>
      <c r="R6" s="153">
        <v>1321</v>
      </c>
      <c r="S6" s="84">
        <f>(15-1.5)*R6</f>
        <v>17833.5</v>
      </c>
      <c r="T6" s="158">
        <v>1700000</v>
      </c>
      <c r="U6" s="89">
        <v>0</v>
      </c>
      <c r="V6" s="107">
        <v>1321</v>
      </c>
      <c r="W6" s="6">
        <v>75</v>
      </c>
      <c r="X6" s="108">
        <v>0</v>
      </c>
      <c r="Y6" s="84">
        <v>0</v>
      </c>
      <c r="Z6" s="158">
        <v>0</v>
      </c>
      <c r="AA6" s="164">
        <f t="shared" si="0"/>
        <v>13.5</v>
      </c>
      <c r="AB6" s="94" t="str">
        <f t="shared" si="1"/>
        <v/>
      </c>
      <c r="AC6" s="95" t="str">
        <f t="shared" si="2"/>
        <v/>
      </c>
      <c r="AD6" s="171" t="str">
        <f t="shared" si="3"/>
        <v/>
      </c>
      <c r="AE6" s="98" t="str">
        <f t="shared" si="4"/>
        <v/>
      </c>
      <c r="AF6" s="131">
        <f t="shared" si="5"/>
        <v>0</v>
      </c>
      <c r="AG6" s="84">
        <f t="shared" si="6"/>
        <v>1286.9038607115822</v>
      </c>
      <c r="AH6" s="84">
        <f t="shared" si="7"/>
        <v>777.05882352941182</v>
      </c>
      <c r="AI6" s="176">
        <f t="shared" si="8"/>
        <v>1.0490294117647059E-2</v>
      </c>
    </row>
    <row r="7" spans="1:36" ht="14.45" customHeight="1" x14ac:dyDescent="0.25">
      <c r="A7" s="4" t="s">
        <v>61</v>
      </c>
      <c r="B7" t="s">
        <v>62</v>
      </c>
      <c r="C7" s="4" t="s">
        <v>63</v>
      </c>
      <c r="G7" t="s">
        <v>38</v>
      </c>
      <c r="H7" s="452" t="e" vm="4">
        <v>#VALUE!</v>
      </c>
      <c r="I7" s="4">
        <v>2022</v>
      </c>
      <c r="J7">
        <v>2026</v>
      </c>
      <c r="K7" s="66">
        <f t="shared" si="9"/>
        <v>4</v>
      </c>
      <c r="L7" s="4" t="s">
        <v>39</v>
      </c>
      <c r="M7" s="66" t="s">
        <v>64</v>
      </c>
      <c r="N7" s="135" t="s">
        <v>41</v>
      </c>
      <c r="O7" s="126">
        <f>AVERAGE('Poli Stab'!BO143:BP143)</f>
        <v>-0.65642404556274458</v>
      </c>
      <c r="P7" s="13">
        <f>AVERAGE(Inflation!BO143:BQ143)</f>
        <v>21.944305430115396</v>
      </c>
      <c r="Q7" s="63" t="s">
        <v>42</v>
      </c>
      <c r="R7" s="153">
        <v>2764</v>
      </c>
      <c r="S7" s="84">
        <f>2764*240000*0.5*0.003162</f>
        <v>1048772.1599999999</v>
      </c>
      <c r="T7" s="158">
        <f>20000000*0.10354</f>
        <v>2070799.9999999998</v>
      </c>
      <c r="U7" s="89">
        <f>1105+20</f>
        <v>1125</v>
      </c>
      <c r="V7" s="107">
        <v>2762</v>
      </c>
      <c r="W7" s="6">
        <v>2140</v>
      </c>
      <c r="X7" s="108">
        <v>0</v>
      </c>
      <c r="Y7" s="84">
        <v>0</v>
      </c>
      <c r="Z7" s="158">
        <v>0</v>
      </c>
      <c r="AA7" s="164">
        <f t="shared" si="0"/>
        <v>379.44</v>
      </c>
      <c r="AB7" s="94" t="str">
        <f t="shared" si="1"/>
        <v/>
      </c>
      <c r="AC7" s="95" t="str">
        <f t="shared" si="2"/>
        <v/>
      </c>
      <c r="AD7" s="171" t="str">
        <f t="shared" si="3"/>
        <v/>
      </c>
      <c r="AE7" s="98">
        <f t="shared" si="4"/>
        <v>1840.711111111111</v>
      </c>
      <c r="AF7" s="131">
        <f t="shared" si="5"/>
        <v>543.26830210546655</v>
      </c>
      <c r="AG7" s="84">
        <f t="shared" si="6"/>
        <v>749.74656046343216</v>
      </c>
      <c r="AH7" s="84">
        <f t="shared" si="7"/>
        <v>1333.7840448135987</v>
      </c>
      <c r="AI7" s="176">
        <f t="shared" si="8"/>
        <v>0.50645748502994015</v>
      </c>
    </row>
    <row r="8" spans="1:36" ht="14.45" customHeight="1" x14ac:dyDescent="0.25">
      <c r="A8" s="4" t="s">
        <v>65</v>
      </c>
      <c r="B8" t="s">
        <v>66</v>
      </c>
      <c r="C8" s="29" t="s">
        <v>45</v>
      </c>
      <c r="D8" s="17" t="s">
        <v>67</v>
      </c>
      <c r="E8" s="17" t="s">
        <v>68</v>
      </c>
      <c r="F8" s="17"/>
      <c r="G8" s="17" t="s">
        <v>69</v>
      </c>
      <c r="H8" s="450" t="e" vm="5">
        <v>#VALUE!</v>
      </c>
      <c r="I8" s="4">
        <v>2017</v>
      </c>
      <c r="J8">
        <v>2022</v>
      </c>
      <c r="K8" s="66">
        <f t="shared" si="9"/>
        <v>5</v>
      </c>
      <c r="L8" s="4" t="s">
        <v>39</v>
      </c>
      <c r="M8" s="63" t="s">
        <v>40</v>
      </c>
      <c r="N8" s="138" t="s">
        <v>70</v>
      </c>
      <c r="O8" s="72">
        <f>AVERAGE('Poli Stab'!BJ111:BO111)</f>
        <v>-0.51779509584108963</v>
      </c>
      <c r="P8" s="28">
        <f>AVERAGE(Inflation!BJ111:BO111)</f>
        <v>2.9545182475458613</v>
      </c>
      <c r="Q8" s="63" t="s">
        <v>49</v>
      </c>
      <c r="R8" s="153">
        <v>35667</v>
      </c>
      <c r="S8" s="84">
        <v>4160000</v>
      </c>
      <c r="T8" s="158">
        <v>2800000</v>
      </c>
      <c r="U8" s="89">
        <v>0</v>
      </c>
      <c r="V8" s="107">
        <v>35667</v>
      </c>
      <c r="W8" s="6">
        <v>12</v>
      </c>
      <c r="X8" s="108">
        <v>3830000</v>
      </c>
      <c r="Y8" s="84">
        <f>1200000*0.727</f>
        <v>872400</v>
      </c>
      <c r="Z8" s="158">
        <v>0</v>
      </c>
      <c r="AA8" s="164">
        <f t="shared" si="0"/>
        <v>116.634423977346</v>
      </c>
      <c r="AB8" s="94">
        <f t="shared" si="1"/>
        <v>1.3678571428571429</v>
      </c>
      <c r="AC8" s="95">
        <f t="shared" si="2"/>
        <v>0.31157142857142855</v>
      </c>
      <c r="AD8" s="171" t="str">
        <f t="shared" si="3"/>
        <v/>
      </c>
      <c r="AE8" s="98" t="str">
        <f t="shared" si="4"/>
        <v/>
      </c>
      <c r="AF8" s="131">
        <f t="shared" si="5"/>
        <v>0</v>
      </c>
      <c r="AG8" s="84">
        <f t="shared" si="6"/>
        <v>78.503939215521356</v>
      </c>
      <c r="AH8" s="84">
        <f t="shared" si="7"/>
        <v>12738.214285714286</v>
      </c>
      <c r="AI8" s="176">
        <f t="shared" si="8"/>
        <v>1.4857142857142858</v>
      </c>
    </row>
    <row r="9" spans="1:36" ht="14.45" customHeight="1" x14ac:dyDescent="0.25">
      <c r="A9" s="29" t="s">
        <v>71</v>
      </c>
      <c r="B9" s="17" t="s">
        <v>72</v>
      </c>
      <c r="C9" s="29" t="s">
        <v>73</v>
      </c>
      <c r="D9" s="17"/>
      <c r="E9" s="17"/>
      <c r="F9" s="17"/>
      <c r="G9" s="17" t="s">
        <v>74</v>
      </c>
      <c r="H9" s="450" t="e" vm="6">
        <v>#VALUE!</v>
      </c>
      <c r="I9" s="29">
        <v>2019</v>
      </c>
      <c r="J9" s="17">
        <v>2023</v>
      </c>
      <c r="K9" s="66">
        <f t="shared" si="9"/>
        <v>4</v>
      </c>
      <c r="L9" s="4" t="s">
        <v>75</v>
      </c>
      <c r="M9" s="63" t="s">
        <v>76</v>
      </c>
      <c r="N9" s="429" t="s">
        <v>77</v>
      </c>
      <c r="O9" s="72">
        <f>AVERAGE('Poli Stab'!BL191:BP191)</f>
        <v>-0.37709590196609499</v>
      </c>
      <c r="P9" s="28">
        <f>AVERAGE(Inflation!BL191:BP191)</f>
        <v>4.6631035142398671</v>
      </c>
      <c r="Q9" s="66" t="s">
        <v>49</v>
      </c>
      <c r="R9" s="153">
        <v>6500</v>
      </c>
      <c r="S9" s="84">
        <v>0</v>
      </c>
      <c r="T9" s="158">
        <v>3500000</v>
      </c>
      <c r="U9" s="89">
        <v>0</v>
      </c>
      <c r="V9" s="101">
        <v>6500</v>
      </c>
      <c r="W9" s="6">
        <v>0</v>
      </c>
      <c r="X9" s="108">
        <v>0</v>
      </c>
      <c r="Y9" s="84">
        <v>0</v>
      </c>
      <c r="Z9" s="158">
        <v>0</v>
      </c>
      <c r="AA9" s="164">
        <f t="shared" si="0"/>
        <v>0</v>
      </c>
      <c r="AB9" s="94" t="str">
        <f t="shared" si="1"/>
        <v/>
      </c>
      <c r="AC9" s="95" t="str">
        <f t="shared" si="2"/>
        <v/>
      </c>
      <c r="AD9" s="171" t="str">
        <f t="shared" si="3"/>
        <v/>
      </c>
      <c r="AE9" s="98" t="str">
        <f t="shared" si="4"/>
        <v/>
      </c>
      <c r="AF9" s="131">
        <f t="shared" si="5"/>
        <v>0</v>
      </c>
      <c r="AG9" s="95">
        <f t="shared" si="6"/>
        <v>538.46153846153845</v>
      </c>
      <c r="AH9" s="84">
        <f t="shared" si="7"/>
        <v>1857.1428571428571</v>
      </c>
      <c r="AI9" s="176" t="str">
        <f t="shared" si="8"/>
        <v/>
      </c>
    </row>
    <row r="10" spans="1:36" ht="14.45" customHeight="1" x14ac:dyDescent="0.25">
      <c r="A10" s="4" t="s">
        <v>78</v>
      </c>
      <c r="B10" t="s">
        <v>79</v>
      </c>
      <c r="C10" s="29" t="s">
        <v>80</v>
      </c>
      <c r="G10" t="s">
        <v>38</v>
      </c>
      <c r="H10" s="452" t="e" vm="7">
        <v>#VALUE!</v>
      </c>
      <c r="I10" s="4">
        <v>2023</v>
      </c>
      <c r="J10">
        <v>2026</v>
      </c>
      <c r="K10" s="66">
        <f t="shared" si="9"/>
        <v>3</v>
      </c>
      <c r="L10" s="4" t="s">
        <v>39</v>
      </c>
      <c r="M10" s="66" t="s">
        <v>64</v>
      </c>
      <c r="N10" s="135" t="s">
        <v>41</v>
      </c>
      <c r="O10" s="126">
        <f>AVERAGE('Poli Stab'!BP135)</f>
        <v>-1.5190391540527299</v>
      </c>
      <c r="P10" s="13">
        <f>AVERAGE(Inflation!BP135:BQ135)</f>
        <v>133.29234314751841</v>
      </c>
      <c r="Q10" s="63" t="s">
        <v>42</v>
      </c>
      <c r="R10" s="153">
        <f>1930+2482+1283</f>
        <v>5695</v>
      </c>
      <c r="S10" s="84">
        <v>1755898</v>
      </c>
      <c r="T10" s="158">
        <v>3541326</v>
      </c>
      <c r="U10" s="89">
        <f>109+61</f>
        <v>170</v>
      </c>
      <c r="V10" s="107">
        <f>3288+2088</f>
        <v>5376</v>
      </c>
      <c r="W10" s="6">
        <v>64</v>
      </c>
      <c r="X10" s="108">
        <v>534314</v>
      </c>
      <c r="Y10" s="84">
        <v>708062</v>
      </c>
      <c r="Z10" s="158">
        <v>128670</v>
      </c>
      <c r="AA10" s="164">
        <f>S10/(1930*0.8+2482+1283)</f>
        <v>330.73987568280279</v>
      </c>
      <c r="AB10" s="94">
        <f t="shared" si="1"/>
        <v>0.15087964225829534</v>
      </c>
      <c r="AC10" s="95">
        <f t="shared" si="2"/>
        <v>0.19994262036310692</v>
      </c>
      <c r="AD10" s="171">
        <f t="shared" si="3"/>
        <v>3.6333847829880674E-2</v>
      </c>
      <c r="AE10" s="98">
        <f t="shared" si="4"/>
        <v>20831.329411764706</v>
      </c>
      <c r="AF10" s="131">
        <f t="shared" si="5"/>
        <v>48.004617479441315</v>
      </c>
      <c r="AG10" s="84">
        <f t="shared" si="6"/>
        <v>658.72879464285711</v>
      </c>
      <c r="AH10" s="84">
        <f t="shared" si="7"/>
        <v>1518.0754327616264</v>
      </c>
      <c r="AI10" s="176">
        <f t="shared" si="8"/>
        <v>0.49583065778185909</v>
      </c>
    </row>
    <row r="11" spans="1:36" ht="14.45" customHeight="1" x14ac:dyDescent="0.25">
      <c r="A11" s="4" t="s">
        <v>81</v>
      </c>
      <c r="B11" s="17" t="s">
        <v>82</v>
      </c>
      <c r="C11" s="29" t="s">
        <v>52</v>
      </c>
      <c r="D11" s="17"/>
      <c r="E11" s="17"/>
      <c r="F11" s="17"/>
      <c r="G11" s="17" t="s">
        <v>83</v>
      </c>
      <c r="H11" s="450" t="e" vm="8">
        <v>#VALUE!</v>
      </c>
      <c r="I11" s="29">
        <v>2013</v>
      </c>
      <c r="J11" s="17">
        <v>2016</v>
      </c>
      <c r="K11" s="66">
        <f t="shared" si="9"/>
        <v>3</v>
      </c>
      <c r="L11" s="4" t="s">
        <v>39</v>
      </c>
      <c r="M11" s="63" t="s">
        <v>84</v>
      </c>
      <c r="N11" s="138" t="s">
        <v>85</v>
      </c>
      <c r="O11" s="72">
        <f>AVERAGE('Poli Stab'!BF25:BI25)</f>
        <v>-1.2482322007417688</v>
      </c>
      <c r="P11" s="28">
        <f>AVERAGE(Inflation!BF25:BI25)</f>
        <v>6.5574628145299991</v>
      </c>
      <c r="Q11" s="66" t="s">
        <v>49</v>
      </c>
      <c r="R11" s="153">
        <v>30000</v>
      </c>
      <c r="S11" s="84">
        <f>11*R11*12*4</f>
        <v>15840000</v>
      </c>
      <c r="T11" s="158">
        <v>3900000</v>
      </c>
      <c r="U11" s="89">
        <v>0</v>
      </c>
      <c r="V11" s="101">
        <v>30000</v>
      </c>
      <c r="W11" s="6">
        <v>48</v>
      </c>
      <c r="X11" s="108">
        <v>0</v>
      </c>
      <c r="Y11" s="84">
        <v>0</v>
      </c>
      <c r="Z11" s="158">
        <v>0</v>
      </c>
      <c r="AA11" s="164">
        <f>S11/R11</f>
        <v>528</v>
      </c>
      <c r="AB11" s="94" t="str">
        <f t="shared" si="1"/>
        <v/>
      </c>
      <c r="AC11" s="95" t="str">
        <f t="shared" si="2"/>
        <v/>
      </c>
      <c r="AD11" s="171" t="str">
        <f t="shared" si="3"/>
        <v/>
      </c>
      <c r="AE11" s="98" t="str">
        <f t="shared" si="4"/>
        <v/>
      </c>
      <c r="AF11" s="131">
        <f t="shared" si="5"/>
        <v>0</v>
      </c>
      <c r="AG11" s="95">
        <f t="shared" si="6"/>
        <v>130</v>
      </c>
      <c r="AH11" s="84">
        <f t="shared" si="7"/>
        <v>7692.3076923076924</v>
      </c>
      <c r="AI11" s="176">
        <f t="shared" si="8"/>
        <v>4.0615384615384613</v>
      </c>
    </row>
    <row r="12" spans="1:36" ht="14.45" customHeight="1" x14ac:dyDescent="0.25">
      <c r="A12" s="4" t="s">
        <v>86</v>
      </c>
      <c r="B12" t="s">
        <v>87</v>
      </c>
      <c r="C12" s="29" t="s">
        <v>88</v>
      </c>
      <c r="G12" t="s">
        <v>53</v>
      </c>
      <c r="H12" s="452" t="e" vm="9">
        <v>#VALUE!</v>
      </c>
      <c r="I12" s="4">
        <v>2014</v>
      </c>
      <c r="J12">
        <v>2018</v>
      </c>
      <c r="K12" s="66">
        <f t="shared" si="9"/>
        <v>4</v>
      </c>
      <c r="L12" s="4" t="s">
        <v>39</v>
      </c>
      <c r="M12" s="66" t="s">
        <v>40</v>
      </c>
      <c r="N12" s="322" t="s">
        <v>54</v>
      </c>
      <c r="O12" s="126">
        <f>AVERAGE('Poli Stab'!BG165:BK165)</f>
        <v>-1.0826890110969543</v>
      </c>
      <c r="P12" s="13">
        <f>AVERAGE(Inflation!BG165:BK165)</f>
        <v>6.5562323096138986</v>
      </c>
      <c r="Q12" s="63" t="s">
        <v>42</v>
      </c>
      <c r="R12" s="153">
        <v>25663</v>
      </c>
      <c r="S12" s="84">
        <v>14967060</v>
      </c>
      <c r="T12" s="158">
        <v>4000000</v>
      </c>
      <c r="U12" s="89">
        <v>0</v>
      </c>
      <c r="V12" s="107">
        <f>8483</f>
        <v>8483</v>
      </c>
      <c r="W12" s="6">
        <v>39</v>
      </c>
      <c r="X12" s="108">
        <v>1189058</v>
      </c>
      <c r="Y12" s="84">
        <v>0</v>
      </c>
      <c r="Z12" s="158">
        <v>2763</v>
      </c>
      <c r="AA12" s="164">
        <f>S12/R12</f>
        <v>583.21552429567862</v>
      </c>
      <c r="AB12" s="94">
        <f t="shared" si="1"/>
        <v>0.29726449999999999</v>
      </c>
      <c r="AC12" s="95" t="str">
        <f t="shared" si="2"/>
        <v/>
      </c>
      <c r="AD12" s="171">
        <f t="shared" si="3"/>
        <v>6.9074999999999996E-4</v>
      </c>
      <c r="AE12" s="98" t="str">
        <f t="shared" si="4"/>
        <v/>
      </c>
      <c r="AF12" s="131">
        <f t="shared" si="5"/>
        <v>0</v>
      </c>
      <c r="AG12" s="84">
        <f t="shared" si="6"/>
        <v>471.53129788989742</v>
      </c>
      <c r="AH12" s="84">
        <f t="shared" si="7"/>
        <v>2120.75</v>
      </c>
      <c r="AI12" s="176">
        <f t="shared" si="8"/>
        <v>3.741765</v>
      </c>
    </row>
    <row r="13" spans="1:36" ht="14.45" customHeight="1" x14ac:dyDescent="0.25">
      <c r="A13" s="4" t="s">
        <v>89</v>
      </c>
      <c r="B13" t="s">
        <v>90</v>
      </c>
      <c r="C13" s="29" t="s">
        <v>57</v>
      </c>
      <c r="D13" s="17"/>
      <c r="E13" s="17"/>
      <c r="F13" s="17"/>
      <c r="G13" s="17" t="s">
        <v>91</v>
      </c>
      <c r="H13" s="450" t="s">
        <v>92</v>
      </c>
      <c r="I13" s="4">
        <v>2015</v>
      </c>
      <c r="J13">
        <v>2018</v>
      </c>
      <c r="K13" s="66">
        <f t="shared" si="9"/>
        <v>3</v>
      </c>
      <c r="L13" s="4" t="s">
        <v>39</v>
      </c>
      <c r="M13" s="63" t="s">
        <v>93</v>
      </c>
      <c r="N13" s="138" t="s">
        <v>94</v>
      </c>
      <c r="O13" s="72">
        <f>(AVERAGE('Poli Stab'!BH17:BK17)+AVERAGE('Poli Stab'!BH35:BK35)+AVERAGE('Poli Stab'!BH31:BK31)+AVERAGE('Poli Stab'!BH62:BK62)+AVERAGE('Poli Stab'!BH64:BK64)+AVERAGE('Poli Stab'!BH99:BK99)+AVERAGE('Poli Stab'!BH122:BK122)+AVERAGE('Poli Stab'!BH138:BK138)+AVERAGE('Poli Stab'!BH258:BK258)+AVERAGE('Poli Stab'!BH225:BK225)+AVERAGE('Poli Stab'!BH247:BK247))/11</f>
        <v>0.50380232746564702</v>
      </c>
      <c r="P13" s="28">
        <f>(AVERAGE(Inflation!BH17:BK17)+AVERAGE(Inflation!BH35:BK35)+AVERAGE(Inflation!BH31:BK31)+AVERAGE(Inflation!BH62:BK62)+AVERAGE(Inflation!BH64:BK64)+AVERAGE(Inflation!BH99:BK99)+AVERAGE(Inflation!BH122:BK122)+AVERAGE(Inflation!BH138:BK138)+AVERAGE(Inflation!BH258:BK258)+AVERAGE(Inflation!BH225:BK225)+AVERAGE(Inflation!BH247:BK247))/11</f>
        <v>3.7387947506717452</v>
      </c>
      <c r="Q13" s="63" t="s">
        <v>49</v>
      </c>
      <c r="R13" s="153">
        <v>5000</v>
      </c>
      <c r="S13" s="84">
        <v>0</v>
      </c>
      <c r="T13" s="158">
        <f>4000000*1.1225</f>
        <v>4490000</v>
      </c>
      <c r="U13" s="89">
        <v>0</v>
      </c>
      <c r="V13" s="107">
        <v>2041</v>
      </c>
      <c r="W13" s="6">
        <v>48</v>
      </c>
      <c r="X13" s="108">
        <v>40000000</v>
      </c>
      <c r="Y13" s="84">
        <v>0</v>
      </c>
      <c r="Z13" s="158">
        <v>0</v>
      </c>
      <c r="AA13" s="164">
        <f>S13/R13</f>
        <v>0</v>
      </c>
      <c r="AB13" s="94">
        <f t="shared" si="1"/>
        <v>8.908685968819599</v>
      </c>
      <c r="AC13" s="95" t="str">
        <f t="shared" si="2"/>
        <v/>
      </c>
      <c r="AD13" s="171" t="str">
        <f t="shared" si="3"/>
        <v/>
      </c>
      <c r="AE13" s="98" t="str">
        <f t="shared" si="4"/>
        <v/>
      </c>
      <c r="AF13" s="131">
        <f t="shared" si="5"/>
        <v>0</v>
      </c>
      <c r="AG13" s="84">
        <f t="shared" si="6"/>
        <v>2199.9020088192065</v>
      </c>
      <c r="AH13" s="84">
        <f t="shared" si="7"/>
        <v>454.56570155902</v>
      </c>
      <c r="AI13" s="176" t="str">
        <f t="shared" si="8"/>
        <v/>
      </c>
    </row>
    <row r="14" spans="1:36" ht="14.45" customHeight="1" x14ac:dyDescent="0.25">
      <c r="A14" s="4" t="s">
        <v>95</v>
      </c>
      <c r="B14" t="s">
        <v>96</v>
      </c>
      <c r="C14" s="29" t="s">
        <v>97</v>
      </c>
      <c r="G14" t="s">
        <v>53</v>
      </c>
      <c r="H14" s="452" t="s">
        <v>98</v>
      </c>
      <c r="I14" s="4">
        <v>2017</v>
      </c>
      <c r="J14">
        <v>2020</v>
      </c>
      <c r="K14" s="66">
        <f t="shared" si="9"/>
        <v>3</v>
      </c>
      <c r="L14" s="4" t="s">
        <v>99</v>
      </c>
      <c r="M14" s="66" t="s">
        <v>40</v>
      </c>
      <c r="N14" s="322" t="s">
        <v>54</v>
      </c>
      <c r="O14" s="126">
        <f>(AVERAGE('Poli Stab'!BJ123:BM123)+AVERAGE('Poli Stab'!BJ126:BM126))/2</f>
        <v>-0.72261035442352362</v>
      </c>
      <c r="P14" s="13">
        <f>(AVERAGE(Inflation!BJ123:BM123)+AVERAGE(Inflation!BJ126:BM126))/2</f>
        <v>4.0276587675317934</v>
      </c>
      <c r="Q14" s="63" t="s">
        <v>49</v>
      </c>
      <c r="R14" s="153">
        <v>93475</v>
      </c>
      <c r="S14" s="84">
        <v>931100</v>
      </c>
      <c r="T14" s="158">
        <v>5000000</v>
      </c>
      <c r="U14" s="89">
        <v>0</v>
      </c>
      <c r="V14" s="107">
        <v>2591</v>
      </c>
      <c r="W14" s="6">
        <v>0</v>
      </c>
      <c r="X14" s="108">
        <v>0</v>
      </c>
      <c r="Y14" s="84">
        <f>1835857</f>
        <v>1835857</v>
      </c>
      <c r="Z14" s="158">
        <v>0</v>
      </c>
      <c r="AA14" s="164">
        <f>S14/2591</f>
        <v>359.35932072558859</v>
      </c>
      <c r="AB14" s="94" t="str">
        <f t="shared" si="1"/>
        <v/>
      </c>
      <c r="AC14" s="95">
        <f t="shared" si="2"/>
        <v>0.36717139999999998</v>
      </c>
      <c r="AD14" s="171" t="str">
        <f t="shared" si="3"/>
        <v/>
      </c>
      <c r="AE14" s="98" t="str">
        <f t="shared" si="4"/>
        <v/>
      </c>
      <c r="AF14" s="131">
        <f t="shared" si="5"/>
        <v>0</v>
      </c>
      <c r="AG14" s="84">
        <f t="shared" si="6"/>
        <v>1929.7568506368198</v>
      </c>
      <c r="AH14" s="84">
        <f t="shared" si="7"/>
        <v>518.20000000000005</v>
      </c>
      <c r="AI14" s="176">
        <f t="shared" si="8"/>
        <v>0.18622</v>
      </c>
    </row>
    <row r="15" spans="1:36" ht="14.45" customHeight="1" x14ac:dyDescent="0.25">
      <c r="A15" s="4" t="s">
        <v>100</v>
      </c>
      <c r="B15" t="s">
        <v>101</v>
      </c>
      <c r="C15" s="29" t="s">
        <v>80</v>
      </c>
      <c r="G15" t="s">
        <v>53</v>
      </c>
      <c r="H15" s="452" t="e" vm="10">
        <v>#VALUE!</v>
      </c>
      <c r="I15" s="4">
        <v>2021</v>
      </c>
      <c r="J15">
        <v>2025</v>
      </c>
      <c r="K15" s="66">
        <f t="shared" si="9"/>
        <v>4</v>
      </c>
      <c r="L15" s="4" t="s">
        <v>39</v>
      </c>
      <c r="M15" s="66" t="s">
        <v>40</v>
      </c>
      <c r="N15" s="322" t="s">
        <v>54</v>
      </c>
      <c r="O15" s="126">
        <f>AVERAGE('Poli Stab'!BN136:BP136)</f>
        <v>-0.22316138694683704</v>
      </c>
      <c r="P15" s="13">
        <f>AVERAGE(Inflation!BN136:BQ136)</f>
        <v>8.4295016704836065</v>
      </c>
      <c r="Q15" s="63" t="s">
        <v>49</v>
      </c>
      <c r="R15" s="153">
        <v>11210</v>
      </c>
      <c r="S15" s="84">
        <v>371755</v>
      </c>
      <c r="T15" s="158">
        <v>5400000</v>
      </c>
      <c r="U15" s="89">
        <v>0</v>
      </c>
      <c r="V15" s="107">
        <v>8459</v>
      </c>
      <c r="W15" s="6">
        <v>0</v>
      </c>
      <c r="X15" s="481">
        <f>Table16[[#This Row],[Cost (USD)]]*(0.388+0.353+0.432)/3</f>
        <v>2111400</v>
      </c>
      <c r="Y15" s="84">
        <f>Table16[[#This Row],[Cost (USD)]]*(0.22+0.212+0.284)/3</f>
        <v>1288800</v>
      </c>
      <c r="Z15" s="158">
        <v>0</v>
      </c>
      <c r="AA15" s="164">
        <f t="shared" ref="AA15:AA46" si="10">S15/R15</f>
        <v>33.162801070472796</v>
      </c>
      <c r="AB15" s="94">
        <f t="shared" si="1"/>
        <v>0.39100000000000001</v>
      </c>
      <c r="AC15" s="95">
        <f t="shared" si="2"/>
        <v>0.23866666666666667</v>
      </c>
      <c r="AD15" s="171" t="str">
        <f t="shared" si="3"/>
        <v/>
      </c>
      <c r="AE15" s="98" t="str">
        <f t="shared" si="4"/>
        <v/>
      </c>
      <c r="AF15" s="131">
        <f t="shared" si="5"/>
        <v>0</v>
      </c>
      <c r="AG15" s="84">
        <f t="shared" si="6"/>
        <v>638.37333018087247</v>
      </c>
      <c r="AH15" s="84">
        <f t="shared" si="7"/>
        <v>1566.4814814814813</v>
      </c>
      <c r="AI15" s="176">
        <f t="shared" si="8"/>
        <v>6.8843518518518512E-2</v>
      </c>
    </row>
    <row r="16" spans="1:36" ht="14.45" customHeight="1" x14ac:dyDescent="0.25">
      <c r="A16" s="29" t="s">
        <v>102</v>
      </c>
      <c r="B16" s="17" t="s">
        <v>103</v>
      </c>
      <c r="C16" s="29" t="s">
        <v>104</v>
      </c>
      <c r="D16" s="17"/>
      <c r="E16" s="17"/>
      <c r="F16" s="17"/>
      <c r="G16" s="17" t="s">
        <v>105</v>
      </c>
      <c r="H16" s="450" t="e" vm="11">
        <v>#VALUE!</v>
      </c>
      <c r="I16" s="29">
        <v>2021</v>
      </c>
      <c r="J16" s="17">
        <v>2024</v>
      </c>
      <c r="K16" s="66">
        <f t="shared" si="9"/>
        <v>3</v>
      </c>
      <c r="L16" s="29" t="s">
        <v>106</v>
      </c>
      <c r="M16" s="63" t="s">
        <v>107</v>
      </c>
      <c r="N16" s="138" t="s">
        <v>108</v>
      </c>
      <c r="O16" s="72">
        <f>AVERAGE('Poli Stab'!BN266:BP266)</f>
        <v>-0.21164323886235567</v>
      </c>
      <c r="P16" s="28">
        <f>AVERAGE(Inflation!BN266:BP266)</f>
        <v>6.626175411398016</v>
      </c>
      <c r="Q16" s="63" t="s">
        <v>49</v>
      </c>
      <c r="R16" s="153">
        <v>32000</v>
      </c>
      <c r="S16" s="80">
        <v>0</v>
      </c>
      <c r="T16" s="158">
        <v>5500000</v>
      </c>
      <c r="U16" s="89">
        <v>4092</v>
      </c>
      <c r="V16" s="80">
        <v>1700</v>
      </c>
      <c r="W16" s="6">
        <v>0</v>
      </c>
      <c r="X16" s="106">
        <v>0</v>
      </c>
      <c r="Y16" s="80">
        <v>0</v>
      </c>
      <c r="Z16" s="163">
        <v>0</v>
      </c>
      <c r="AA16" s="164">
        <f t="shared" si="10"/>
        <v>0</v>
      </c>
      <c r="AB16" s="94" t="str">
        <f t="shared" si="1"/>
        <v/>
      </c>
      <c r="AC16" s="95" t="str">
        <f t="shared" si="2"/>
        <v/>
      </c>
      <c r="AD16" s="171" t="str">
        <f t="shared" si="3"/>
        <v/>
      </c>
      <c r="AE16" s="94">
        <f t="shared" si="4"/>
        <v>1344.0860215053763</v>
      </c>
      <c r="AF16" s="3">
        <f t="shared" si="5"/>
        <v>744</v>
      </c>
      <c r="AG16" s="95">
        <f t="shared" si="6"/>
        <v>3235.294117647059</v>
      </c>
      <c r="AH16" s="84">
        <f t="shared" si="7"/>
        <v>309.09090909090907</v>
      </c>
      <c r="AI16" s="176" t="str">
        <f t="shared" si="8"/>
        <v/>
      </c>
    </row>
    <row r="17" spans="1:35" ht="14.45" customHeight="1" x14ac:dyDescent="0.25">
      <c r="A17" s="4" t="s">
        <v>109</v>
      </c>
      <c r="B17" t="s">
        <v>110</v>
      </c>
      <c r="C17" s="29" t="s">
        <v>80</v>
      </c>
      <c r="G17" t="s">
        <v>74</v>
      </c>
      <c r="H17" s="452" t="e" vm="12">
        <v>#VALUE!</v>
      </c>
      <c r="I17" s="4">
        <v>2018</v>
      </c>
      <c r="J17">
        <v>2022</v>
      </c>
      <c r="K17" s="66">
        <f t="shared" si="9"/>
        <v>4</v>
      </c>
      <c r="L17" s="4" t="s">
        <v>39</v>
      </c>
      <c r="M17" s="66" t="s">
        <v>64</v>
      </c>
      <c r="N17" s="322" t="s">
        <v>111</v>
      </c>
      <c r="O17" s="126">
        <f>AVERAGE('Poli Stab'!BK97:BO97)</f>
        <v>-0.43793727755546552</v>
      </c>
      <c r="P17" s="13">
        <f>AVERAGE(Inflation!BK97:BO97)</f>
        <v>4.3624931953551158</v>
      </c>
      <c r="Q17" s="63" t="s">
        <v>49</v>
      </c>
      <c r="R17" s="153">
        <v>29878</v>
      </c>
      <c r="S17" s="84">
        <v>2751322</v>
      </c>
      <c r="T17" s="158">
        <v>5983239</v>
      </c>
      <c r="U17" s="89">
        <v>0</v>
      </c>
      <c r="V17" s="107">
        <f>1634+4147</f>
        <v>5781</v>
      </c>
      <c r="W17" s="6">
        <v>0</v>
      </c>
      <c r="X17" s="108">
        <v>0</v>
      </c>
      <c r="Y17" s="84">
        <v>0</v>
      </c>
      <c r="Z17" s="158">
        <v>0</v>
      </c>
      <c r="AA17" s="164">
        <f t="shared" si="10"/>
        <v>92.085213200348079</v>
      </c>
      <c r="AB17" s="94" t="str">
        <f t="shared" si="1"/>
        <v/>
      </c>
      <c r="AC17" s="95" t="str">
        <f t="shared" si="2"/>
        <v/>
      </c>
      <c r="AD17" s="171" t="str">
        <f t="shared" si="3"/>
        <v/>
      </c>
      <c r="AE17" s="98" t="str">
        <f t="shared" si="4"/>
        <v/>
      </c>
      <c r="AF17" s="131">
        <f t="shared" si="5"/>
        <v>0</v>
      </c>
      <c r="AG17" s="84">
        <f t="shared" si="6"/>
        <v>1034.9833938764918</v>
      </c>
      <c r="AH17" s="84">
        <f t="shared" si="7"/>
        <v>966.19907712194015</v>
      </c>
      <c r="AI17" s="176">
        <f t="shared" si="8"/>
        <v>0.4598382247474988</v>
      </c>
    </row>
    <row r="18" spans="1:35" ht="14.45" customHeight="1" x14ac:dyDescent="0.25">
      <c r="A18" s="4" t="s">
        <v>112</v>
      </c>
      <c r="B18" t="s">
        <v>113</v>
      </c>
      <c r="C18" s="29" t="s">
        <v>104</v>
      </c>
      <c r="G18" t="s">
        <v>74</v>
      </c>
      <c r="H18" s="452" t="e" vm="13">
        <v>#VALUE!</v>
      </c>
      <c r="I18" s="4">
        <v>2015</v>
      </c>
      <c r="J18">
        <v>2019</v>
      </c>
      <c r="K18" s="66">
        <f t="shared" si="9"/>
        <v>4</v>
      </c>
      <c r="L18" s="4" t="s">
        <v>114</v>
      </c>
      <c r="M18" s="66" t="s">
        <v>115</v>
      </c>
      <c r="N18" s="461" t="s">
        <v>116</v>
      </c>
      <c r="O18" s="126">
        <f>AVERAGE('Poli Stab'!BH162:BL162)</f>
        <v>-0.22211006972938768</v>
      </c>
      <c r="P18" s="13">
        <f>AVERAGE(Inflation!BH162:BL162)</f>
        <v>0.60743203839786963</v>
      </c>
      <c r="Q18" s="63" t="s">
        <v>49</v>
      </c>
      <c r="R18" s="153">
        <v>3036</v>
      </c>
      <c r="S18" s="84">
        <f>1625114*0.98</f>
        <v>1592611.72</v>
      </c>
      <c r="T18" s="158">
        <f>6250000*0.98</f>
        <v>6125000</v>
      </c>
      <c r="U18" s="89">
        <v>2939</v>
      </c>
      <c r="V18" s="107">
        <v>5024</v>
      </c>
      <c r="W18" s="6">
        <v>172</v>
      </c>
      <c r="X18" s="89">
        <f>961350*0.98</f>
        <v>942123</v>
      </c>
      <c r="Y18" s="84">
        <f>6702140*0.98</f>
        <v>6568097.2000000002</v>
      </c>
      <c r="Z18" s="158">
        <v>0</v>
      </c>
      <c r="AA18" s="167">
        <f t="shared" si="10"/>
        <v>524.57566534914361</v>
      </c>
      <c r="AB18" s="94">
        <f t="shared" si="1"/>
        <v>0.15381600000000001</v>
      </c>
      <c r="AC18" s="95">
        <f t="shared" si="2"/>
        <v>1.0723424000000001</v>
      </c>
      <c r="AD18" s="171" t="str">
        <f t="shared" si="3"/>
        <v/>
      </c>
      <c r="AE18" s="98">
        <f t="shared" si="4"/>
        <v>2084.0421912215038</v>
      </c>
      <c r="AF18" s="131">
        <f t="shared" si="5"/>
        <v>479.83673469387753</v>
      </c>
      <c r="AG18" s="84">
        <f t="shared" si="6"/>
        <v>1219.1480891719746</v>
      </c>
      <c r="AH18" s="84">
        <f t="shared" si="7"/>
        <v>820.24489795918362</v>
      </c>
      <c r="AI18" s="176">
        <f t="shared" si="8"/>
        <v>0.26001824000000001</v>
      </c>
    </row>
    <row r="19" spans="1:35" ht="14.45" customHeight="1" x14ac:dyDescent="0.25">
      <c r="A19" s="4" t="s">
        <v>117</v>
      </c>
      <c r="B19" t="s">
        <v>118</v>
      </c>
      <c r="C19" s="29" t="s">
        <v>104</v>
      </c>
      <c r="G19" t="s">
        <v>119</v>
      </c>
      <c r="H19" s="452" t="e" vm="14">
        <v>#VALUE!</v>
      </c>
      <c r="I19" s="4">
        <v>2011</v>
      </c>
      <c r="J19">
        <v>2018</v>
      </c>
      <c r="K19" s="66">
        <f t="shared" si="9"/>
        <v>7</v>
      </c>
      <c r="L19" s="4" t="s">
        <v>39</v>
      </c>
      <c r="M19" s="66" t="s">
        <v>40</v>
      </c>
      <c r="N19" s="461" t="s">
        <v>120</v>
      </c>
      <c r="O19" s="126">
        <f>AVERAGE('Poli Stab'!BD87:BK87)</f>
        <v>-0.46441576257348077</v>
      </c>
      <c r="P19" s="13">
        <f>AVERAGE(Inflation!BD87:BK87)</f>
        <v>3.1181369357438418</v>
      </c>
      <c r="Q19" s="63" t="s">
        <v>49</v>
      </c>
      <c r="R19" s="153">
        <v>2000</v>
      </c>
      <c r="S19" s="84">
        <f>(789*(439-251)+270*(315-200))*1.0375</f>
        <v>186108.82500000001</v>
      </c>
      <c r="T19" s="158">
        <v>6200000</v>
      </c>
      <c r="U19" s="89">
        <v>0</v>
      </c>
      <c r="V19" s="66">
        <f>789+270</f>
        <v>1059</v>
      </c>
      <c r="W19">
        <f>789+270</f>
        <v>1059</v>
      </c>
      <c r="X19" s="108">
        <v>0</v>
      </c>
      <c r="Y19" s="84">
        <v>0</v>
      </c>
      <c r="Z19" s="158">
        <v>0</v>
      </c>
      <c r="AA19" s="164">
        <f t="shared" si="10"/>
        <v>93.054412500000012</v>
      </c>
      <c r="AB19" s="94" t="str">
        <f t="shared" si="1"/>
        <v/>
      </c>
      <c r="AC19" s="95" t="str">
        <f t="shared" si="2"/>
        <v/>
      </c>
      <c r="AD19" s="171" t="str">
        <f t="shared" si="3"/>
        <v/>
      </c>
      <c r="AE19" s="98" t="str">
        <f t="shared" si="4"/>
        <v/>
      </c>
      <c r="AF19" s="131">
        <f t="shared" si="5"/>
        <v>0</v>
      </c>
      <c r="AG19" s="84">
        <f t="shared" si="6"/>
        <v>5854.5797922568463</v>
      </c>
      <c r="AH19" s="84">
        <f t="shared" si="7"/>
        <v>170.80645161290323</v>
      </c>
      <c r="AI19" s="176">
        <f t="shared" si="8"/>
        <v>3.0017552419354842E-2</v>
      </c>
    </row>
    <row r="20" spans="1:35" ht="14.45" customHeight="1" x14ac:dyDescent="0.25">
      <c r="A20" s="4" t="s">
        <v>121</v>
      </c>
      <c r="B20" t="s">
        <v>122</v>
      </c>
      <c r="C20" s="29" t="s">
        <v>80</v>
      </c>
      <c r="G20" t="s">
        <v>123</v>
      </c>
      <c r="H20" s="452" t="e" vm="15">
        <v>#VALUE!</v>
      </c>
      <c r="I20" s="4">
        <v>2018</v>
      </c>
      <c r="J20">
        <v>2023</v>
      </c>
      <c r="K20" s="66">
        <f t="shared" si="9"/>
        <v>5</v>
      </c>
      <c r="L20" s="4" t="s">
        <v>124</v>
      </c>
      <c r="M20" s="66" t="s">
        <v>125</v>
      </c>
      <c r="N20" s="461" t="s">
        <v>126</v>
      </c>
      <c r="O20" s="126">
        <f>AVERAGE('Poli Stab'!BK170:BP170)</f>
        <v>-1.1122348407904319</v>
      </c>
      <c r="P20" s="13">
        <f>AVERAGE(Inflation!BK170:BP170)</f>
        <v>5.6688043857563271</v>
      </c>
      <c r="Q20" s="63" t="s">
        <v>42</v>
      </c>
      <c r="R20" s="153">
        <v>27146</v>
      </c>
      <c r="S20" s="84">
        <v>0</v>
      </c>
      <c r="T20" s="158">
        <v>6200000</v>
      </c>
      <c r="U20" s="89">
        <v>1734</v>
      </c>
      <c r="V20" s="107">
        <v>0</v>
      </c>
      <c r="W20" s="6">
        <v>0</v>
      </c>
      <c r="X20" s="89">
        <v>0</v>
      </c>
      <c r="Y20" s="107">
        <v>0</v>
      </c>
      <c r="Z20" s="158">
        <v>0</v>
      </c>
      <c r="AA20" s="164">
        <f t="shared" si="10"/>
        <v>0</v>
      </c>
      <c r="AB20" s="94" t="str">
        <f t="shared" si="1"/>
        <v/>
      </c>
      <c r="AC20" s="95" t="str">
        <f t="shared" si="2"/>
        <v/>
      </c>
      <c r="AD20" s="171" t="str">
        <f t="shared" si="3"/>
        <v/>
      </c>
      <c r="AE20" s="98">
        <f t="shared" si="4"/>
        <v>3575.5478662053056</v>
      </c>
      <c r="AF20" s="131">
        <f t="shared" si="5"/>
        <v>279.67741935483872</v>
      </c>
      <c r="AG20" s="84" t="str">
        <f t="shared" si="6"/>
        <v/>
      </c>
      <c r="AH20" s="84">
        <f t="shared" si="7"/>
        <v>0</v>
      </c>
      <c r="AI20" s="176" t="str">
        <f t="shared" si="8"/>
        <v/>
      </c>
    </row>
    <row r="21" spans="1:35" ht="14.45" customHeight="1" x14ac:dyDescent="0.25">
      <c r="A21" s="4" t="s">
        <v>127</v>
      </c>
      <c r="B21" t="s">
        <v>128</v>
      </c>
      <c r="C21" s="29" t="s">
        <v>45</v>
      </c>
      <c r="D21" t="s">
        <v>63</v>
      </c>
      <c r="G21" t="s">
        <v>38</v>
      </c>
      <c r="H21" s="452" t="e" vm="4">
        <v>#VALUE!</v>
      </c>
      <c r="I21" s="4">
        <v>2018</v>
      </c>
      <c r="J21">
        <v>2023</v>
      </c>
      <c r="K21" s="66">
        <f t="shared" si="9"/>
        <v>5</v>
      </c>
      <c r="L21" s="4" t="s">
        <v>129</v>
      </c>
      <c r="M21" s="66" t="s">
        <v>64</v>
      </c>
      <c r="N21" s="322" t="s">
        <v>41</v>
      </c>
      <c r="O21" s="126">
        <f>AVERAGE('Poli Stab'!BK143:BP143)</f>
        <v>-0.35559853166341782</v>
      </c>
      <c r="P21" s="13">
        <f>AVERAGE(Inflation!BK143:BP143)</f>
        <v>14.182405575860892</v>
      </c>
      <c r="Q21" s="63" t="s">
        <v>42</v>
      </c>
      <c r="R21" s="153">
        <v>6127</v>
      </c>
      <c r="S21" s="84">
        <f>3209*(67435-22363)/285+1442*(117000-94000)/285</f>
        <v>623866.83508771937</v>
      </c>
      <c r="T21" s="158">
        <v>6588969</v>
      </c>
      <c r="U21" s="89">
        <v>0</v>
      </c>
      <c r="V21" s="107">
        <v>6127</v>
      </c>
      <c r="W21" s="6">
        <v>631</v>
      </c>
      <c r="X21" s="108">
        <v>0</v>
      </c>
      <c r="Y21" s="84">
        <v>0</v>
      </c>
      <c r="Z21" s="158">
        <v>0</v>
      </c>
      <c r="AA21" s="164">
        <f t="shared" si="10"/>
        <v>101.82256162685154</v>
      </c>
      <c r="AB21" s="94" t="str">
        <f t="shared" si="1"/>
        <v/>
      </c>
      <c r="AC21" s="95" t="str">
        <f t="shared" si="2"/>
        <v/>
      </c>
      <c r="AD21" s="171" t="str">
        <f t="shared" si="3"/>
        <v/>
      </c>
      <c r="AE21" s="98" t="str">
        <f t="shared" si="4"/>
        <v/>
      </c>
      <c r="AF21" s="131">
        <f t="shared" si="5"/>
        <v>0</v>
      </c>
      <c r="AG21" s="84">
        <f t="shared" si="6"/>
        <v>1075.3988901583157</v>
      </c>
      <c r="AH21" s="84">
        <f t="shared" si="7"/>
        <v>929.88751350932148</v>
      </c>
      <c r="AI21" s="176">
        <f t="shared" si="8"/>
        <v>9.4683528650342616E-2</v>
      </c>
    </row>
    <row r="22" spans="1:35" ht="14.45" customHeight="1" x14ac:dyDescent="0.25">
      <c r="A22" s="4" t="s">
        <v>130</v>
      </c>
      <c r="B22" t="s">
        <v>131</v>
      </c>
      <c r="C22" s="29" t="s">
        <v>132</v>
      </c>
      <c r="G22" t="s">
        <v>53</v>
      </c>
      <c r="H22" s="452" t="e" vm="16">
        <v>#VALUE!</v>
      </c>
      <c r="I22" s="4">
        <v>2011</v>
      </c>
      <c r="J22">
        <v>2016</v>
      </c>
      <c r="K22" s="66">
        <f t="shared" si="9"/>
        <v>5</v>
      </c>
      <c r="L22" s="4" t="s">
        <v>39</v>
      </c>
      <c r="M22" s="66" t="s">
        <v>40</v>
      </c>
      <c r="N22" s="322" t="s">
        <v>54</v>
      </c>
      <c r="O22" s="126">
        <f>AVERAGE('Poli Stab'!BD252:BI252)</f>
        <v>-0.8579562107721963</v>
      </c>
      <c r="P22" s="13">
        <f>AVERAGE(Inflation!BD252:BI252)</f>
        <v>8.0867273158547945</v>
      </c>
      <c r="Q22" s="63" t="s">
        <v>49</v>
      </c>
      <c r="R22" s="153">
        <v>100000</v>
      </c>
      <c r="S22" s="84">
        <v>0</v>
      </c>
      <c r="T22" s="158">
        <v>6620000</v>
      </c>
      <c r="U22" s="89">
        <v>0</v>
      </c>
      <c r="V22" s="107">
        <f>Table16[[#This Row],['# of Beneficiaries]]*0.524</f>
        <v>52400</v>
      </c>
      <c r="W22" s="6">
        <v>140</v>
      </c>
      <c r="X22" s="108">
        <v>91131</v>
      </c>
      <c r="Y22" s="84">
        <v>10000000</v>
      </c>
      <c r="Z22" s="158">
        <v>0</v>
      </c>
      <c r="AA22" s="164">
        <f t="shared" si="10"/>
        <v>0</v>
      </c>
      <c r="AB22" s="94">
        <f t="shared" si="1"/>
        <v>1.3766012084592145E-2</v>
      </c>
      <c r="AC22" s="95">
        <f t="shared" si="2"/>
        <v>1.5105740181268883</v>
      </c>
      <c r="AD22" s="171" t="str">
        <f t="shared" si="3"/>
        <v/>
      </c>
      <c r="AE22" s="98" t="str">
        <f t="shared" si="4"/>
        <v/>
      </c>
      <c r="AF22" s="131">
        <f t="shared" si="5"/>
        <v>0</v>
      </c>
      <c r="AG22" s="84">
        <f t="shared" si="6"/>
        <v>126.33587786259542</v>
      </c>
      <c r="AH22" s="84">
        <f t="shared" si="7"/>
        <v>7915.4078549848946</v>
      </c>
      <c r="AI22" s="176" t="str">
        <f t="shared" si="8"/>
        <v/>
      </c>
    </row>
    <row r="23" spans="1:35" ht="14.45" customHeight="1" x14ac:dyDescent="0.25">
      <c r="A23" s="4" t="s">
        <v>133</v>
      </c>
      <c r="B23" t="s">
        <v>134</v>
      </c>
      <c r="C23" s="29" t="s">
        <v>45</v>
      </c>
      <c r="G23" t="s">
        <v>38</v>
      </c>
      <c r="H23" s="452" t="e" vm="4">
        <v>#VALUE!</v>
      </c>
      <c r="I23" s="4">
        <v>2010</v>
      </c>
      <c r="J23">
        <v>2016</v>
      </c>
      <c r="K23" s="66">
        <f t="shared" si="9"/>
        <v>6</v>
      </c>
      <c r="L23" s="4" t="s">
        <v>129</v>
      </c>
      <c r="M23" s="66" t="s">
        <v>64</v>
      </c>
      <c r="N23" s="322" t="s">
        <v>41</v>
      </c>
      <c r="O23" s="126">
        <f>AVERAGE('Poli Stab'!BC143:BI143)</f>
        <v>-0.46518776645617821</v>
      </c>
      <c r="P23" s="13">
        <f>AVERAGE(Inflation!BC143:BI143)</f>
        <v>5.4702914269318219</v>
      </c>
      <c r="Q23" s="63" t="s">
        <v>42</v>
      </c>
      <c r="R23" s="153">
        <f>10000</f>
        <v>10000</v>
      </c>
      <c r="S23" s="84">
        <f>28000*12*10000/130</f>
        <v>25846153.846153848</v>
      </c>
      <c r="T23" s="158">
        <v>6900000</v>
      </c>
      <c r="U23" s="89">
        <f>37.5+30+8</f>
        <v>75.5</v>
      </c>
      <c r="V23" s="107">
        <v>10000</v>
      </c>
      <c r="W23" s="6">
        <v>50</v>
      </c>
      <c r="X23" s="108">
        <v>0</v>
      </c>
      <c r="Y23" s="84">
        <v>0</v>
      </c>
      <c r="Z23" s="158">
        <v>0</v>
      </c>
      <c r="AA23" s="164">
        <f t="shared" si="10"/>
        <v>2584.6153846153848</v>
      </c>
      <c r="AB23" s="94" t="str">
        <f t="shared" si="1"/>
        <v/>
      </c>
      <c r="AC23" s="95" t="str">
        <f t="shared" si="2"/>
        <v/>
      </c>
      <c r="AD23" s="171" t="str">
        <f t="shared" si="3"/>
        <v/>
      </c>
      <c r="AE23" s="98">
        <f t="shared" si="4"/>
        <v>91390.728476821198</v>
      </c>
      <c r="AF23" s="131">
        <f t="shared" si="5"/>
        <v>10.942028985507246</v>
      </c>
      <c r="AG23" s="84">
        <f t="shared" si="6"/>
        <v>690</v>
      </c>
      <c r="AH23" s="84">
        <f t="shared" si="7"/>
        <v>1449.2753623188405</v>
      </c>
      <c r="AI23" s="176">
        <f t="shared" si="8"/>
        <v>3.7458193979933112</v>
      </c>
    </row>
    <row r="24" spans="1:35" ht="14.45" customHeight="1" x14ac:dyDescent="0.25">
      <c r="A24" s="4" t="s">
        <v>135</v>
      </c>
      <c r="B24" t="s">
        <v>136</v>
      </c>
      <c r="C24" s="29" t="s">
        <v>137</v>
      </c>
      <c r="D24" s="17"/>
      <c r="E24" s="17"/>
      <c r="F24" s="17"/>
      <c r="G24" t="s">
        <v>138</v>
      </c>
      <c r="H24" s="452" t="e" vm="17">
        <v>#VALUE!</v>
      </c>
      <c r="I24" s="4">
        <v>2019</v>
      </c>
      <c r="J24">
        <v>2022</v>
      </c>
      <c r="K24" s="66">
        <f t="shared" si="9"/>
        <v>3</v>
      </c>
      <c r="L24" s="4" t="s">
        <v>39</v>
      </c>
      <c r="M24" s="66" t="s">
        <v>139</v>
      </c>
      <c r="N24" s="138" t="s">
        <v>140</v>
      </c>
      <c r="O24" s="72">
        <f>AVERAGE('Poli Stab'!BL208:BO208)</f>
        <v>7.029367517679927E-2</v>
      </c>
      <c r="P24" s="28">
        <f>AVERAGE(Inflation!BL208:BO208)</f>
        <v>7.624034595908272</v>
      </c>
      <c r="Q24" s="66" t="s">
        <v>49</v>
      </c>
      <c r="R24" s="153">
        <v>111721</v>
      </c>
      <c r="S24" s="84">
        <v>8270000</v>
      </c>
      <c r="T24" s="158">
        <v>6908192</v>
      </c>
      <c r="U24" s="89">
        <v>1374</v>
      </c>
      <c r="V24" s="107">
        <v>0</v>
      </c>
      <c r="W24" s="6">
        <v>19</v>
      </c>
      <c r="X24" s="108">
        <v>6000000</v>
      </c>
      <c r="Y24" s="84">
        <v>11200000</v>
      </c>
      <c r="Z24" s="158">
        <v>2400000</v>
      </c>
      <c r="AA24" s="164">
        <f t="shared" si="10"/>
        <v>74.023683998532064</v>
      </c>
      <c r="AB24" s="94">
        <f t="shared" si="1"/>
        <v>0.86853405348316892</v>
      </c>
      <c r="AC24" s="95">
        <f t="shared" si="2"/>
        <v>1.6212635665019155</v>
      </c>
      <c r="AD24" s="171">
        <f t="shared" si="3"/>
        <v>0.34741362139326759</v>
      </c>
      <c r="AE24" s="98">
        <f t="shared" si="4"/>
        <v>5027.7962154294028</v>
      </c>
      <c r="AF24" s="131">
        <f t="shared" si="5"/>
        <v>198.89429824764571</v>
      </c>
      <c r="AG24" s="95" t="str">
        <f t="shared" si="6"/>
        <v/>
      </c>
      <c r="AH24" s="84">
        <f t="shared" si="7"/>
        <v>0</v>
      </c>
      <c r="AI24" s="176">
        <f t="shared" si="8"/>
        <v>1.197129437050968</v>
      </c>
    </row>
    <row r="25" spans="1:35" ht="14.45" customHeight="1" x14ac:dyDescent="0.25">
      <c r="A25" s="29" t="s">
        <v>141</v>
      </c>
      <c r="B25" s="17" t="s">
        <v>142</v>
      </c>
      <c r="C25" s="29" t="s">
        <v>104</v>
      </c>
      <c r="D25" s="17"/>
      <c r="E25" s="17"/>
      <c r="F25" s="17"/>
      <c r="G25" s="17" t="s">
        <v>105</v>
      </c>
      <c r="H25" s="450" t="e" vm="11">
        <v>#VALUE!</v>
      </c>
      <c r="I25" s="29">
        <v>2013</v>
      </c>
      <c r="J25" s="17">
        <v>2016</v>
      </c>
      <c r="K25" s="66">
        <f t="shared" si="9"/>
        <v>3</v>
      </c>
      <c r="L25" s="29" t="s">
        <v>106</v>
      </c>
      <c r="M25" s="63" t="s">
        <v>107</v>
      </c>
      <c r="N25" s="138" t="s">
        <v>143</v>
      </c>
      <c r="O25" s="72">
        <f>AVERAGE('Poli Stab'!BF266:BI266)</f>
        <v>-0.44831524416804303</v>
      </c>
      <c r="P25" s="28">
        <f>AVERAGE(Inflation!BF266:BI266)</f>
        <v>0.48313053254445415</v>
      </c>
      <c r="Q25" s="63" t="s">
        <v>49</v>
      </c>
      <c r="R25" s="153">
        <v>33000</v>
      </c>
      <c r="S25" s="80">
        <v>0</v>
      </c>
      <c r="T25" s="158">
        <v>7200000</v>
      </c>
      <c r="U25" s="89">
        <v>1600</v>
      </c>
      <c r="V25" s="80">
        <v>0</v>
      </c>
      <c r="W25" s="79">
        <f>120+10</f>
        <v>130</v>
      </c>
      <c r="X25" s="108">
        <v>3162000</v>
      </c>
      <c r="Y25" s="80">
        <v>0</v>
      </c>
      <c r="Z25" s="163">
        <v>0</v>
      </c>
      <c r="AA25" s="164">
        <f t="shared" si="10"/>
        <v>0</v>
      </c>
      <c r="AB25" s="94">
        <f t="shared" si="1"/>
        <v>0.43916666666666665</v>
      </c>
      <c r="AC25" s="95" t="str">
        <f t="shared" si="2"/>
        <v/>
      </c>
      <c r="AD25" s="171" t="str">
        <f t="shared" si="3"/>
        <v/>
      </c>
      <c r="AE25" s="94">
        <f t="shared" si="4"/>
        <v>4500</v>
      </c>
      <c r="AF25" s="3">
        <f t="shared" si="5"/>
        <v>222.22222222222223</v>
      </c>
      <c r="AG25" s="95" t="str">
        <f t="shared" si="6"/>
        <v/>
      </c>
      <c r="AH25" s="84">
        <f t="shared" si="7"/>
        <v>0</v>
      </c>
      <c r="AI25" s="176" t="str">
        <f t="shared" si="8"/>
        <v/>
      </c>
    </row>
    <row r="26" spans="1:35" ht="14.45" customHeight="1" x14ac:dyDescent="0.25">
      <c r="A26" s="29" t="s">
        <v>144</v>
      </c>
      <c r="B26" t="s">
        <v>145</v>
      </c>
      <c r="C26" s="29" t="s">
        <v>104</v>
      </c>
      <c r="D26" s="17"/>
      <c r="E26" s="17"/>
      <c r="F26" s="17"/>
      <c r="G26" s="17" t="s">
        <v>146</v>
      </c>
      <c r="H26" s="450" t="e" vm="8">
        <v>#VALUE!</v>
      </c>
      <c r="I26" s="4">
        <v>2016</v>
      </c>
      <c r="J26">
        <v>2020</v>
      </c>
      <c r="K26" s="66">
        <f t="shared" si="9"/>
        <v>4</v>
      </c>
      <c r="L26" s="4" t="s">
        <v>39</v>
      </c>
      <c r="M26" s="63" t="s">
        <v>139</v>
      </c>
      <c r="N26" s="138" t="s">
        <v>147</v>
      </c>
      <c r="O26" s="72">
        <f>AVERAGE('Poli Stab'!BI25:BM25)</f>
        <v>-1.0686749696731559</v>
      </c>
      <c r="P26" s="28">
        <f>AVERAGE(Inflation!BI25:BM25)</f>
        <v>5.6084576851471022</v>
      </c>
      <c r="Q26" s="63" t="s">
        <v>49</v>
      </c>
      <c r="R26" s="153">
        <v>82957</v>
      </c>
      <c r="S26" s="84">
        <f>4532000000*0.01234</f>
        <v>55924880</v>
      </c>
      <c r="T26" s="158">
        <v>7400000</v>
      </c>
      <c r="U26" s="89">
        <v>0</v>
      </c>
      <c r="V26" s="101">
        <v>82957</v>
      </c>
      <c r="W26" s="6">
        <f>7+328</f>
        <v>335</v>
      </c>
      <c r="X26" s="108">
        <v>0</v>
      </c>
      <c r="Y26" s="84">
        <v>4048</v>
      </c>
      <c r="Z26" s="158">
        <v>0</v>
      </c>
      <c r="AA26" s="164">
        <f t="shared" si="10"/>
        <v>674.14298974167343</v>
      </c>
      <c r="AB26" s="94" t="str">
        <f t="shared" si="1"/>
        <v/>
      </c>
      <c r="AC26" s="95">
        <f t="shared" si="2"/>
        <v>5.4702702702702705E-4</v>
      </c>
      <c r="AD26" s="171" t="str">
        <f t="shared" si="3"/>
        <v/>
      </c>
      <c r="AE26" s="98" t="str">
        <f t="shared" si="4"/>
        <v/>
      </c>
      <c r="AF26" s="131">
        <f t="shared" si="5"/>
        <v>0</v>
      </c>
      <c r="AG26" s="84">
        <f t="shared" si="6"/>
        <v>89.202840025555403</v>
      </c>
      <c r="AH26" s="84">
        <f t="shared" si="7"/>
        <v>11210.405405405405</v>
      </c>
      <c r="AI26" s="176">
        <f t="shared" si="8"/>
        <v>7.5574162162162164</v>
      </c>
    </row>
    <row r="27" spans="1:35" ht="14.45" customHeight="1" x14ac:dyDescent="0.25">
      <c r="A27" s="29" t="s">
        <v>148</v>
      </c>
      <c r="B27" s="17" t="s">
        <v>149</v>
      </c>
      <c r="C27" s="29" t="s">
        <v>104</v>
      </c>
      <c r="D27" s="17"/>
      <c r="E27" s="17"/>
      <c r="F27" s="17"/>
      <c r="G27" s="17" t="s">
        <v>105</v>
      </c>
      <c r="H27" s="450" t="e" vm="11">
        <v>#VALUE!</v>
      </c>
      <c r="I27" s="29">
        <v>2017</v>
      </c>
      <c r="J27" s="17">
        <v>2020</v>
      </c>
      <c r="K27" s="66">
        <f t="shared" si="9"/>
        <v>3</v>
      </c>
      <c r="L27" s="29" t="s">
        <v>106</v>
      </c>
      <c r="M27" s="63" t="s">
        <v>107</v>
      </c>
      <c r="N27" s="138" t="s">
        <v>150</v>
      </c>
      <c r="O27" s="72">
        <f>AVERAGE('Poli Stab'!BJ266:BM266)</f>
        <v>-0.38692522421479225</v>
      </c>
      <c r="P27" s="28">
        <f>AVERAGE(Inflation!BJ266:BM266)</f>
        <v>1.3540629979667238</v>
      </c>
      <c r="Q27" s="63" t="s">
        <v>49</v>
      </c>
      <c r="R27" s="153">
        <v>15000</v>
      </c>
      <c r="S27" s="80">
        <v>0</v>
      </c>
      <c r="T27" s="158">
        <v>7500000</v>
      </c>
      <c r="U27" s="89">
        <v>300</v>
      </c>
      <c r="V27" s="80">
        <v>800</v>
      </c>
      <c r="W27" s="79">
        <f>25000+20</f>
        <v>25020</v>
      </c>
      <c r="X27" s="108">
        <v>7500000</v>
      </c>
      <c r="Y27" s="84">
        <v>250000</v>
      </c>
      <c r="Z27" s="163">
        <v>0</v>
      </c>
      <c r="AA27" s="134">
        <f t="shared" si="10"/>
        <v>0</v>
      </c>
      <c r="AB27" s="94">
        <f t="shared" si="1"/>
        <v>1</v>
      </c>
      <c r="AC27" s="95">
        <f t="shared" si="2"/>
        <v>3.3333333333333333E-2</v>
      </c>
      <c r="AD27" s="171" t="str">
        <f t="shared" si="3"/>
        <v/>
      </c>
      <c r="AE27" s="94">
        <f t="shared" si="4"/>
        <v>25000</v>
      </c>
      <c r="AF27" s="3">
        <f t="shared" si="5"/>
        <v>40</v>
      </c>
      <c r="AG27" s="95">
        <f t="shared" si="6"/>
        <v>9375</v>
      </c>
      <c r="AH27" s="84">
        <f t="shared" si="7"/>
        <v>106.66666666666667</v>
      </c>
      <c r="AI27" s="176" t="str">
        <f t="shared" si="8"/>
        <v/>
      </c>
    </row>
    <row r="28" spans="1:35" ht="14.45" customHeight="1" x14ac:dyDescent="0.25">
      <c r="A28" s="29" t="s">
        <v>151</v>
      </c>
      <c r="B28" s="17" t="s">
        <v>152</v>
      </c>
      <c r="C28" s="29" t="s">
        <v>57</v>
      </c>
      <c r="D28" s="17" t="s">
        <v>153</v>
      </c>
      <c r="E28" s="17"/>
      <c r="F28" s="17"/>
      <c r="G28" s="17" t="s">
        <v>154</v>
      </c>
      <c r="H28" s="450" t="e" vm="18">
        <v>#VALUE!</v>
      </c>
      <c r="I28" s="29">
        <v>2019</v>
      </c>
      <c r="J28" s="17">
        <v>2023</v>
      </c>
      <c r="K28" s="66">
        <f t="shared" si="9"/>
        <v>4</v>
      </c>
      <c r="L28" s="4" t="s">
        <v>39</v>
      </c>
      <c r="M28" s="63" t="s">
        <v>139</v>
      </c>
      <c r="N28" s="138" t="s">
        <v>155</v>
      </c>
      <c r="O28" s="72">
        <f>AVERAGE('Poli Stab'!BL221:BP221)</f>
        <v>-2.2793479919433617</v>
      </c>
      <c r="P28" s="28">
        <f>AVERAGE(Inflation!BL221:BP221)</f>
        <v>24.625881387861419</v>
      </c>
      <c r="Q28" s="63" t="s">
        <v>42</v>
      </c>
      <c r="R28" s="153">
        <v>21826</v>
      </c>
      <c r="S28" s="103">
        <f>168*R28*2</f>
        <v>7333536</v>
      </c>
      <c r="T28" s="158">
        <v>7650000</v>
      </c>
      <c r="U28" s="106">
        <v>0</v>
      </c>
      <c r="V28" s="80">
        <v>0</v>
      </c>
      <c r="W28" s="79">
        <f>574+165</f>
        <v>739</v>
      </c>
      <c r="X28" s="108">
        <v>107000</v>
      </c>
      <c r="Y28" s="80">
        <v>0</v>
      </c>
      <c r="Z28" s="163">
        <v>0</v>
      </c>
      <c r="AA28" s="164">
        <f t="shared" si="10"/>
        <v>336</v>
      </c>
      <c r="AB28" s="94">
        <f t="shared" si="1"/>
        <v>1.3986928104575164E-2</v>
      </c>
      <c r="AC28" s="95" t="str">
        <f t="shared" si="2"/>
        <v/>
      </c>
      <c r="AD28" s="171" t="str">
        <f t="shared" si="3"/>
        <v/>
      </c>
      <c r="AE28" s="94" t="str">
        <f t="shared" si="4"/>
        <v/>
      </c>
      <c r="AF28" s="3">
        <f t="shared" si="5"/>
        <v>0</v>
      </c>
      <c r="AG28" s="95" t="str">
        <f t="shared" si="6"/>
        <v/>
      </c>
      <c r="AH28" s="84">
        <f t="shared" si="7"/>
        <v>0</v>
      </c>
      <c r="AI28" s="176">
        <f t="shared" si="8"/>
        <v>0.95863215686274506</v>
      </c>
    </row>
    <row r="29" spans="1:35" ht="14.45" customHeight="1" x14ac:dyDescent="0.25">
      <c r="A29" s="4" t="s">
        <v>156</v>
      </c>
      <c r="B29" t="s">
        <v>157</v>
      </c>
      <c r="C29" s="29" t="s">
        <v>104</v>
      </c>
      <c r="G29" s="17" t="s">
        <v>74</v>
      </c>
      <c r="H29" s="452" t="e" vm="1">
        <v>#VALUE!</v>
      </c>
      <c r="I29" s="4">
        <v>2016</v>
      </c>
      <c r="J29">
        <v>2020</v>
      </c>
      <c r="K29" s="66">
        <f t="shared" si="9"/>
        <v>4</v>
      </c>
      <c r="L29" s="4" t="s">
        <v>39</v>
      </c>
      <c r="M29" s="63" t="s">
        <v>93</v>
      </c>
      <c r="N29" s="429" t="s">
        <v>158</v>
      </c>
      <c r="O29" s="72">
        <f>AVERAGE('Poli Stab'!BI183:BM183)</f>
        <v>-0.52113158404827131</v>
      </c>
      <c r="P29" s="28">
        <f>AVERAGE(Inflation!BI183:BM183)</f>
        <v>5.3192992039255742</v>
      </c>
      <c r="Q29" s="63" t="s">
        <v>49</v>
      </c>
      <c r="R29" s="153">
        <v>51867</v>
      </c>
      <c r="S29" s="84">
        <f>(3193*7889+31752*12755+10264*9111+6658*21324)*0.008439</f>
        <v>5617646.7936869999</v>
      </c>
      <c r="T29" s="158">
        <v>7700000</v>
      </c>
      <c r="U29" s="89">
        <v>2072</v>
      </c>
      <c r="V29" s="101">
        <v>51867</v>
      </c>
      <c r="W29" s="6">
        <v>0</v>
      </c>
      <c r="X29" s="108">
        <v>0</v>
      </c>
      <c r="Y29" s="84">
        <v>0</v>
      </c>
      <c r="Z29" s="158">
        <v>0</v>
      </c>
      <c r="AA29" s="164">
        <f t="shared" si="10"/>
        <v>108.30868941112846</v>
      </c>
      <c r="AB29" s="94" t="str">
        <f t="shared" si="1"/>
        <v/>
      </c>
      <c r="AC29" s="95" t="str">
        <f t="shared" si="2"/>
        <v/>
      </c>
      <c r="AD29" s="171" t="str">
        <f t="shared" si="3"/>
        <v/>
      </c>
      <c r="AE29" s="98">
        <f t="shared" si="4"/>
        <v>3716.2162162162163</v>
      </c>
      <c r="AF29" s="131">
        <f t="shared" si="5"/>
        <v>269.09090909090907</v>
      </c>
      <c r="AG29" s="84">
        <f t="shared" si="6"/>
        <v>148.45662945610889</v>
      </c>
      <c r="AH29" s="84">
        <f t="shared" si="7"/>
        <v>6735.9740259740256</v>
      </c>
      <c r="AI29" s="176">
        <f t="shared" si="8"/>
        <v>0.72956451866064931</v>
      </c>
    </row>
    <row r="30" spans="1:35" ht="14.45" customHeight="1" x14ac:dyDescent="0.25">
      <c r="A30" s="4" t="s">
        <v>159</v>
      </c>
      <c r="B30" t="s">
        <v>159</v>
      </c>
      <c r="C30" s="29" t="s">
        <v>104</v>
      </c>
      <c r="G30" t="s">
        <v>160</v>
      </c>
      <c r="H30" s="452" t="e" vm="19">
        <v>#VALUE!</v>
      </c>
      <c r="I30" s="4">
        <v>2014</v>
      </c>
      <c r="J30">
        <v>2017</v>
      </c>
      <c r="K30" s="66">
        <f t="shared" si="9"/>
        <v>3</v>
      </c>
      <c r="L30" s="4" t="s">
        <v>39</v>
      </c>
      <c r="M30" s="66" t="s">
        <v>40</v>
      </c>
      <c r="N30" s="461" t="s">
        <v>161</v>
      </c>
      <c r="O30" s="126">
        <f>AVERAGE('Poli Stab'!BG33:BJ33)</f>
        <v>-0.28434941172599798</v>
      </c>
      <c r="P30" s="13">
        <f>AVERAGE(Inflation!BG33:BJ33)</f>
        <v>4.0680458825652419</v>
      </c>
      <c r="Q30" s="63" t="s">
        <v>49</v>
      </c>
      <c r="R30" s="153">
        <v>32000</v>
      </c>
      <c r="S30" s="84">
        <f>T30/AI30</f>
        <v>3073929.9610894942</v>
      </c>
      <c r="T30" s="158">
        <v>7900000</v>
      </c>
      <c r="U30" s="89">
        <v>0</v>
      </c>
      <c r="V30" s="107">
        <v>17000</v>
      </c>
      <c r="W30" s="6">
        <v>0</v>
      </c>
      <c r="X30" s="108">
        <v>0</v>
      </c>
      <c r="Y30" s="84">
        <v>0</v>
      </c>
      <c r="Z30" s="158">
        <v>0</v>
      </c>
      <c r="AA30" s="164">
        <f t="shared" si="10"/>
        <v>96.060311284046691</v>
      </c>
      <c r="AB30" s="94" t="str">
        <f t="shared" si="1"/>
        <v/>
      </c>
      <c r="AC30" s="95" t="str">
        <f t="shared" si="2"/>
        <v/>
      </c>
      <c r="AD30" s="171" t="str">
        <f t="shared" si="3"/>
        <v/>
      </c>
      <c r="AE30" s="98" t="str">
        <f t="shared" si="4"/>
        <v/>
      </c>
      <c r="AF30" s="131">
        <f t="shared" si="5"/>
        <v>0</v>
      </c>
      <c r="AG30" s="84">
        <f t="shared" si="6"/>
        <v>464.70588235294116</v>
      </c>
      <c r="AH30" s="84">
        <f t="shared" si="7"/>
        <v>2151.8987341772149</v>
      </c>
      <c r="AI30" s="134">
        <v>2.57</v>
      </c>
    </row>
    <row r="31" spans="1:35" ht="14.45" customHeight="1" x14ac:dyDescent="0.25">
      <c r="A31" s="4" t="s">
        <v>162</v>
      </c>
      <c r="B31" t="s">
        <v>163</v>
      </c>
      <c r="C31" s="29" t="s">
        <v>80</v>
      </c>
      <c r="G31" t="s">
        <v>164</v>
      </c>
      <c r="H31" s="452" t="e" vm="20">
        <v>#VALUE!</v>
      </c>
      <c r="I31" s="4">
        <v>2013</v>
      </c>
      <c r="J31">
        <v>2019</v>
      </c>
      <c r="K31" s="66">
        <f t="shared" si="9"/>
        <v>6</v>
      </c>
      <c r="L31" s="4" t="s">
        <v>39</v>
      </c>
      <c r="M31" s="66" t="s">
        <v>40</v>
      </c>
      <c r="N31" s="461" t="s">
        <v>165</v>
      </c>
      <c r="O31" s="126">
        <f>AVERAGE('Poli Stab'!BF269:BL269)</f>
        <v>0.13963858251060762</v>
      </c>
      <c r="P31" s="13">
        <f>AVERAGE(Inflation!BF269:BL269)</f>
        <v>9.4267249247942182</v>
      </c>
      <c r="Q31" s="63" t="s">
        <v>49</v>
      </c>
      <c r="R31" s="153">
        <v>10878</v>
      </c>
      <c r="S31" s="84">
        <v>0</v>
      </c>
      <c r="T31" s="158">
        <v>8200000</v>
      </c>
      <c r="U31" s="89">
        <v>0</v>
      </c>
      <c r="V31" s="107">
        <v>10878</v>
      </c>
      <c r="W31" s="6">
        <f>12+1</f>
        <v>13</v>
      </c>
      <c r="X31" s="108">
        <v>400000</v>
      </c>
      <c r="Y31" s="84">
        <v>0</v>
      </c>
      <c r="Z31" s="158">
        <v>0</v>
      </c>
      <c r="AA31" s="164">
        <f t="shared" si="10"/>
        <v>0</v>
      </c>
      <c r="AB31" s="94">
        <f t="shared" si="1"/>
        <v>4.878048780487805E-2</v>
      </c>
      <c r="AC31" s="95" t="str">
        <f t="shared" si="2"/>
        <v/>
      </c>
      <c r="AD31" s="171" t="str">
        <f t="shared" si="3"/>
        <v/>
      </c>
      <c r="AE31" s="98" t="str">
        <f t="shared" si="4"/>
        <v/>
      </c>
      <c r="AF31" s="131">
        <f t="shared" si="5"/>
        <v>0</v>
      </c>
      <c r="AG31" s="84">
        <f t="shared" si="6"/>
        <v>753.81503952932519</v>
      </c>
      <c r="AH31" s="84">
        <f t="shared" si="7"/>
        <v>1326.5853658536587</v>
      </c>
      <c r="AI31" s="176" t="str">
        <f t="shared" ref="AI31:AI62" si="11">IF(S31&gt;0,S31/T31,"")</f>
        <v/>
      </c>
    </row>
    <row r="32" spans="1:35" ht="14.45" customHeight="1" x14ac:dyDescent="0.25">
      <c r="A32" s="4" t="s">
        <v>166</v>
      </c>
      <c r="B32" t="s">
        <v>167</v>
      </c>
      <c r="C32" s="29" t="s">
        <v>80</v>
      </c>
      <c r="D32" s="17"/>
      <c r="E32" s="17"/>
      <c r="F32" s="17"/>
      <c r="G32" s="17" t="s">
        <v>38</v>
      </c>
      <c r="H32" s="450" t="e" vm="21">
        <v>#VALUE!</v>
      </c>
      <c r="I32" s="4">
        <v>2015</v>
      </c>
      <c r="J32">
        <v>2020</v>
      </c>
      <c r="K32" s="66">
        <f t="shared" si="9"/>
        <v>5</v>
      </c>
      <c r="L32" s="4" t="s">
        <v>39</v>
      </c>
      <c r="M32" s="63" t="s">
        <v>93</v>
      </c>
      <c r="N32" s="138" t="s">
        <v>168</v>
      </c>
      <c r="O32" s="72">
        <f>AVERAGE('Poli Stab'!BH7:BM7)</f>
        <v>-2.6880764961242662</v>
      </c>
      <c r="P32" s="28">
        <f>AVERAGE(Inflation!BH7:BM7)</f>
        <v>2.8714239791871936</v>
      </c>
      <c r="Q32" s="63" t="s">
        <v>42</v>
      </c>
      <c r="R32" s="153">
        <v>49890</v>
      </c>
      <c r="S32" s="84">
        <v>14230000</v>
      </c>
      <c r="T32" s="158">
        <v>9400000</v>
      </c>
      <c r="U32" s="89">
        <v>5500</v>
      </c>
      <c r="V32" s="107">
        <v>49890</v>
      </c>
      <c r="W32" s="6">
        <f>27+12</f>
        <v>39</v>
      </c>
      <c r="X32" s="108">
        <v>0</v>
      </c>
      <c r="Y32" s="84">
        <v>0</v>
      </c>
      <c r="Z32" s="158">
        <v>0</v>
      </c>
      <c r="AA32" s="164">
        <f t="shared" si="10"/>
        <v>285.22750050110244</v>
      </c>
      <c r="AB32" s="94" t="str">
        <f t="shared" si="1"/>
        <v/>
      </c>
      <c r="AC32" s="95" t="str">
        <f t="shared" si="2"/>
        <v/>
      </c>
      <c r="AD32" s="171" t="str">
        <f t="shared" si="3"/>
        <v/>
      </c>
      <c r="AE32" s="98">
        <f t="shared" si="4"/>
        <v>1709.090909090909</v>
      </c>
      <c r="AF32" s="131">
        <f t="shared" si="5"/>
        <v>585.10638297872333</v>
      </c>
      <c r="AG32" s="84">
        <f t="shared" si="6"/>
        <v>188.41451192623774</v>
      </c>
      <c r="AH32" s="84">
        <f t="shared" si="7"/>
        <v>5307.4468085106382</v>
      </c>
      <c r="AI32" s="176">
        <f t="shared" si="11"/>
        <v>1.5138297872340425</v>
      </c>
    </row>
    <row r="33" spans="1:35" ht="14.45" customHeight="1" x14ac:dyDescent="0.25">
      <c r="A33" s="4" t="s">
        <v>169</v>
      </c>
      <c r="B33" t="s">
        <v>170</v>
      </c>
      <c r="C33" s="29" t="s">
        <v>171</v>
      </c>
      <c r="G33" t="s">
        <v>172</v>
      </c>
      <c r="H33" s="452" t="e" vm="16">
        <v>#VALUE!</v>
      </c>
      <c r="I33" s="4">
        <v>2012</v>
      </c>
      <c r="J33">
        <v>2017</v>
      </c>
      <c r="K33" s="66">
        <f t="shared" si="9"/>
        <v>5</v>
      </c>
      <c r="L33" s="4" t="s">
        <v>39</v>
      </c>
      <c r="M33" s="66" t="s">
        <v>40</v>
      </c>
      <c r="N33" s="472" t="s">
        <v>173</v>
      </c>
      <c r="O33" s="126">
        <f>AVERAGE('Poli Stab'!BE252:BJ252)</f>
        <v>-0.79026403029759706</v>
      </c>
      <c r="P33" s="13">
        <f>AVERAGE(Inflation!BE252:BJ252)</f>
        <v>6.1942885561365557</v>
      </c>
      <c r="Q33" s="63" t="s">
        <v>49</v>
      </c>
      <c r="R33" s="153">
        <v>49287</v>
      </c>
      <c r="S33" s="84">
        <v>0</v>
      </c>
      <c r="T33" s="158">
        <v>10000000</v>
      </c>
      <c r="U33" s="89">
        <v>0</v>
      </c>
      <c r="V33" s="101">
        <v>49287</v>
      </c>
      <c r="W33" s="6">
        <v>3280</v>
      </c>
      <c r="X33" s="89">
        <v>1831173</v>
      </c>
      <c r="Y33" s="84">
        <v>1150000</v>
      </c>
      <c r="Z33" s="158">
        <v>0</v>
      </c>
      <c r="AA33" s="164">
        <f t="shared" si="10"/>
        <v>0</v>
      </c>
      <c r="AB33" s="94">
        <f t="shared" si="1"/>
        <v>0.18311730000000001</v>
      </c>
      <c r="AC33" s="95">
        <f t="shared" si="2"/>
        <v>0.115</v>
      </c>
      <c r="AD33" s="171" t="str">
        <f t="shared" si="3"/>
        <v/>
      </c>
      <c r="AE33" s="98" t="str">
        <f t="shared" si="4"/>
        <v/>
      </c>
      <c r="AF33" s="131">
        <f t="shared" si="5"/>
        <v>0</v>
      </c>
      <c r="AG33" s="84">
        <f t="shared" si="6"/>
        <v>202.89325785704142</v>
      </c>
      <c r="AH33" s="84">
        <f t="shared" si="7"/>
        <v>4928.7</v>
      </c>
      <c r="AI33" s="176" t="str">
        <f t="shared" si="11"/>
        <v/>
      </c>
    </row>
    <row r="34" spans="1:35" ht="14.45" customHeight="1" x14ac:dyDescent="0.25">
      <c r="A34" s="4" t="s">
        <v>174</v>
      </c>
      <c r="B34" t="s">
        <v>175</v>
      </c>
      <c r="C34" s="29" t="s">
        <v>176</v>
      </c>
      <c r="G34" t="s">
        <v>53</v>
      </c>
      <c r="H34" s="452" t="e" vm="22">
        <v>#VALUE!</v>
      </c>
      <c r="I34" s="4">
        <v>2017</v>
      </c>
      <c r="J34">
        <v>2021</v>
      </c>
      <c r="K34" s="66">
        <f t="shared" si="9"/>
        <v>4</v>
      </c>
      <c r="L34" s="4" t="s">
        <v>39</v>
      </c>
      <c r="M34" s="66" t="s">
        <v>64</v>
      </c>
      <c r="N34" s="322" t="s">
        <v>54</v>
      </c>
      <c r="O34" s="126">
        <f>AVERAGE('Poli Stab'!BJ168:BN168)</f>
        <v>0.73502775430679335</v>
      </c>
      <c r="P34" s="13">
        <f>AVERAGE(Inflation!BJ168:BN168)</f>
        <v>5.9018836260540146</v>
      </c>
      <c r="Q34" s="63" t="s">
        <v>49</v>
      </c>
      <c r="R34" s="153">
        <f>105246</f>
        <v>105246</v>
      </c>
      <c r="S34" s="84">
        <v>0</v>
      </c>
      <c r="T34" s="158">
        <v>10100000</v>
      </c>
      <c r="U34" s="89">
        <v>145</v>
      </c>
      <c r="V34" s="107">
        <v>4113</v>
      </c>
      <c r="W34" s="6">
        <v>356</v>
      </c>
      <c r="X34" s="108">
        <v>686670</v>
      </c>
      <c r="Y34" s="84">
        <f>2800000000/2650</f>
        <v>1056603.7735849055</v>
      </c>
      <c r="Z34" s="158">
        <v>0</v>
      </c>
      <c r="AA34" s="164">
        <f t="shared" si="10"/>
        <v>0</v>
      </c>
      <c r="AB34" s="94">
        <f t="shared" si="1"/>
        <v>6.7987128712871284E-2</v>
      </c>
      <c r="AC34" s="95">
        <f t="shared" si="2"/>
        <v>0.10461423500840648</v>
      </c>
      <c r="AD34" s="171" t="str">
        <f t="shared" si="3"/>
        <v/>
      </c>
      <c r="AE34" s="98">
        <f t="shared" si="4"/>
        <v>69655.172413793101</v>
      </c>
      <c r="AF34" s="131">
        <f t="shared" si="5"/>
        <v>14.356435643564357</v>
      </c>
      <c r="AG34" s="84">
        <f t="shared" si="6"/>
        <v>2455.6284950158038</v>
      </c>
      <c r="AH34" s="84">
        <f t="shared" si="7"/>
        <v>407.22772277227722</v>
      </c>
      <c r="AI34" s="176" t="str">
        <f t="shared" si="11"/>
        <v/>
      </c>
    </row>
    <row r="35" spans="1:35" ht="14.45" customHeight="1" x14ac:dyDescent="0.25">
      <c r="A35" s="4" t="s">
        <v>177</v>
      </c>
      <c r="B35" t="s">
        <v>178</v>
      </c>
      <c r="C35" s="29" t="s">
        <v>104</v>
      </c>
      <c r="G35" s="17" t="s">
        <v>74</v>
      </c>
      <c r="H35" s="452" t="e" vm="1">
        <v>#VALUE!</v>
      </c>
      <c r="I35" s="4">
        <v>2020</v>
      </c>
      <c r="J35">
        <v>2025</v>
      </c>
      <c r="K35" s="66">
        <f t="shared" si="9"/>
        <v>5</v>
      </c>
      <c r="L35" s="4" t="s">
        <v>39</v>
      </c>
      <c r="M35" s="63" t="s">
        <v>93</v>
      </c>
      <c r="N35" s="138" t="s">
        <v>179</v>
      </c>
      <c r="O35" s="72">
        <f>AVERAGE('Poli Stab'!BM183:BP183)</f>
        <v>-0.20783007144927973</v>
      </c>
      <c r="P35" s="28">
        <f>AVERAGE(Inflation!BM183:BP183)</f>
        <v>5.9923010289757519</v>
      </c>
      <c r="Q35" s="63" t="s">
        <v>49</v>
      </c>
      <c r="R35" s="89">
        <v>41034</v>
      </c>
      <c r="S35" s="84">
        <f>163*41034</f>
        <v>6688542</v>
      </c>
      <c r="T35" s="158">
        <v>10200000</v>
      </c>
      <c r="U35" s="89">
        <v>1679</v>
      </c>
      <c r="V35" s="107">
        <v>41034</v>
      </c>
      <c r="W35" s="6">
        <v>0</v>
      </c>
      <c r="X35" s="108">
        <v>1180000</v>
      </c>
      <c r="Y35" s="84">
        <v>194250000</v>
      </c>
      <c r="Z35" s="158">
        <v>0</v>
      </c>
      <c r="AA35" s="164">
        <f t="shared" si="10"/>
        <v>163</v>
      </c>
      <c r="AB35" s="94">
        <f t="shared" si="1"/>
        <v>0.11568627450980393</v>
      </c>
      <c r="AC35" s="95">
        <f t="shared" ref="AC35:AC66" si="12">IF(Y35&gt;0,Y35/T35,"")</f>
        <v>19.044117647058822</v>
      </c>
      <c r="AD35" s="171" t="str">
        <f t="shared" ref="AD35:AD66" si="13">IF(Z35&gt;0,Z35/T35,"")</f>
        <v/>
      </c>
      <c r="AE35" s="98">
        <f t="shared" ref="AE35:AE66" si="14">IF(U35&gt;0,T35/U35,"")</f>
        <v>6075.0446694460989</v>
      </c>
      <c r="AF35" s="131">
        <f t="shared" ref="AF35:AF66" si="15">IF(T35&gt;0,U35/(T35/1000000),"")</f>
        <v>164.60784313725492</v>
      </c>
      <c r="AG35" s="84">
        <f t="shared" ref="AG35:AG66" si="16">IF(V35&gt;0,T35/V35,"")</f>
        <v>248.57435297558123</v>
      </c>
      <c r="AH35" s="84">
        <f t="shared" ref="AH35:AH66" si="17">IF(T35&gt;0,V35/(T35/1000000),"")</f>
        <v>4022.9411764705883</v>
      </c>
      <c r="AI35" s="176">
        <f t="shared" si="11"/>
        <v>0.65573941176470585</v>
      </c>
    </row>
    <row r="36" spans="1:35" ht="14.45" customHeight="1" x14ac:dyDescent="0.25">
      <c r="A36" s="4" t="s">
        <v>180</v>
      </c>
      <c r="B36" t="s">
        <v>181</v>
      </c>
      <c r="C36" s="29" t="s">
        <v>171</v>
      </c>
      <c r="G36" t="s">
        <v>182</v>
      </c>
      <c r="H36" s="452" t="e" vm="8">
        <v>#VALUE!</v>
      </c>
      <c r="I36" s="4">
        <v>2015</v>
      </c>
      <c r="J36">
        <v>2021</v>
      </c>
      <c r="K36" s="66">
        <f t="shared" si="9"/>
        <v>6</v>
      </c>
      <c r="L36" s="4" t="s">
        <v>39</v>
      </c>
      <c r="M36" s="66" t="s">
        <v>115</v>
      </c>
      <c r="N36" s="322" t="s">
        <v>183</v>
      </c>
      <c r="O36" s="126">
        <f>AVERAGE('Poli Stab'!BH25:BN25)</f>
        <v>-1.0842901979173927</v>
      </c>
      <c r="P36" s="13">
        <f>AVERAGE(Inflation!BH25:BN25)</f>
        <v>5.6831747090457245</v>
      </c>
      <c r="Q36" s="63" t="s">
        <v>49</v>
      </c>
      <c r="R36" s="153">
        <v>181719</v>
      </c>
      <c r="S36" s="84">
        <v>0</v>
      </c>
      <c r="T36" s="158">
        <v>10773000</v>
      </c>
      <c r="U36" s="89">
        <v>0</v>
      </c>
      <c r="V36" s="107">
        <v>179579</v>
      </c>
      <c r="W36" s="6">
        <v>2002</v>
      </c>
      <c r="X36" s="108">
        <v>0</v>
      </c>
      <c r="Y36" s="84">
        <f>17026568+3858535</f>
        <v>20885103</v>
      </c>
      <c r="Z36" s="158">
        <v>0</v>
      </c>
      <c r="AA36" s="164">
        <f t="shared" si="10"/>
        <v>0</v>
      </c>
      <c r="AB36" s="94" t="str">
        <f t="shared" si="1"/>
        <v/>
      </c>
      <c r="AC36" s="95">
        <f t="shared" si="12"/>
        <v>1.9386524644945697</v>
      </c>
      <c r="AD36" s="171" t="str">
        <f t="shared" si="13"/>
        <v/>
      </c>
      <c r="AE36" s="98" t="str">
        <f t="shared" si="14"/>
        <v/>
      </c>
      <c r="AF36" s="131">
        <f t="shared" si="15"/>
        <v>0</v>
      </c>
      <c r="AG36" s="84">
        <f t="shared" si="16"/>
        <v>59.990310671069558</v>
      </c>
      <c r="AH36" s="84">
        <f t="shared" si="17"/>
        <v>16669.358581639284</v>
      </c>
      <c r="AI36" s="176" t="str">
        <f t="shared" si="11"/>
        <v/>
      </c>
    </row>
    <row r="37" spans="1:35" ht="14.45" customHeight="1" x14ac:dyDescent="0.25">
      <c r="A37" t="s">
        <v>184</v>
      </c>
      <c r="B37" t="s">
        <v>185</v>
      </c>
      <c r="C37" s="29" t="s">
        <v>104</v>
      </c>
      <c r="G37" t="s">
        <v>74</v>
      </c>
      <c r="H37" s="452" t="e" vm="15">
        <v>#VALUE!</v>
      </c>
      <c r="I37" s="4">
        <v>2012</v>
      </c>
      <c r="J37">
        <v>2020</v>
      </c>
      <c r="K37" s="66">
        <f t="shared" si="9"/>
        <v>8</v>
      </c>
      <c r="L37" s="4" t="s">
        <v>39</v>
      </c>
      <c r="M37" s="66" t="s">
        <v>40</v>
      </c>
      <c r="N37" s="461" t="s">
        <v>186</v>
      </c>
      <c r="O37" s="126">
        <f>AVERAGE('Poli Stab'!BE170:BM170)</f>
        <v>-0.62065527174207891</v>
      </c>
      <c r="P37" s="13">
        <f>AVERAGE(Inflation!BE170:BM170)</f>
        <v>6.1892819860905313</v>
      </c>
      <c r="Q37" s="63" t="s">
        <v>42</v>
      </c>
      <c r="R37" s="153">
        <v>6277</v>
      </c>
      <c r="S37" s="84">
        <v>1311000</v>
      </c>
      <c r="T37" s="158">
        <v>11500000</v>
      </c>
      <c r="U37" s="89">
        <v>0</v>
      </c>
      <c r="V37" s="6">
        <v>6277</v>
      </c>
      <c r="W37" s="6">
        <v>0</v>
      </c>
      <c r="X37" s="3">
        <v>0</v>
      </c>
      <c r="Y37" s="84">
        <v>0</v>
      </c>
      <c r="Z37" s="158">
        <v>0</v>
      </c>
      <c r="AA37" s="164">
        <f t="shared" si="10"/>
        <v>208.85773458658596</v>
      </c>
      <c r="AB37" s="94" t="str">
        <f t="shared" si="1"/>
        <v/>
      </c>
      <c r="AC37" s="95" t="str">
        <f t="shared" si="12"/>
        <v/>
      </c>
      <c r="AD37" s="171" t="str">
        <f t="shared" si="13"/>
        <v/>
      </c>
      <c r="AE37" s="98" t="str">
        <f t="shared" si="14"/>
        <v/>
      </c>
      <c r="AF37" s="131">
        <f t="shared" si="15"/>
        <v>0</v>
      </c>
      <c r="AG37" s="84">
        <f t="shared" si="16"/>
        <v>1832.085391110403</v>
      </c>
      <c r="AH37" s="84">
        <f t="shared" si="17"/>
        <v>545.82608695652175</v>
      </c>
      <c r="AI37" s="176">
        <f t="shared" si="11"/>
        <v>0.114</v>
      </c>
    </row>
    <row r="38" spans="1:35" ht="14.45" customHeight="1" x14ac:dyDescent="0.25">
      <c r="A38" t="s">
        <v>187</v>
      </c>
      <c r="B38" t="s">
        <v>188</v>
      </c>
      <c r="C38" s="29" t="s">
        <v>137</v>
      </c>
      <c r="G38" t="s">
        <v>189</v>
      </c>
      <c r="H38" s="452" t="e" vm="23">
        <v>#VALUE!</v>
      </c>
      <c r="I38" s="4">
        <v>2013</v>
      </c>
      <c r="J38">
        <v>2017</v>
      </c>
      <c r="K38" s="66">
        <f t="shared" si="9"/>
        <v>4</v>
      </c>
      <c r="L38" s="4" t="s">
        <v>39</v>
      </c>
      <c r="M38" s="66" t="s">
        <v>40</v>
      </c>
      <c r="N38" s="461" t="s">
        <v>190</v>
      </c>
      <c r="O38" s="126">
        <f>AVERAGE('Poli Stab'!BF251:BJ251)</f>
        <v>-0.4402217984199524</v>
      </c>
      <c r="P38" s="13">
        <f>AVERAGE(Inflation!BF251:BJ251)</f>
        <v>6.0167979701033847</v>
      </c>
      <c r="Q38" s="63" t="s">
        <v>49</v>
      </c>
      <c r="R38" s="153">
        <v>77200</v>
      </c>
      <c r="S38" s="84">
        <v>0</v>
      </c>
      <c r="T38" s="158">
        <v>11500000</v>
      </c>
      <c r="U38" s="89">
        <v>0</v>
      </c>
      <c r="V38" s="6">
        <v>77200</v>
      </c>
      <c r="W38" s="6">
        <v>89</v>
      </c>
      <c r="X38" s="6">
        <v>722300</v>
      </c>
      <c r="Y38" s="84">
        <v>0</v>
      </c>
      <c r="Z38" s="158">
        <v>0</v>
      </c>
      <c r="AA38" s="164">
        <f t="shared" si="10"/>
        <v>0</v>
      </c>
      <c r="AB38" s="94">
        <f t="shared" si="1"/>
        <v>6.280869565217391E-2</v>
      </c>
      <c r="AC38" s="95" t="str">
        <f t="shared" si="12"/>
        <v/>
      </c>
      <c r="AD38" s="171" t="str">
        <f t="shared" si="13"/>
        <v/>
      </c>
      <c r="AE38" s="98" t="str">
        <f t="shared" si="14"/>
        <v/>
      </c>
      <c r="AF38" s="131">
        <f t="shared" si="15"/>
        <v>0</v>
      </c>
      <c r="AG38" s="84">
        <f t="shared" si="16"/>
        <v>148.96373056994818</v>
      </c>
      <c r="AH38" s="84">
        <f t="shared" si="17"/>
        <v>6713.04347826087</v>
      </c>
      <c r="AI38" s="176" t="str">
        <f t="shared" si="11"/>
        <v/>
      </c>
    </row>
    <row r="39" spans="1:35" ht="14.45" customHeight="1" x14ac:dyDescent="0.25">
      <c r="A39" s="17" t="s">
        <v>191</v>
      </c>
      <c r="B39" s="17" t="s">
        <v>192</v>
      </c>
      <c r="C39" s="29" t="s">
        <v>104</v>
      </c>
      <c r="D39" s="17"/>
      <c r="E39" s="17"/>
      <c r="F39" s="17"/>
      <c r="G39" t="s">
        <v>193</v>
      </c>
      <c r="H39" s="450" t="e" vm="24">
        <v>#VALUE!</v>
      </c>
      <c r="I39" s="29">
        <v>2014</v>
      </c>
      <c r="J39" s="17">
        <v>2022</v>
      </c>
      <c r="K39" s="66">
        <f t="shared" si="9"/>
        <v>8</v>
      </c>
      <c r="L39" s="4" t="s">
        <v>39</v>
      </c>
      <c r="M39" s="63" t="s">
        <v>194</v>
      </c>
      <c r="N39" s="429" t="s">
        <v>195</v>
      </c>
      <c r="O39" s="72">
        <f>AVERAGE('Poli Stab'!BG128:BO128)</f>
        <v>-1.8838691628640797E-3</v>
      </c>
      <c r="P39" s="28">
        <f>AVERAGE(Inflation!BG128:BO128)</f>
        <v>2.9575320693461555</v>
      </c>
      <c r="Q39" s="63" t="s">
        <v>49</v>
      </c>
      <c r="R39" s="153">
        <v>10000</v>
      </c>
      <c r="S39" s="103">
        <f>6000*1000*3</f>
        <v>18000000</v>
      </c>
      <c r="T39" s="158">
        <v>11800000</v>
      </c>
      <c r="U39" s="106">
        <v>0</v>
      </c>
      <c r="V39" s="6">
        <v>10000</v>
      </c>
      <c r="W39" s="6">
        <v>60</v>
      </c>
      <c r="X39" s="79">
        <v>0</v>
      </c>
      <c r="Y39" s="80">
        <v>0</v>
      </c>
      <c r="Z39" s="163">
        <v>0</v>
      </c>
      <c r="AA39" s="164">
        <f t="shared" si="10"/>
        <v>1800</v>
      </c>
      <c r="AB39" s="94">
        <f>AA50</f>
        <v>0</v>
      </c>
      <c r="AC39" s="95" t="str">
        <f t="shared" si="12"/>
        <v/>
      </c>
      <c r="AD39" s="171" t="str">
        <f t="shared" si="13"/>
        <v/>
      </c>
      <c r="AE39" s="94" t="str">
        <f t="shared" si="14"/>
        <v/>
      </c>
      <c r="AF39" s="3">
        <f t="shared" si="15"/>
        <v>0</v>
      </c>
      <c r="AG39" s="95">
        <f t="shared" si="16"/>
        <v>1180</v>
      </c>
      <c r="AH39" s="84">
        <f t="shared" si="17"/>
        <v>847.45762711864404</v>
      </c>
      <c r="AI39" s="176">
        <f t="shared" si="11"/>
        <v>1.5254237288135593</v>
      </c>
    </row>
    <row r="40" spans="1:35" ht="14.45" customHeight="1" x14ac:dyDescent="0.25">
      <c r="A40" t="s">
        <v>196</v>
      </c>
      <c r="B40" t="s">
        <v>197</v>
      </c>
      <c r="C40" s="29" t="s">
        <v>137</v>
      </c>
      <c r="G40" t="s">
        <v>53</v>
      </c>
      <c r="H40" s="452" t="e" vm="16">
        <v>#VALUE!</v>
      </c>
      <c r="I40" s="4">
        <v>2018</v>
      </c>
      <c r="J40">
        <v>2022</v>
      </c>
      <c r="K40" s="66">
        <f t="shared" si="9"/>
        <v>4</v>
      </c>
      <c r="L40" s="4" t="s">
        <v>39</v>
      </c>
      <c r="M40" s="66" t="s">
        <v>64</v>
      </c>
      <c r="N40" s="322" t="s">
        <v>54</v>
      </c>
      <c r="O40" s="126">
        <f>AVERAGE('Poli Stab'!BK252:BO252)</f>
        <v>-0.77115476131439187</v>
      </c>
      <c r="P40" s="13">
        <f>AVERAGE(Inflation!BK252:BO252)</f>
        <v>3.6394567493538004</v>
      </c>
      <c r="Q40" s="63" t="s">
        <v>42</v>
      </c>
      <c r="R40" s="153">
        <v>135660</v>
      </c>
      <c r="S40" s="84">
        <f>53295*15%*(66.9*12)*1.3</f>
        <v>8343119.0700000012</v>
      </c>
      <c r="T40" s="158">
        <f>9940000*1.3</f>
        <v>12922000</v>
      </c>
      <c r="U40" s="89">
        <v>2579</v>
      </c>
      <c r="V40" s="6">
        <v>0</v>
      </c>
      <c r="W40" s="6">
        <f>69+1030</f>
        <v>1099</v>
      </c>
      <c r="X40" s="3">
        <f>3177866*1.3</f>
        <v>4131225.8000000003</v>
      </c>
      <c r="Y40" s="84">
        <f>19151873*1.3</f>
        <v>24897434.900000002</v>
      </c>
      <c r="Z40" s="158">
        <v>0</v>
      </c>
      <c r="AA40" s="164">
        <f t="shared" si="10"/>
        <v>61.500214285714293</v>
      </c>
      <c r="AB40" s="94">
        <f t="shared" ref="AB40:AB71" si="18">IF(X40&gt;0,X40/T40,"")</f>
        <v>0.31970482897384306</v>
      </c>
      <c r="AC40" s="95">
        <f t="shared" si="12"/>
        <v>1.9267477867203222</v>
      </c>
      <c r="AD40" s="171" t="str">
        <f t="shared" si="13"/>
        <v/>
      </c>
      <c r="AE40" s="98">
        <f t="shared" si="14"/>
        <v>5010.4691740984881</v>
      </c>
      <c r="AF40" s="131">
        <f t="shared" si="15"/>
        <v>199.58210803281224</v>
      </c>
      <c r="AG40" s="84" t="str">
        <f t="shared" si="16"/>
        <v/>
      </c>
      <c r="AH40" s="84">
        <f t="shared" si="17"/>
        <v>0</v>
      </c>
      <c r="AI40" s="176">
        <f t="shared" si="11"/>
        <v>0.6456523038229377</v>
      </c>
    </row>
    <row r="41" spans="1:35" ht="14.45" customHeight="1" x14ac:dyDescent="0.25">
      <c r="A41" t="s">
        <v>198</v>
      </c>
      <c r="B41" t="s">
        <v>199</v>
      </c>
      <c r="C41" s="29" t="s">
        <v>137</v>
      </c>
      <c r="G41" t="s">
        <v>200</v>
      </c>
      <c r="H41" s="452" t="e" vm="25">
        <v>#VALUE!</v>
      </c>
      <c r="I41" s="4">
        <v>2013</v>
      </c>
      <c r="J41">
        <v>2017</v>
      </c>
      <c r="K41" s="66">
        <f t="shared" si="9"/>
        <v>4</v>
      </c>
      <c r="L41" s="4" t="s">
        <v>201</v>
      </c>
      <c r="M41" s="66" t="s">
        <v>40</v>
      </c>
      <c r="N41" s="461" t="s">
        <v>202</v>
      </c>
      <c r="O41" s="126">
        <f>AVERAGE('Poli Stab'!BF215:BJ215)</f>
        <v>-0.11831410974264159</v>
      </c>
      <c r="P41" s="13">
        <f>AVERAGE(Inflation!BF215:BJ215)</f>
        <v>9.1920892921510209</v>
      </c>
      <c r="Q41" s="63" t="s">
        <v>49</v>
      </c>
      <c r="R41" s="153">
        <v>47100</v>
      </c>
      <c r="S41" s="84">
        <f>3077000*1.477</f>
        <v>4544729</v>
      </c>
      <c r="T41" s="158">
        <v>13000000</v>
      </c>
      <c r="U41" s="89">
        <v>0</v>
      </c>
      <c r="V41" s="6">
        <v>47100</v>
      </c>
      <c r="W41" s="6">
        <v>0</v>
      </c>
      <c r="X41" s="3">
        <f>4680000*1.4769</f>
        <v>6911892.0000000009</v>
      </c>
      <c r="Y41" s="84">
        <v>0</v>
      </c>
      <c r="Z41" s="158">
        <v>0</v>
      </c>
      <c r="AA41" s="164">
        <f t="shared" si="10"/>
        <v>96.491061571125272</v>
      </c>
      <c r="AB41" s="94">
        <f t="shared" si="18"/>
        <v>0.53168400000000005</v>
      </c>
      <c r="AC41" s="95" t="str">
        <f t="shared" si="12"/>
        <v/>
      </c>
      <c r="AD41" s="171" t="str">
        <f t="shared" si="13"/>
        <v/>
      </c>
      <c r="AE41" s="98" t="str">
        <f t="shared" si="14"/>
        <v/>
      </c>
      <c r="AF41" s="131">
        <f t="shared" si="15"/>
        <v>0</v>
      </c>
      <c r="AG41" s="84">
        <f t="shared" si="16"/>
        <v>276.0084925690021</v>
      </c>
      <c r="AH41" s="84">
        <f t="shared" si="17"/>
        <v>3623.0769230769229</v>
      </c>
      <c r="AI41" s="176">
        <f t="shared" si="11"/>
        <v>0.34959453846153848</v>
      </c>
    </row>
    <row r="42" spans="1:35" ht="14.45" customHeight="1" x14ac:dyDescent="0.25">
      <c r="A42" t="s">
        <v>203</v>
      </c>
      <c r="B42" t="s">
        <v>204</v>
      </c>
      <c r="C42" s="29" t="s">
        <v>205</v>
      </c>
      <c r="G42" t="s">
        <v>38</v>
      </c>
      <c r="H42" s="452" t="e" vm="20">
        <v>#VALUE!</v>
      </c>
      <c r="I42" s="4">
        <v>2013</v>
      </c>
      <c r="J42">
        <v>2018</v>
      </c>
      <c r="K42" s="66">
        <f t="shared" si="9"/>
        <v>5</v>
      </c>
      <c r="L42" s="4" t="s">
        <v>39</v>
      </c>
      <c r="M42" s="66" t="s">
        <v>115</v>
      </c>
      <c r="N42" s="461" t="s">
        <v>206</v>
      </c>
      <c r="O42" s="126">
        <f>AVERAGE('Poli Stab'!BF269:BK269)</f>
        <v>0.18240995580951372</v>
      </c>
      <c r="P42" s="13">
        <f>AVERAGE(Inflation!BF269:BK269)</f>
        <v>9.4727930050660962</v>
      </c>
      <c r="Q42" s="63" t="s">
        <v>49</v>
      </c>
      <c r="R42" s="153">
        <v>14300</v>
      </c>
      <c r="S42" s="84">
        <v>0</v>
      </c>
      <c r="T42" s="158">
        <v>13200000</v>
      </c>
      <c r="U42" s="89">
        <v>2880</v>
      </c>
      <c r="V42" s="6">
        <v>2900</v>
      </c>
      <c r="W42" s="6">
        <v>1160</v>
      </c>
      <c r="X42" s="3">
        <v>0</v>
      </c>
      <c r="Y42" s="84">
        <v>0</v>
      </c>
      <c r="Z42" s="158">
        <v>0</v>
      </c>
      <c r="AA42" s="164">
        <f t="shared" si="10"/>
        <v>0</v>
      </c>
      <c r="AB42" s="94" t="str">
        <f t="shared" si="18"/>
        <v/>
      </c>
      <c r="AC42" s="95" t="str">
        <f t="shared" si="12"/>
        <v/>
      </c>
      <c r="AD42" s="171" t="str">
        <f t="shared" si="13"/>
        <v/>
      </c>
      <c r="AE42" s="98">
        <f t="shared" si="14"/>
        <v>4583.333333333333</v>
      </c>
      <c r="AF42" s="131">
        <f t="shared" si="15"/>
        <v>218.18181818181819</v>
      </c>
      <c r="AG42" s="84">
        <f t="shared" si="16"/>
        <v>4551.7241379310344</v>
      </c>
      <c r="AH42" s="84">
        <f t="shared" si="17"/>
        <v>219.69696969696972</v>
      </c>
      <c r="AI42" s="176" t="str">
        <f t="shared" si="11"/>
        <v/>
      </c>
    </row>
    <row r="43" spans="1:35" ht="14.45" customHeight="1" x14ac:dyDescent="0.25">
      <c r="A43" t="s">
        <v>207</v>
      </c>
      <c r="B43" t="s">
        <v>208</v>
      </c>
      <c r="C43" s="4" t="s">
        <v>104</v>
      </c>
      <c r="G43" t="s">
        <v>74</v>
      </c>
      <c r="H43" s="452" t="e" vm="11">
        <v>#VALUE!</v>
      </c>
      <c r="I43" s="4">
        <v>2017</v>
      </c>
      <c r="J43">
        <v>2025</v>
      </c>
      <c r="K43" s="66">
        <f t="shared" si="9"/>
        <v>8</v>
      </c>
      <c r="L43" s="4" t="s">
        <v>209</v>
      </c>
      <c r="M43" s="66" t="s">
        <v>115</v>
      </c>
      <c r="N43" s="461" t="s">
        <v>210</v>
      </c>
      <c r="O43" s="126">
        <f>AVERAGE('Poli Stab'!BJ266:BP266)</f>
        <v>-0.31180437334946232</v>
      </c>
      <c r="P43" s="13">
        <f>AVERAGE(Inflation!BJ266:BP266)</f>
        <v>3.6135397465801344</v>
      </c>
      <c r="Q43" s="63" t="s">
        <v>49</v>
      </c>
      <c r="R43" s="153">
        <f>4156+3144</f>
        <v>7300</v>
      </c>
      <c r="S43" s="84">
        <f>7000000+5160000</f>
        <v>12160000</v>
      </c>
      <c r="T43" s="158">
        <f>1680000*K43</f>
        <v>13440000</v>
      </c>
      <c r="U43" s="89">
        <f>1292+1362</f>
        <v>2654</v>
      </c>
      <c r="V43" s="6">
        <v>0</v>
      </c>
      <c r="W43" s="6">
        <v>272</v>
      </c>
      <c r="X43" s="3">
        <f>6500000+5500000</f>
        <v>12000000</v>
      </c>
      <c r="Y43" s="84">
        <v>0</v>
      </c>
      <c r="Z43" s="158">
        <v>0</v>
      </c>
      <c r="AA43" s="164">
        <f t="shared" si="10"/>
        <v>1665.7534246575342</v>
      </c>
      <c r="AB43" s="94">
        <f t="shared" si="18"/>
        <v>0.8928571428571429</v>
      </c>
      <c r="AC43" s="95" t="str">
        <f t="shared" si="12"/>
        <v/>
      </c>
      <c r="AD43" s="171" t="str">
        <f t="shared" si="13"/>
        <v/>
      </c>
      <c r="AE43" s="98">
        <f t="shared" si="14"/>
        <v>5064.0542577241895</v>
      </c>
      <c r="AF43" s="131">
        <f t="shared" si="15"/>
        <v>197.4702380952381</v>
      </c>
      <c r="AG43" s="84" t="str">
        <f t="shared" si="16"/>
        <v/>
      </c>
      <c r="AH43" s="84">
        <f t="shared" si="17"/>
        <v>0</v>
      </c>
      <c r="AI43" s="176">
        <f t="shared" si="11"/>
        <v>0.90476190476190477</v>
      </c>
    </row>
    <row r="44" spans="1:35" ht="14.45" customHeight="1" x14ac:dyDescent="0.25">
      <c r="A44" s="4" t="s">
        <v>211</v>
      </c>
      <c r="B44" t="s">
        <v>212</v>
      </c>
      <c r="C44" s="29" t="s">
        <v>171</v>
      </c>
      <c r="G44" t="s">
        <v>213</v>
      </c>
      <c r="H44" s="452" t="e" vm="17">
        <v>#VALUE!</v>
      </c>
      <c r="I44" s="4">
        <v>2019</v>
      </c>
      <c r="J44">
        <v>2025</v>
      </c>
      <c r="K44" s="66">
        <f>J44-I44-1</f>
        <v>5</v>
      </c>
      <c r="L44" s="4" t="s">
        <v>39</v>
      </c>
      <c r="M44" s="66" t="s">
        <v>64</v>
      </c>
      <c r="N44" s="474" t="s">
        <v>214</v>
      </c>
      <c r="O44" s="126">
        <f>AVERAGE('Poli Stab'!BL208:BP208)</f>
        <v>7.7853234857320819E-2</v>
      </c>
      <c r="P44" s="13">
        <f>AVERAGE(Inflation!BL208:BQ208)</f>
        <v>8.6759962553477372</v>
      </c>
      <c r="Q44" s="63" t="s">
        <v>49</v>
      </c>
      <c r="R44" s="153">
        <v>187786</v>
      </c>
      <c r="S44" s="84">
        <v>0</v>
      </c>
      <c r="T44" s="158">
        <v>13800000</v>
      </c>
      <c r="U44" s="89">
        <v>0</v>
      </c>
      <c r="V44" s="6">
        <v>36813</v>
      </c>
      <c r="W44" s="6">
        <v>0</v>
      </c>
      <c r="X44" s="3">
        <v>5375417</v>
      </c>
      <c r="Y44" s="84">
        <v>84457512</v>
      </c>
      <c r="Z44" s="158">
        <v>0</v>
      </c>
      <c r="AA44" s="164">
        <f t="shared" si="10"/>
        <v>0</v>
      </c>
      <c r="AB44" s="94">
        <f t="shared" si="18"/>
        <v>0.38952297101449274</v>
      </c>
      <c r="AC44" s="95">
        <f t="shared" si="12"/>
        <v>6.1201095652173914</v>
      </c>
      <c r="AD44" s="171" t="str">
        <f t="shared" si="13"/>
        <v/>
      </c>
      <c r="AE44" s="98" t="str">
        <f t="shared" si="14"/>
        <v/>
      </c>
      <c r="AF44" s="131">
        <f t="shared" si="15"/>
        <v>0</v>
      </c>
      <c r="AG44" s="84">
        <f t="shared" si="16"/>
        <v>374.8675739548529</v>
      </c>
      <c r="AH44" s="84">
        <f t="shared" si="17"/>
        <v>2667.608695652174</v>
      </c>
      <c r="AI44" s="176" t="str">
        <f t="shared" si="11"/>
        <v/>
      </c>
    </row>
    <row r="45" spans="1:35" ht="14.45" customHeight="1" x14ac:dyDescent="0.25">
      <c r="A45" t="s">
        <v>215</v>
      </c>
      <c r="B45" t="s">
        <v>216</v>
      </c>
      <c r="C45" s="29" t="s">
        <v>216</v>
      </c>
      <c r="G45" t="s">
        <v>217</v>
      </c>
      <c r="H45" s="452" t="e" vm="26">
        <v>#VALUE!</v>
      </c>
      <c r="I45" s="4">
        <v>2015</v>
      </c>
      <c r="J45">
        <v>2022</v>
      </c>
      <c r="K45" s="66">
        <f t="shared" ref="K45:K68" si="19">J45-I45</f>
        <v>7</v>
      </c>
      <c r="L45" s="4" t="s">
        <v>39</v>
      </c>
      <c r="M45" s="66" t="s">
        <v>40</v>
      </c>
      <c r="N45" s="461" t="s">
        <v>218</v>
      </c>
      <c r="O45" s="126">
        <f>AVERAGE('Poli Stab'!BH126:BO126)</f>
        <v>-1.1245846748352053</v>
      </c>
      <c r="P45" s="13">
        <f>AVERAGE(Inflation!BH126:BO126)</f>
        <v>6.2484323415190781</v>
      </c>
      <c r="Q45" s="63" t="s">
        <v>49</v>
      </c>
      <c r="R45" s="153">
        <v>28290</v>
      </c>
      <c r="S45" s="84">
        <v>0</v>
      </c>
      <c r="T45" s="158">
        <f>18700000*0.746</f>
        <v>13950200</v>
      </c>
      <c r="U45" s="89">
        <v>0</v>
      </c>
      <c r="V45" s="6">
        <v>28290</v>
      </c>
      <c r="W45" s="6">
        <v>250</v>
      </c>
      <c r="X45" s="3">
        <v>0</v>
      </c>
      <c r="Y45" s="84">
        <v>0</v>
      </c>
      <c r="Z45" s="158">
        <v>0</v>
      </c>
      <c r="AA45" s="164">
        <f t="shared" si="10"/>
        <v>0</v>
      </c>
      <c r="AB45" s="94" t="str">
        <f t="shared" si="18"/>
        <v/>
      </c>
      <c r="AC45" s="95" t="str">
        <f t="shared" si="12"/>
        <v/>
      </c>
      <c r="AD45" s="171" t="str">
        <f t="shared" si="13"/>
        <v/>
      </c>
      <c r="AE45" s="98" t="str">
        <f t="shared" si="14"/>
        <v/>
      </c>
      <c r="AF45" s="131">
        <f t="shared" si="15"/>
        <v>0</v>
      </c>
      <c r="AG45" s="84">
        <f t="shared" si="16"/>
        <v>493.11417462000708</v>
      </c>
      <c r="AH45" s="84">
        <f t="shared" si="17"/>
        <v>2027.927915011971</v>
      </c>
      <c r="AI45" s="176" t="str">
        <f t="shared" si="11"/>
        <v/>
      </c>
    </row>
    <row r="46" spans="1:35" ht="14.45" customHeight="1" x14ac:dyDescent="0.25">
      <c r="A46" t="s">
        <v>219</v>
      </c>
      <c r="B46" t="s">
        <v>220</v>
      </c>
      <c r="C46" s="29" t="s">
        <v>80</v>
      </c>
      <c r="G46" t="s">
        <v>221</v>
      </c>
      <c r="H46" s="452" t="s">
        <v>222</v>
      </c>
      <c r="I46" s="4">
        <v>2018</v>
      </c>
      <c r="J46">
        <v>2023</v>
      </c>
      <c r="K46" s="66">
        <f t="shared" si="19"/>
        <v>5</v>
      </c>
      <c r="L46" s="4" t="s">
        <v>39</v>
      </c>
      <c r="M46" s="66" t="s">
        <v>40</v>
      </c>
      <c r="N46" s="322" t="s">
        <v>111</v>
      </c>
      <c r="O46" s="126">
        <f>(AVERAGE('Poli Stab'!BK128:BP128)+AVERAGE('Poli Stab'!BK111:BP111)+AVERAGE('Poli Stab'!BK189:BP189)+AVERAGE('Poli Stab'!BK192:BP192)+AVERAGE('Poli Stab'!BK262:BP262))/5</f>
        <v>-0.67747198417782784</v>
      </c>
      <c r="P46" s="13">
        <f>(AVERAGE(Inflation!BK128:BP128)+AVERAGE(Inflation!BK111:BP111)+AVERAGE(Inflation!BK189:BP189)+AVERAGE(Inflation!BK192:BP192)+AVERAGE(Inflation!BK262:BP262))/5</f>
        <v>5.4825869586466647</v>
      </c>
      <c r="Q46" s="63" t="s">
        <v>49</v>
      </c>
      <c r="R46" s="153">
        <v>113189</v>
      </c>
      <c r="S46" s="84">
        <v>0</v>
      </c>
      <c r="T46" s="158">
        <f>135643912*0.1065</f>
        <v>14446076.628</v>
      </c>
      <c r="U46" s="89">
        <v>0</v>
      </c>
      <c r="V46" s="6">
        <v>36084</v>
      </c>
      <c r="W46" s="6">
        <v>6106</v>
      </c>
      <c r="X46" s="3">
        <f>7935376*0.1065</f>
        <v>845117.54399999999</v>
      </c>
      <c r="Y46" s="84">
        <v>0</v>
      </c>
      <c r="Z46" s="158">
        <v>0</v>
      </c>
      <c r="AA46" s="164">
        <f t="shared" si="10"/>
        <v>0</v>
      </c>
      <c r="AB46" s="94">
        <f t="shared" si="18"/>
        <v>5.8501527145575098E-2</v>
      </c>
      <c r="AC46" s="95" t="str">
        <f t="shared" si="12"/>
        <v/>
      </c>
      <c r="AD46" s="171" t="str">
        <f t="shared" si="13"/>
        <v/>
      </c>
      <c r="AE46" s="98" t="str">
        <f t="shared" si="14"/>
        <v/>
      </c>
      <c r="AF46" s="131">
        <f t="shared" si="15"/>
        <v>0</v>
      </c>
      <c r="AG46" s="84">
        <f t="shared" si="16"/>
        <v>400.34576621217161</v>
      </c>
      <c r="AH46" s="84">
        <f t="shared" si="17"/>
        <v>2497.8408275960865</v>
      </c>
      <c r="AI46" s="176" t="str">
        <f t="shared" si="11"/>
        <v/>
      </c>
    </row>
    <row r="47" spans="1:35" ht="14.45" customHeight="1" x14ac:dyDescent="0.25">
      <c r="A47" t="s">
        <v>223</v>
      </c>
      <c r="B47" t="s">
        <v>224</v>
      </c>
      <c r="C47" s="4" t="s">
        <v>104</v>
      </c>
      <c r="G47" t="s">
        <v>225</v>
      </c>
      <c r="H47" s="452" t="e" vm="27">
        <v>#VALUE!</v>
      </c>
      <c r="I47" s="4">
        <v>2012</v>
      </c>
      <c r="J47">
        <v>2023</v>
      </c>
      <c r="K47" s="66">
        <f t="shared" si="19"/>
        <v>11</v>
      </c>
      <c r="L47" s="4" t="s">
        <v>226</v>
      </c>
      <c r="M47" s="63" t="s">
        <v>93</v>
      </c>
      <c r="N47" s="461" t="s">
        <v>227</v>
      </c>
      <c r="O47" s="126">
        <f>AVERAGE('Poli Stab'!BE29:BP29)</f>
        <v>-0.38766857453932363</v>
      </c>
      <c r="P47" s="28">
        <f>AVERAGE(Inflation!BE29:BP29)</f>
        <v>1.8574519644443452</v>
      </c>
      <c r="Q47" s="63" t="s">
        <v>49</v>
      </c>
      <c r="R47" s="153">
        <v>774210</v>
      </c>
      <c r="S47" s="84">
        <v>0</v>
      </c>
      <c r="T47" s="158">
        <v>14520000</v>
      </c>
      <c r="U47" s="89">
        <v>4900</v>
      </c>
      <c r="V47" s="6">
        <v>0</v>
      </c>
      <c r="W47" s="6">
        <f>139+157</f>
        <v>296</v>
      </c>
      <c r="X47" s="3">
        <f>14500000+2900000</f>
        <v>17400000</v>
      </c>
      <c r="Y47" s="84">
        <v>0</v>
      </c>
      <c r="Z47" s="158">
        <v>0</v>
      </c>
      <c r="AA47" s="164">
        <f t="shared" ref="AA47:AA78" si="20">S47/R47</f>
        <v>0</v>
      </c>
      <c r="AB47" s="94">
        <f t="shared" si="18"/>
        <v>1.1983471074380165</v>
      </c>
      <c r="AC47" s="95" t="str">
        <f t="shared" si="12"/>
        <v/>
      </c>
      <c r="AD47" s="171" t="str">
        <f t="shared" si="13"/>
        <v/>
      </c>
      <c r="AE47" s="98">
        <f t="shared" si="14"/>
        <v>2963.2653061224491</v>
      </c>
      <c r="AF47" s="131">
        <f t="shared" si="15"/>
        <v>337.46556473829202</v>
      </c>
      <c r="AG47" s="84" t="str">
        <f t="shared" si="16"/>
        <v/>
      </c>
      <c r="AH47" s="84">
        <f t="shared" si="17"/>
        <v>0</v>
      </c>
      <c r="AI47" s="176" t="str">
        <f t="shared" si="11"/>
        <v/>
      </c>
    </row>
    <row r="48" spans="1:35" ht="14.45" customHeight="1" x14ac:dyDescent="0.25">
      <c r="A48" t="s">
        <v>228</v>
      </c>
      <c r="B48" t="s">
        <v>229</v>
      </c>
      <c r="C48" s="29" t="s">
        <v>171</v>
      </c>
      <c r="G48" t="s">
        <v>230</v>
      </c>
      <c r="H48" s="452" t="e" vm="17">
        <v>#VALUE!</v>
      </c>
      <c r="I48" s="4">
        <v>2018</v>
      </c>
      <c r="J48">
        <v>2023</v>
      </c>
      <c r="K48" s="66">
        <f t="shared" si="19"/>
        <v>5</v>
      </c>
      <c r="L48" s="4" t="s">
        <v>39</v>
      </c>
      <c r="M48" s="66" t="s">
        <v>64</v>
      </c>
      <c r="N48" s="322" t="s">
        <v>231</v>
      </c>
      <c r="O48" s="126">
        <f>AVERAGE('Poli Stab'!BK208:BP208)</f>
        <v>8.1836365784208026E-2</v>
      </c>
      <c r="P48" s="13">
        <f>AVERAGE(Inflation!BK208:BP208)</f>
        <v>8.32907916161823</v>
      </c>
      <c r="Q48" s="63" t="s">
        <v>49</v>
      </c>
      <c r="R48" s="477">
        <v>0</v>
      </c>
      <c r="S48" s="84">
        <v>0</v>
      </c>
      <c r="T48" s="158">
        <v>14546221</v>
      </c>
      <c r="U48" s="89">
        <v>41522</v>
      </c>
      <c r="V48" s="6">
        <v>0</v>
      </c>
      <c r="W48" s="6">
        <v>783</v>
      </c>
      <c r="X48" s="3">
        <v>34719693</v>
      </c>
      <c r="Y48" s="84">
        <v>27868223</v>
      </c>
      <c r="Z48" s="158">
        <v>0</v>
      </c>
      <c r="AA48" s="164" t="e">
        <f t="shared" si="20"/>
        <v>#DIV/0!</v>
      </c>
      <c r="AB48" s="94">
        <f t="shared" si="18"/>
        <v>2.3868531215083286</v>
      </c>
      <c r="AC48" s="95">
        <f t="shared" si="12"/>
        <v>1.9158393784887497</v>
      </c>
      <c r="AD48" s="171" t="str">
        <f t="shared" si="13"/>
        <v/>
      </c>
      <c r="AE48" s="98">
        <f t="shared" si="14"/>
        <v>350.32563460334279</v>
      </c>
      <c r="AF48" s="131">
        <f t="shared" si="15"/>
        <v>2854.4870863710926</v>
      </c>
      <c r="AG48" s="84" t="str">
        <f t="shared" si="16"/>
        <v/>
      </c>
      <c r="AH48" s="84">
        <f t="shared" si="17"/>
        <v>0</v>
      </c>
      <c r="AI48" s="176" t="str">
        <f t="shared" si="11"/>
        <v/>
      </c>
    </row>
    <row r="49" spans="1:35" ht="14.45" customHeight="1" x14ac:dyDescent="0.25">
      <c r="A49" s="29" t="s">
        <v>232</v>
      </c>
      <c r="B49" s="17" t="s">
        <v>233</v>
      </c>
      <c r="C49" s="29" t="s">
        <v>234</v>
      </c>
      <c r="D49" s="17"/>
      <c r="E49" s="17"/>
      <c r="F49" s="17"/>
      <c r="G49" s="17" t="s">
        <v>235</v>
      </c>
      <c r="H49" s="450" t="s">
        <v>236</v>
      </c>
      <c r="I49" s="29">
        <v>2017</v>
      </c>
      <c r="J49" s="17">
        <v>2021</v>
      </c>
      <c r="K49">
        <f t="shared" si="19"/>
        <v>4</v>
      </c>
      <c r="L49" s="17" t="s">
        <v>237</v>
      </c>
      <c r="M49" s="63" t="s">
        <v>238</v>
      </c>
      <c r="N49" s="138" t="s">
        <v>239</v>
      </c>
      <c r="O49" s="72">
        <f>(AVERAGE('Poli Stab'!BJ24:BN24)+AVERAGE('Poli Stab'!BJ77:BN77)+AVERAGE('Poli Stab'!BJ212:BN212)+AVERAGE('Poli Stab'!BJ208:BN208))/4</f>
        <v>-0.73671676218509685</v>
      </c>
      <c r="P49" s="28">
        <f>(AVERAGE(Inflation!BJ24:BN24)+AVERAGE(Inflation!BJ77:BN77)+AVERAGE(Inflation!BJ212:BN212)+AVERAGE(Inflation!BJ208:BN208))/4</f>
        <v>6.11535740701283</v>
      </c>
      <c r="Q49" s="63" t="s">
        <v>240</v>
      </c>
      <c r="R49" s="153">
        <f>181000+57000+124000+127000</f>
        <v>489000</v>
      </c>
      <c r="S49" s="84">
        <v>0</v>
      </c>
      <c r="T49" s="158">
        <v>17000000</v>
      </c>
      <c r="U49" s="89">
        <v>0</v>
      </c>
      <c r="V49" s="6">
        <v>0</v>
      </c>
      <c r="W49" s="6">
        <v>31</v>
      </c>
      <c r="X49" s="3">
        <v>1800000</v>
      </c>
      <c r="Y49" s="84">
        <v>0</v>
      </c>
      <c r="Z49" s="158">
        <v>0</v>
      </c>
      <c r="AA49" s="164">
        <f t="shared" si="20"/>
        <v>0</v>
      </c>
      <c r="AB49" s="94">
        <f t="shared" si="18"/>
        <v>0.10588235294117647</v>
      </c>
      <c r="AC49" s="95" t="str">
        <f t="shared" si="12"/>
        <v/>
      </c>
      <c r="AD49" s="171" t="str">
        <f t="shared" si="13"/>
        <v/>
      </c>
      <c r="AE49" s="98" t="str">
        <f t="shared" si="14"/>
        <v/>
      </c>
      <c r="AF49" s="131">
        <f t="shared" si="15"/>
        <v>0</v>
      </c>
      <c r="AG49" s="84" t="str">
        <f t="shared" si="16"/>
        <v/>
      </c>
      <c r="AH49" s="84">
        <f t="shared" si="17"/>
        <v>0</v>
      </c>
      <c r="AI49" s="176" t="str">
        <f t="shared" si="11"/>
        <v/>
      </c>
    </row>
    <row r="50" spans="1:35" ht="14.45" customHeight="1" x14ac:dyDescent="0.25">
      <c r="A50" t="s">
        <v>241</v>
      </c>
      <c r="B50" t="s">
        <v>242</v>
      </c>
      <c r="C50" s="29" t="s">
        <v>171</v>
      </c>
      <c r="G50" t="s">
        <v>243</v>
      </c>
      <c r="H50" s="452" t="e" vm="8">
        <v>#VALUE!</v>
      </c>
      <c r="I50" s="4">
        <v>2020</v>
      </c>
      <c r="J50">
        <v>2025</v>
      </c>
      <c r="K50">
        <f t="shared" si="19"/>
        <v>5</v>
      </c>
      <c r="L50" t="s">
        <v>39</v>
      </c>
      <c r="M50" s="66" t="s">
        <v>64</v>
      </c>
      <c r="N50" s="322" t="s">
        <v>231</v>
      </c>
      <c r="O50" s="126">
        <f>AVERAGE('Poli Stab'!BM25:BP25)</f>
        <v>-0.97695460915565491</v>
      </c>
      <c r="P50" s="13">
        <f>AVERAGE(Inflation!BM25:BQ25)</f>
        <v>7.8565869482198369</v>
      </c>
      <c r="Q50" s="63" t="s">
        <v>49</v>
      </c>
      <c r="R50" s="153">
        <v>314895</v>
      </c>
      <c r="S50" s="84">
        <v>0</v>
      </c>
      <c r="T50" s="158">
        <v>17000000</v>
      </c>
      <c r="U50" s="89">
        <v>46355</v>
      </c>
      <c r="V50" s="6">
        <v>287059</v>
      </c>
      <c r="W50" s="6">
        <v>305300</v>
      </c>
      <c r="X50" s="3">
        <v>21961421</v>
      </c>
      <c r="Y50" s="84">
        <v>320510742</v>
      </c>
      <c r="Z50" s="158">
        <f>11278+1574938+865243</f>
        <v>2451459</v>
      </c>
      <c r="AA50" s="164">
        <f t="shared" si="20"/>
        <v>0</v>
      </c>
      <c r="AB50" s="94">
        <f t="shared" si="18"/>
        <v>1.291848294117647</v>
      </c>
      <c r="AC50" s="95">
        <f t="shared" si="12"/>
        <v>18.853573058823528</v>
      </c>
      <c r="AD50" s="171">
        <f t="shared" si="13"/>
        <v>0.14420347058823529</v>
      </c>
      <c r="AE50" s="98">
        <f t="shared" si="14"/>
        <v>366.73498004530256</v>
      </c>
      <c r="AF50" s="131">
        <f t="shared" si="15"/>
        <v>2726.7647058823532</v>
      </c>
      <c r="AG50" s="84">
        <f t="shared" si="16"/>
        <v>59.221275068888275</v>
      </c>
      <c r="AH50" s="84">
        <f t="shared" si="17"/>
        <v>16885.823529411766</v>
      </c>
      <c r="AI50" s="176" t="str">
        <f t="shared" si="11"/>
        <v/>
      </c>
    </row>
    <row r="51" spans="1:35" ht="14.45" customHeight="1" x14ac:dyDescent="0.25">
      <c r="A51" t="s">
        <v>244</v>
      </c>
      <c r="B51" t="s">
        <v>245</v>
      </c>
      <c r="C51" s="29" t="s">
        <v>104</v>
      </c>
      <c r="G51" t="s">
        <v>74</v>
      </c>
      <c r="H51" s="452" t="s">
        <v>246</v>
      </c>
      <c r="I51" s="4">
        <v>2010</v>
      </c>
      <c r="J51">
        <v>2017</v>
      </c>
      <c r="K51">
        <f t="shared" si="19"/>
        <v>7</v>
      </c>
      <c r="L51" t="s">
        <v>247</v>
      </c>
      <c r="M51" s="66" t="s">
        <v>248</v>
      </c>
      <c r="N51" s="461" t="s">
        <v>249</v>
      </c>
      <c r="O51" s="126">
        <f>(AVERAGE('Poli Stab'!BC14:BJ14)+AVERAGE('Poli Stab'!BC33:BJ33)+AVERAGE('Poli Stab'!BC34:BJ34)+AVERAGE('Poli Stab'!BC50:BJ50)+AVERAGE('Poli Stab'!BC71:BJ71)+AVERAGE('Poli Stab'!BC159:BJ159)+AVERAGE('Poli Stab'!BC191:BJ191))/7</f>
        <v>-0.46847647625587097</v>
      </c>
      <c r="P51" s="13">
        <f>(AVERAGE(Inflation!BC33:BJ33)+AVERAGE(Inflation!BC34:BJ34)+AVERAGE(Inflation!BC50:BJ50)+AVERAGE(Inflation!BC71:BJ71)+AVERAGE(Inflation!BC159:BJ159)+AVERAGE(Inflation!BC191:BJ191))/6</f>
        <v>4.200131286015746</v>
      </c>
      <c r="Q51" s="63" t="s">
        <v>49</v>
      </c>
      <c r="R51" s="153">
        <f>3635+30000</f>
        <v>33635</v>
      </c>
      <c r="S51" s="84">
        <v>0</v>
      </c>
      <c r="T51" s="158">
        <v>18000000</v>
      </c>
      <c r="U51" s="89">
        <v>0</v>
      </c>
      <c r="V51" s="6">
        <v>3635</v>
      </c>
      <c r="W51" s="6">
        <f>47+153</f>
        <v>200</v>
      </c>
      <c r="X51" s="3">
        <v>32000000</v>
      </c>
      <c r="Y51" s="84">
        <v>0</v>
      </c>
      <c r="Z51" s="158">
        <v>0</v>
      </c>
      <c r="AA51" s="164">
        <f t="shared" si="20"/>
        <v>0</v>
      </c>
      <c r="AB51" s="94">
        <f t="shared" si="18"/>
        <v>1.7777777777777777</v>
      </c>
      <c r="AC51" s="95" t="str">
        <f t="shared" si="12"/>
        <v/>
      </c>
      <c r="AD51" s="171" t="str">
        <f t="shared" si="13"/>
        <v/>
      </c>
      <c r="AE51" s="98" t="str">
        <f t="shared" si="14"/>
        <v/>
      </c>
      <c r="AF51" s="131">
        <f t="shared" si="15"/>
        <v>0</v>
      </c>
      <c r="AG51" s="84">
        <f t="shared" si="16"/>
        <v>4951.8569463548829</v>
      </c>
      <c r="AH51" s="84">
        <f t="shared" si="17"/>
        <v>201.94444444444446</v>
      </c>
      <c r="AI51" s="176" t="str">
        <f t="shared" si="11"/>
        <v/>
      </c>
    </row>
    <row r="52" spans="1:35" ht="14.45" customHeight="1" x14ac:dyDescent="0.25">
      <c r="A52" t="s">
        <v>250</v>
      </c>
      <c r="B52" t="s">
        <v>251</v>
      </c>
      <c r="C52" s="29" t="s">
        <v>171</v>
      </c>
      <c r="G52" t="s">
        <v>182</v>
      </c>
      <c r="H52" s="452" t="e" vm="28">
        <v>#VALUE!</v>
      </c>
      <c r="I52" s="4">
        <v>2022</v>
      </c>
      <c r="J52">
        <v>2025</v>
      </c>
      <c r="K52">
        <f t="shared" si="19"/>
        <v>3</v>
      </c>
      <c r="L52" t="s">
        <v>39</v>
      </c>
      <c r="M52" s="66" t="s">
        <v>115</v>
      </c>
      <c r="N52" s="322" t="s">
        <v>183</v>
      </c>
      <c r="O52" s="126">
        <f>AVERAGE('Poli Stab'!BO219:BP219)</f>
        <v>-0.10658958554267906</v>
      </c>
      <c r="P52" s="13">
        <f>AVERAGE(Inflation!BO219:BQ219)</f>
        <v>9.6746486128739697</v>
      </c>
      <c r="Q52" s="63" t="s">
        <v>49</v>
      </c>
      <c r="R52" s="477">
        <v>0</v>
      </c>
      <c r="S52" s="84">
        <v>0</v>
      </c>
      <c r="T52" s="158">
        <v>18221339</v>
      </c>
      <c r="U52" s="89">
        <v>717</v>
      </c>
      <c r="V52" s="6">
        <v>0</v>
      </c>
      <c r="W52" s="6">
        <v>325</v>
      </c>
      <c r="X52" s="3">
        <v>40500000</v>
      </c>
      <c r="Y52" s="84">
        <v>0</v>
      </c>
      <c r="Z52" s="158">
        <v>0</v>
      </c>
      <c r="AA52" s="164" t="e">
        <f t="shared" si="20"/>
        <v>#DIV/0!</v>
      </c>
      <c r="AB52" s="94">
        <f t="shared" si="18"/>
        <v>2.2226687072777693</v>
      </c>
      <c r="AC52" s="95" t="str">
        <f t="shared" si="12"/>
        <v/>
      </c>
      <c r="AD52" s="171" t="str">
        <f t="shared" si="13"/>
        <v/>
      </c>
      <c r="AE52" s="98">
        <f t="shared" si="14"/>
        <v>25413.304044630404</v>
      </c>
      <c r="AF52" s="131">
        <f t="shared" si="15"/>
        <v>39.349468225139766</v>
      </c>
      <c r="AG52" s="84" t="str">
        <f t="shared" si="16"/>
        <v/>
      </c>
      <c r="AH52" s="84">
        <f t="shared" si="17"/>
        <v>0</v>
      </c>
      <c r="AI52" s="176" t="str">
        <f t="shared" si="11"/>
        <v/>
      </c>
    </row>
    <row r="53" spans="1:35" ht="14.45" customHeight="1" x14ac:dyDescent="0.25">
      <c r="A53" s="29" t="s">
        <v>252</v>
      </c>
      <c r="B53" t="s">
        <v>253</v>
      </c>
      <c r="C53" s="29" t="s">
        <v>137</v>
      </c>
      <c r="D53" s="17" t="s">
        <v>254</v>
      </c>
      <c r="E53" s="17"/>
      <c r="F53" s="17"/>
      <c r="G53" s="17" t="s">
        <v>230</v>
      </c>
      <c r="H53" s="450" t="e" vm="29">
        <v>#VALUE!</v>
      </c>
      <c r="I53" s="4">
        <v>2015</v>
      </c>
      <c r="J53">
        <v>2019</v>
      </c>
      <c r="K53">
        <f t="shared" si="19"/>
        <v>4</v>
      </c>
      <c r="L53" t="s">
        <v>39</v>
      </c>
      <c r="M53" s="63" t="s">
        <v>93</v>
      </c>
      <c r="N53" s="138" t="s">
        <v>255</v>
      </c>
      <c r="O53" s="72">
        <f>AVERAGE('Poli Stab'!BH218:BL218)</f>
        <v>-2.3205353736877443</v>
      </c>
      <c r="P53" s="499" t="str">
        <f>IFERROR(AVERAGE(Inflation!BH218:BL218),"N/A")</f>
        <v>N/A</v>
      </c>
      <c r="Q53" s="63" t="s">
        <v>42</v>
      </c>
      <c r="R53" s="153">
        <v>68209</v>
      </c>
      <c r="S53" s="84">
        <v>34300000</v>
      </c>
      <c r="T53" s="158">
        <v>18300000</v>
      </c>
      <c r="U53" s="89">
        <v>11637</v>
      </c>
      <c r="V53" s="6">
        <v>0</v>
      </c>
      <c r="W53" s="6">
        <f>26+41</f>
        <v>67</v>
      </c>
      <c r="X53" s="3">
        <v>17300000</v>
      </c>
      <c r="Y53" s="84">
        <v>0</v>
      </c>
      <c r="Z53" s="158">
        <v>60800</v>
      </c>
      <c r="AA53" s="164">
        <f t="shared" si="20"/>
        <v>502.86619067864945</v>
      </c>
      <c r="AB53" s="94">
        <f t="shared" si="18"/>
        <v>0.94535519125683065</v>
      </c>
      <c r="AC53" s="95" t="str">
        <f t="shared" si="12"/>
        <v/>
      </c>
      <c r="AD53" s="171">
        <f t="shared" si="13"/>
        <v>3.3224043715846994E-3</v>
      </c>
      <c r="AE53" s="98">
        <f t="shared" si="14"/>
        <v>1572.5702500644495</v>
      </c>
      <c r="AF53" s="131">
        <f t="shared" si="15"/>
        <v>635.90163934426232</v>
      </c>
      <c r="AG53" s="84" t="str">
        <f t="shared" si="16"/>
        <v/>
      </c>
      <c r="AH53" s="84">
        <f t="shared" si="17"/>
        <v>0</v>
      </c>
      <c r="AI53" s="176">
        <f t="shared" si="11"/>
        <v>1.8743169398907105</v>
      </c>
    </row>
    <row r="54" spans="1:35" ht="14.45" customHeight="1" x14ac:dyDescent="0.25">
      <c r="A54" s="4" t="s">
        <v>256</v>
      </c>
      <c r="B54" t="s">
        <v>257</v>
      </c>
      <c r="C54" s="29" t="s">
        <v>80</v>
      </c>
      <c r="D54" t="s">
        <v>258</v>
      </c>
      <c r="G54" t="s">
        <v>53</v>
      </c>
      <c r="H54" s="452" t="e" vm="30">
        <v>#VALUE!</v>
      </c>
      <c r="I54" s="4">
        <v>2017</v>
      </c>
      <c r="J54">
        <v>2024</v>
      </c>
      <c r="K54">
        <f t="shared" si="19"/>
        <v>7</v>
      </c>
      <c r="L54" t="s">
        <v>259</v>
      </c>
      <c r="M54" s="66" t="s">
        <v>64</v>
      </c>
      <c r="N54" s="322" t="s">
        <v>54</v>
      </c>
      <c r="O54" s="126">
        <f>AVERAGE('Poli Stab'!BJ77:BP77)</f>
        <v>-1.747615831238883</v>
      </c>
      <c r="P54" s="13">
        <f>AVERAGE(Inflation!BJ77:BQ77)</f>
        <v>21.584013181511438</v>
      </c>
      <c r="Q54" s="63" t="s">
        <v>49</v>
      </c>
      <c r="R54" s="153">
        <v>276509</v>
      </c>
      <c r="S54" s="84">
        <v>0</v>
      </c>
      <c r="T54" s="158">
        <f>177352202*0.105</f>
        <v>18621981.210000001</v>
      </c>
      <c r="U54" s="89">
        <f>143034+61979</f>
        <v>205013</v>
      </c>
      <c r="V54" s="6">
        <v>71496</v>
      </c>
      <c r="W54" s="6">
        <v>30316</v>
      </c>
      <c r="X54" s="3">
        <f>370274277*0.0138</f>
        <v>5109785.0225999998</v>
      </c>
      <c r="Y54" s="84">
        <v>0</v>
      </c>
      <c r="Z54" s="158">
        <v>0</v>
      </c>
      <c r="AA54" s="164">
        <f t="shared" si="20"/>
        <v>0</v>
      </c>
      <c r="AB54" s="94">
        <f t="shared" si="18"/>
        <v>0.27439534843134983</v>
      </c>
      <c r="AC54" s="95" t="str">
        <f t="shared" si="12"/>
        <v/>
      </c>
      <c r="AD54" s="171" t="str">
        <f t="shared" si="13"/>
        <v/>
      </c>
      <c r="AE54" s="98">
        <f t="shared" si="14"/>
        <v>90.833172579299855</v>
      </c>
      <c r="AF54" s="131">
        <f t="shared" si="15"/>
        <v>11009.193795658437</v>
      </c>
      <c r="AG54" s="84">
        <f t="shared" si="16"/>
        <v>260.46186094326958</v>
      </c>
      <c r="AH54" s="84">
        <f t="shared" si="17"/>
        <v>3839.333698908828</v>
      </c>
      <c r="AI54" s="176" t="str">
        <f t="shared" si="11"/>
        <v/>
      </c>
    </row>
    <row r="55" spans="1:35" ht="14.45" customHeight="1" x14ac:dyDescent="0.25">
      <c r="A55" t="s">
        <v>260</v>
      </c>
      <c r="B55" t="s">
        <v>261</v>
      </c>
      <c r="C55" s="29" t="s">
        <v>137</v>
      </c>
      <c r="D55" s="17"/>
      <c r="E55" s="17"/>
      <c r="F55" s="17"/>
      <c r="G55" s="17" t="s">
        <v>230</v>
      </c>
      <c r="H55" s="452" t="e" vm="31">
        <v>#VALUE!</v>
      </c>
      <c r="I55" s="4">
        <v>2013</v>
      </c>
      <c r="J55">
        <v>2020</v>
      </c>
      <c r="K55">
        <f t="shared" si="19"/>
        <v>7</v>
      </c>
      <c r="L55" t="s">
        <v>39</v>
      </c>
      <c r="M55" s="63" t="s">
        <v>40</v>
      </c>
      <c r="N55" s="138" t="s">
        <v>262</v>
      </c>
      <c r="O55" s="72">
        <f>AVERAGE('Poli Stab'!BF88:BM88)</f>
        <v>1.3810529373586086E-2</v>
      </c>
      <c r="P55" s="28">
        <f>AVERAGE(Inflation!BF88:BM88)</f>
        <v>12.371503607649888</v>
      </c>
      <c r="Q55" s="63" t="s">
        <v>49</v>
      </c>
      <c r="R55" s="153">
        <v>139000</v>
      </c>
      <c r="S55" s="84">
        <f>658*1.1787*109867</f>
        <v>85211153.248199999</v>
      </c>
      <c r="T55" s="158">
        <v>19000000</v>
      </c>
      <c r="U55" s="89">
        <v>0</v>
      </c>
      <c r="V55" s="5">
        <f>139000+70000</f>
        <v>209000</v>
      </c>
      <c r="W55" s="6">
        <v>114</v>
      </c>
      <c r="X55" s="3">
        <f>54900000*1.285</f>
        <v>70546500</v>
      </c>
      <c r="Y55" s="84">
        <v>0</v>
      </c>
      <c r="Z55" s="158">
        <v>0</v>
      </c>
      <c r="AA55" s="164">
        <f t="shared" si="20"/>
        <v>613.02987948345321</v>
      </c>
      <c r="AB55" s="94">
        <f t="shared" si="18"/>
        <v>3.7129736842105263</v>
      </c>
      <c r="AC55" s="95" t="str">
        <f t="shared" si="12"/>
        <v/>
      </c>
      <c r="AD55" s="171" t="str">
        <f t="shared" si="13"/>
        <v/>
      </c>
      <c r="AE55" s="98" t="str">
        <f t="shared" si="14"/>
        <v/>
      </c>
      <c r="AF55" s="131">
        <f t="shared" si="15"/>
        <v>0</v>
      </c>
      <c r="AG55" s="84">
        <f t="shared" si="16"/>
        <v>90.909090909090907</v>
      </c>
      <c r="AH55" s="84">
        <f t="shared" si="17"/>
        <v>11000</v>
      </c>
      <c r="AI55" s="176">
        <f t="shared" si="11"/>
        <v>4.4847975393789472</v>
      </c>
    </row>
    <row r="56" spans="1:35" ht="14.45" customHeight="1" x14ac:dyDescent="0.25">
      <c r="A56" t="s">
        <v>263</v>
      </c>
      <c r="B56" t="s">
        <v>264</v>
      </c>
      <c r="C56" s="29" t="s">
        <v>171</v>
      </c>
      <c r="G56" t="s">
        <v>182</v>
      </c>
      <c r="H56" s="452" t="e" vm="32">
        <v>#VALUE!</v>
      </c>
      <c r="I56" s="4">
        <v>2022</v>
      </c>
      <c r="J56">
        <v>2025</v>
      </c>
      <c r="K56">
        <f t="shared" si="19"/>
        <v>3</v>
      </c>
      <c r="L56" t="s">
        <v>39</v>
      </c>
      <c r="M56" s="66" t="s">
        <v>40</v>
      </c>
      <c r="N56" s="322" t="s">
        <v>183</v>
      </c>
      <c r="O56" s="126">
        <f>AVERAGE('Poli Stab'!BO239:BP239)</f>
        <v>-0.60691030323505402</v>
      </c>
      <c r="P56" s="502" t="str">
        <f>IFERROR(
IF(COUNT(Inflation!BO239:BP239)=0,"N/A",AVERAGE(Inflation!BO239:BP239)),
"N/A"
)</f>
        <v>N/A</v>
      </c>
      <c r="Q56" s="63" t="s">
        <v>49</v>
      </c>
      <c r="R56" s="153">
        <v>19718</v>
      </c>
      <c r="S56" s="84">
        <v>0</v>
      </c>
      <c r="T56" s="158">
        <v>19000000</v>
      </c>
      <c r="U56" s="89">
        <v>0</v>
      </c>
      <c r="V56" s="5">
        <v>11091</v>
      </c>
      <c r="W56" s="6">
        <v>178</v>
      </c>
      <c r="X56" s="3">
        <v>2193605</v>
      </c>
      <c r="Y56" s="84">
        <v>9270767</v>
      </c>
      <c r="Z56" s="158">
        <v>0</v>
      </c>
      <c r="AA56" s="164">
        <f t="shared" si="20"/>
        <v>0</v>
      </c>
      <c r="AB56" s="94">
        <f t="shared" si="18"/>
        <v>0.1154528947368421</v>
      </c>
      <c r="AC56" s="95">
        <f t="shared" si="12"/>
        <v>0.48793510526315792</v>
      </c>
      <c r="AD56" s="171" t="str">
        <f t="shared" si="13"/>
        <v/>
      </c>
      <c r="AE56" s="98" t="str">
        <f t="shared" si="14"/>
        <v/>
      </c>
      <c r="AF56" s="131">
        <f t="shared" si="15"/>
        <v>0</v>
      </c>
      <c r="AG56" s="84">
        <f t="shared" si="16"/>
        <v>1713.1007122892436</v>
      </c>
      <c r="AH56" s="84">
        <f t="shared" si="17"/>
        <v>583.73684210526312</v>
      </c>
      <c r="AI56" s="176" t="str">
        <f t="shared" si="11"/>
        <v/>
      </c>
    </row>
    <row r="57" spans="1:35" ht="14.45" customHeight="1" x14ac:dyDescent="0.25">
      <c r="A57" t="s">
        <v>265</v>
      </c>
      <c r="B57" t="s">
        <v>266</v>
      </c>
      <c r="C57" s="29" t="s">
        <v>171</v>
      </c>
      <c r="G57" t="s">
        <v>243</v>
      </c>
      <c r="H57" s="452" t="e" vm="16">
        <v>#VALUE!</v>
      </c>
      <c r="I57" s="4">
        <v>2013</v>
      </c>
      <c r="J57">
        <v>2018</v>
      </c>
      <c r="K57">
        <f t="shared" si="19"/>
        <v>5</v>
      </c>
      <c r="L57" t="s">
        <v>39</v>
      </c>
      <c r="M57" s="66" t="s">
        <v>64</v>
      </c>
      <c r="N57" s="322" t="s">
        <v>231</v>
      </c>
      <c r="O57" s="126">
        <f>AVERAGE('Poli Stab'!BF252:BK252)</f>
        <v>-0.76238568623860659</v>
      </c>
      <c r="P57" s="13">
        <f>AVERAGE(Inflation!BF252:BK252)</f>
        <v>4.5171175873126987</v>
      </c>
      <c r="Q57" s="63" t="s">
        <v>49</v>
      </c>
      <c r="R57" s="153">
        <v>434979</v>
      </c>
      <c r="S57" s="84">
        <v>0</v>
      </c>
      <c r="T57" s="158">
        <v>20836925</v>
      </c>
      <c r="U57" s="89">
        <v>1774</v>
      </c>
      <c r="V57" s="6">
        <v>596844</v>
      </c>
      <c r="W57" s="6">
        <v>106565</v>
      </c>
      <c r="X57" s="3">
        <v>17590177</v>
      </c>
      <c r="Y57" s="84">
        <v>392288452</v>
      </c>
      <c r="Z57" s="158">
        <v>2339802</v>
      </c>
      <c r="AA57" s="164">
        <f t="shared" si="20"/>
        <v>0</v>
      </c>
      <c r="AB57" s="94">
        <f t="shared" si="18"/>
        <v>0.84418295885789285</v>
      </c>
      <c r="AC57" s="95">
        <f t="shared" si="12"/>
        <v>18.826599990161696</v>
      </c>
      <c r="AD57" s="171">
        <f t="shared" si="13"/>
        <v>0.11229113700797982</v>
      </c>
      <c r="AE57" s="98">
        <f t="shared" si="14"/>
        <v>11745.729988726043</v>
      </c>
      <c r="AF57" s="131">
        <f t="shared" si="15"/>
        <v>85.137322325631061</v>
      </c>
      <c r="AG57" s="84">
        <f t="shared" si="16"/>
        <v>34.911844636119319</v>
      </c>
      <c r="AH57" s="84">
        <f t="shared" si="17"/>
        <v>28643.573847868625</v>
      </c>
      <c r="AI57" s="176" t="str">
        <f t="shared" si="11"/>
        <v/>
      </c>
    </row>
    <row r="58" spans="1:35" ht="14.45" customHeight="1" x14ac:dyDescent="0.25">
      <c r="A58" t="s">
        <v>267</v>
      </c>
      <c r="B58" t="s">
        <v>268</v>
      </c>
      <c r="C58" s="29" t="s">
        <v>171</v>
      </c>
      <c r="D58" s="17"/>
      <c r="E58" s="17"/>
      <c r="F58" s="17"/>
      <c r="G58" s="17" t="s">
        <v>230</v>
      </c>
      <c r="H58" s="450" t="e" vm="15">
        <v>#VALUE!</v>
      </c>
      <c r="I58" s="4">
        <v>2017</v>
      </c>
      <c r="J58">
        <v>2022</v>
      </c>
      <c r="K58">
        <f t="shared" si="19"/>
        <v>5</v>
      </c>
      <c r="L58" t="s">
        <v>39</v>
      </c>
      <c r="M58" s="63" t="s">
        <v>40</v>
      </c>
      <c r="N58" s="138" t="s">
        <v>269</v>
      </c>
      <c r="O58" s="72">
        <f>AVERAGE('Poli Stab'!BJ170:BO170)</f>
        <v>-1.0538027087847395</v>
      </c>
      <c r="P58" s="28">
        <f>AVERAGE(Inflation!BJ170:BO170)</f>
        <v>6.999843147192979</v>
      </c>
      <c r="Q58" s="63" t="s">
        <v>42</v>
      </c>
      <c r="R58" s="153">
        <v>180000</v>
      </c>
      <c r="S58" s="84">
        <v>0</v>
      </c>
      <c r="T58" s="158">
        <v>20900000</v>
      </c>
      <c r="U58" s="89"/>
      <c r="V58" s="6">
        <v>5725</v>
      </c>
      <c r="W58" s="6">
        <f>15+200+500+334</f>
        <v>1049</v>
      </c>
      <c r="X58" s="3">
        <v>1900000</v>
      </c>
      <c r="Y58" s="84">
        <v>17200000</v>
      </c>
      <c r="Z58" s="158">
        <v>0</v>
      </c>
      <c r="AA58" s="164">
        <f t="shared" si="20"/>
        <v>0</v>
      </c>
      <c r="AB58" s="94">
        <f t="shared" si="18"/>
        <v>9.0909090909090912E-2</v>
      </c>
      <c r="AC58" s="95">
        <f t="shared" si="12"/>
        <v>0.82296650717703346</v>
      </c>
      <c r="AD58" s="171" t="str">
        <f t="shared" si="13"/>
        <v/>
      </c>
      <c r="AE58" s="98" t="str">
        <f t="shared" si="14"/>
        <v/>
      </c>
      <c r="AF58" s="131">
        <f t="shared" si="15"/>
        <v>0</v>
      </c>
      <c r="AG58" s="84">
        <f t="shared" si="16"/>
        <v>3650.6550218340612</v>
      </c>
      <c r="AH58" s="84">
        <f t="shared" si="17"/>
        <v>273.92344497607655</v>
      </c>
      <c r="AI58" s="176" t="str">
        <f t="shared" si="11"/>
        <v/>
      </c>
    </row>
    <row r="59" spans="1:35" ht="14.45" customHeight="1" x14ac:dyDescent="0.25">
      <c r="A59" t="s">
        <v>270</v>
      </c>
      <c r="B59" t="s">
        <v>271</v>
      </c>
      <c r="C59" s="29" t="s">
        <v>104</v>
      </c>
      <c r="G59" t="s">
        <v>272</v>
      </c>
      <c r="H59" s="450" t="e" vm="8">
        <v>#VALUE!</v>
      </c>
      <c r="I59" s="4">
        <v>2012</v>
      </c>
      <c r="J59">
        <v>2024</v>
      </c>
      <c r="K59">
        <f t="shared" si="19"/>
        <v>12</v>
      </c>
      <c r="L59" t="s">
        <v>273</v>
      </c>
      <c r="M59" s="66" t="s">
        <v>40</v>
      </c>
      <c r="N59" s="461" t="s">
        <v>274</v>
      </c>
      <c r="O59" s="126">
        <f>AVERAGE('Poli Stab'!BE25:BP25)</f>
        <v>-1.1206384350856147</v>
      </c>
      <c r="P59" s="13">
        <f>AVERAGE(Inflation!BE25:BP25)</f>
        <v>6.5085191579095172</v>
      </c>
      <c r="Q59" s="63" t="s">
        <v>49</v>
      </c>
      <c r="R59" s="153">
        <v>203000</v>
      </c>
      <c r="S59" s="84">
        <v>38300000</v>
      </c>
      <c r="T59" s="158">
        <v>20900000</v>
      </c>
      <c r="U59" s="89">
        <v>0</v>
      </c>
      <c r="V59" s="6">
        <v>203000</v>
      </c>
      <c r="W59">
        <f>10+1600+3200+10</f>
        <v>4820</v>
      </c>
      <c r="X59" s="6">
        <v>0</v>
      </c>
      <c r="Y59" s="84">
        <v>0</v>
      </c>
      <c r="Z59" s="158">
        <v>0</v>
      </c>
      <c r="AA59" s="164">
        <f t="shared" si="20"/>
        <v>188.66995073891624</v>
      </c>
      <c r="AB59" s="94" t="str">
        <f t="shared" si="18"/>
        <v/>
      </c>
      <c r="AC59" s="95" t="str">
        <f t="shared" si="12"/>
        <v/>
      </c>
      <c r="AD59" s="171" t="str">
        <f t="shared" si="13"/>
        <v/>
      </c>
      <c r="AE59" s="98" t="str">
        <f t="shared" si="14"/>
        <v/>
      </c>
      <c r="AF59" s="131">
        <f t="shared" si="15"/>
        <v>0</v>
      </c>
      <c r="AG59" s="84">
        <f t="shared" si="16"/>
        <v>102.95566502463055</v>
      </c>
      <c r="AH59" s="84">
        <f t="shared" si="17"/>
        <v>9712.9186602870814</v>
      </c>
      <c r="AI59" s="176">
        <f t="shared" si="11"/>
        <v>1.832535885167464</v>
      </c>
    </row>
    <row r="60" spans="1:35" ht="14.45" customHeight="1" x14ac:dyDescent="0.25">
      <c r="A60" s="4" t="s">
        <v>275</v>
      </c>
      <c r="B60" t="s">
        <v>276</v>
      </c>
      <c r="C60" s="29" t="s">
        <v>137</v>
      </c>
      <c r="D60" s="17"/>
      <c r="E60" s="17"/>
      <c r="F60" s="17"/>
      <c r="G60" s="17" t="s">
        <v>277</v>
      </c>
      <c r="H60" s="452" t="e" vm="20">
        <v>#VALUE!</v>
      </c>
      <c r="I60" s="4">
        <v>2014</v>
      </c>
      <c r="J60">
        <v>2020</v>
      </c>
      <c r="K60">
        <f t="shared" si="19"/>
        <v>6</v>
      </c>
      <c r="L60" t="s">
        <v>278</v>
      </c>
      <c r="M60" s="63" t="s">
        <v>93</v>
      </c>
      <c r="N60" s="138" t="s">
        <v>279</v>
      </c>
      <c r="O60" s="72">
        <f>AVERAGE('Poli Stab'!BG269:BM269)</f>
        <v>5.8651084346430619E-2</v>
      </c>
      <c r="P60" s="28">
        <f>AVERAGE(Inflation!BG269:BM269)</f>
        <v>10.677494127256198</v>
      </c>
      <c r="Q60" s="63" t="s">
        <v>49</v>
      </c>
      <c r="R60" s="153">
        <v>26460</v>
      </c>
      <c r="S60" s="84">
        <v>0</v>
      </c>
      <c r="T60" s="158">
        <v>21100000</v>
      </c>
      <c r="U60" s="89">
        <v>39435</v>
      </c>
      <c r="V60" s="6">
        <v>0</v>
      </c>
      <c r="W60" s="6">
        <v>25726</v>
      </c>
      <c r="X60" s="3">
        <f>414422128*1.388</f>
        <v>575217913.66399992</v>
      </c>
      <c r="Y60" s="84">
        <f>746971*1.388</f>
        <v>1036795.7479999999</v>
      </c>
      <c r="Z60" s="158">
        <v>0</v>
      </c>
      <c r="AA60" s="164">
        <f t="shared" si="20"/>
        <v>0</v>
      </c>
      <c r="AB60" s="94">
        <f t="shared" si="18"/>
        <v>27.261512495924165</v>
      </c>
      <c r="AC60" s="95">
        <f t="shared" si="12"/>
        <v>4.9137239241706154E-2</v>
      </c>
      <c r="AD60" s="171" t="str">
        <f t="shared" si="13"/>
        <v/>
      </c>
      <c r="AE60" s="98">
        <f t="shared" si="14"/>
        <v>535.05768986940529</v>
      </c>
      <c r="AF60" s="131">
        <f t="shared" si="15"/>
        <v>1868.9573459715639</v>
      </c>
      <c r="AG60" s="84" t="str">
        <f t="shared" si="16"/>
        <v/>
      </c>
      <c r="AH60" s="84">
        <f t="shared" si="17"/>
        <v>0</v>
      </c>
      <c r="AI60" s="176" t="str">
        <f t="shared" si="11"/>
        <v/>
      </c>
    </row>
    <row r="61" spans="1:35" ht="14.45" customHeight="1" x14ac:dyDescent="0.25">
      <c r="A61" s="17" t="s">
        <v>280</v>
      </c>
      <c r="B61" t="s">
        <v>281</v>
      </c>
      <c r="C61" s="29" t="s">
        <v>104</v>
      </c>
      <c r="D61" s="17"/>
      <c r="E61" s="17"/>
      <c r="F61" s="17"/>
      <c r="G61" s="17" t="s">
        <v>230</v>
      </c>
      <c r="H61" s="450" t="e" vm="15">
        <v>#VALUE!</v>
      </c>
      <c r="I61" s="4">
        <v>2010</v>
      </c>
      <c r="J61">
        <v>2021</v>
      </c>
      <c r="K61">
        <f t="shared" si="19"/>
        <v>11</v>
      </c>
      <c r="L61" t="s">
        <v>39</v>
      </c>
      <c r="M61" s="63" t="s">
        <v>84</v>
      </c>
      <c r="N61" s="138" t="s">
        <v>282</v>
      </c>
      <c r="O61" s="72">
        <f>AVERAGE('Poli Stab'!BC170:BN170)</f>
        <v>-0.50970529268185338</v>
      </c>
      <c r="P61" s="28">
        <f>AVERAGE(Inflation!BC170:BN170)</f>
        <v>7.1420135159062283</v>
      </c>
      <c r="Q61" s="63" t="s">
        <v>42</v>
      </c>
      <c r="R61" s="153">
        <v>37786</v>
      </c>
      <c r="S61" s="84">
        <v>34370000</v>
      </c>
      <c r="T61" s="158">
        <v>21700000</v>
      </c>
      <c r="U61" s="89">
        <v>0</v>
      </c>
      <c r="V61" s="5">
        <v>37786</v>
      </c>
      <c r="W61" s="6">
        <f>12+84+34</f>
        <v>130</v>
      </c>
      <c r="X61" s="3">
        <v>0</v>
      </c>
      <c r="Y61" s="84">
        <v>10550000</v>
      </c>
      <c r="Z61" s="158"/>
      <c r="AA61" s="164">
        <f t="shared" si="20"/>
        <v>909.59614672100781</v>
      </c>
      <c r="AB61" s="94" t="str">
        <f t="shared" si="18"/>
        <v/>
      </c>
      <c r="AC61" s="95">
        <f t="shared" si="12"/>
        <v>0.48617511520737328</v>
      </c>
      <c r="AD61" s="171" t="str">
        <f t="shared" si="13"/>
        <v/>
      </c>
      <c r="AE61" s="98" t="str">
        <f t="shared" si="14"/>
        <v/>
      </c>
      <c r="AF61" s="131">
        <f t="shared" si="15"/>
        <v>0</v>
      </c>
      <c r="AG61" s="84">
        <f t="shared" si="16"/>
        <v>574.28677287884398</v>
      </c>
      <c r="AH61" s="84">
        <f t="shared" si="17"/>
        <v>1741.2903225806451</v>
      </c>
      <c r="AI61" s="176">
        <f t="shared" si="11"/>
        <v>1.5838709677419356</v>
      </c>
    </row>
    <row r="62" spans="1:35" ht="14.45" customHeight="1" x14ac:dyDescent="0.25">
      <c r="A62" s="4" t="s">
        <v>283</v>
      </c>
      <c r="B62" t="s">
        <v>284</v>
      </c>
      <c r="C62" s="29" t="s">
        <v>171</v>
      </c>
      <c r="G62" t="s">
        <v>182</v>
      </c>
      <c r="H62" s="452" t="e" vm="23">
        <v>#VALUE!</v>
      </c>
      <c r="I62" s="4">
        <v>2016</v>
      </c>
      <c r="J62">
        <v>2021</v>
      </c>
      <c r="K62" s="66">
        <f t="shared" si="19"/>
        <v>5</v>
      </c>
      <c r="L62" s="4" t="s">
        <v>39</v>
      </c>
      <c r="M62" s="66" t="s">
        <v>40</v>
      </c>
      <c r="N62" s="322" t="s">
        <v>183</v>
      </c>
      <c r="O62" s="126">
        <f>AVERAGE('Poli Stab'!BI251:BN251)</f>
        <v>-0.46727849046389286</v>
      </c>
      <c r="P62" s="13">
        <f>AVERAGE(Inflation!BI251:BN251)</f>
        <v>4.0722386049769161</v>
      </c>
      <c r="Q62" s="63" t="s">
        <v>49</v>
      </c>
      <c r="R62" s="153">
        <v>395684</v>
      </c>
      <c r="S62" s="84">
        <v>0</v>
      </c>
      <c r="T62" s="158">
        <v>21700000</v>
      </c>
      <c r="U62" s="89">
        <v>0</v>
      </c>
      <c r="V62" s="107">
        <v>276562</v>
      </c>
      <c r="W62" s="89">
        <f>336+93</f>
        <v>429</v>
      </c>
      <c r="X62" s="108">
        <v>3522581</v>
      </c>
      <c r="Y62" s="84">
        <v>92792236</v>
      </c>
      <c r="Z62" s="158">
        <v>0</v>
      </c>
      <c r="AA62" s="164">
        <f t="shared" si="20"/>
        <v>0</v>
      </c>
      <c r="AB62" s="94">
        <f t="shared" si="18"/>
        <v>0.16233092165898619</v>
      </c>
      <c r="AC62" s="95">
        <f t="shared" si="12"/>
        <v>4.2761399078341018</v>
      </c>
      <c r="AD62" s="171" t="str">
        <f t="shared" si="13"/>
        <v/>
      </c>
      <c r="AE62" s="98" t="str">
        <f t="shared" si="14"/>
        <v/>
      </c>
      <c r="AF62" s="131">
        <f t="shared" si="15"/>
        <v>0</v>
      </c>
      <c r="AG62" s="84">
        <f t="shared" si="16"/>
        <v>78.463418690926446</v>
      </c>
      <c r="AH62" s="84">
        <f t="shared" si="17"/>
        <v>12744.792626728111</v>
      </c>
      <c r="AI62" s="176" t="str">
        <f t="shared" si="11"/>
        <v/>
      </c>
    </row>
    <row r="63" spans="1:35" ht="14.45" customHeight="1" x14ac:dyDescent="0.25">
      <c r="A63" s="4" t="s">
        <v>285</v>
      </c>
      <c r="B63" t="s">
        <v>286</v>
      </c>
      <c r="C63" s="148" t="s">
        <v>80</v>
      </c>
      <c r="D63" s="140"/>
      <c r="E63" s="140"/>
      <c r="F63" s="140"/>
      <c r="G63" s="140" t="s">
        <v>200</v>
      </c>
      <c r="H63" s="454" t="e" vm="10">
        <v>#VALUE!</v>
      </c>
      <c r="I63" s="148">
        <v>2013</v>
      </c>
      <c r="J63" s="140">
        <v>2022</v>
      </c>
      <c r="K63" s="141">
        <f t="shared" si="19"/>
        <v>9</v>
      </c>
      <c r="L63" s="148" t="s">
        <v>39</v>
      </c>
      <c r="M63" s="141" t="s">
        <v>40</v>
      </c>
      <c r="N63" s="461" t="s">
        <v>287</v>
      </c>
      <c r="O63" s="504">
        <f>AVERAGE('Poli Stab'!BF136:BJ136)</f>
        <v>-0.53405618071556105</v>
      </c>
      <c r="P63" s="505">
        <f>AVERAGE(Inflation!BF136:BJ136)</f>
        <v>9.288199524690981</v>
      </c>
      <c r="Q63" s="151" t="s">
        <v>49</v>
      </c>
      <c r="R63" s="155">
        <v>39200</v>
      </c>
      <c r="S63" s="156">
        <v>13734000</v>
      </c>
      <c r="T63" s="160">
        <v>22000000</v>
      </c>
      <c r="U63" s="89">
        <v>5630</v>
      </c>
      <c r="V63" s="161">
        <v>39200</v>
      </c>
      <c r="W63" s="89">
        <v>242</v>
      </c>
      <c r="X63" s="162">
        <v>3772000</v>
      </c>
      <c r="Y63" s="156">
        <v>4957000</v>
      </c>
      <c r="Z63" s="160">
        <v>3534000</v>
      </c>
      <c r="AA63" s="508">
        <f t="shared" si="20"/>
        <v>350.35714285714283</v>
      </c>
      <c r="AB63" s="168">
        <f t="shared" si="18"/>
        <v>0.17145454545454544</v>
      </c>
      <c r="AC63" s="169">
        <f t="shared" si="12"/>
        <v>0.22531818181818181</v>
      </c>
      <c r="AD63" s="173">
        <f t="shared" si="13"/>
        <v>0.16063636363636363</v>
      </c>
      <c r="AE63" s="174">
        <f t="shared" si="14"/>
        <v>3907.6376554174067</v>
      </c>
      <c r="AF63" s="188">
        <f t="shared" si="15"/>
        <v>255.90909090909091</v>
      </c>
      <c r="AG63" s="156">
        <f t="shared" si="16"/>
        <v>561.22448979591832</v>
      </c>
      <c r="AH63" s="156">
        <f t="shared" si="17"/>
        <v>1781.8181818181818</v>
      </c>
      <c r="AI63" s="178">
        <f t="shared" ref="AI63:AI94" si="21">IF(S63&gt;0,S63/T63,"")</f>
        <v>0.62427272727272731</v>
      </c>
    </row>
    <row r="64" spans="1:35" ht="14.45" customHeight="1" x14ac:dyDescent="0.25">
      <c r="A64" t="s">
        <v>288</v>
      </c>
      <c r="B64" t="s">
        <v>289</v>
      </c>
      <c r="C64" s="29" t="s">
        <v>171</v>
      </c>
      <c r="G64" t="s">
        <v>182</v>
      </c>
      <c r="H64" s="454" t="e" vm="33">
        <v>#VALUE!</v>
      </c>
      <c r="I64" s="4">
        <v>2018</v>
      </c>
      <c r="J64">
        <v>2023</v>
      </c>
      <c r="K64">
        <f t="shared" si="19"/>
        <v>5</v>
      </c>
      <c r="L64" s="148" t="s">
        <v>290</v>
      </c>
      <c r="M64" s="141" t="s">
        <v>64</v>
      </c>
      <c r="N64" s="322" t="s">
        <v>183</v>
      </c>
      <c r="O64" s="126">
        <f>AVERAGE('Poli Stab'!BK127:BP127)</f>
        <v>-0.44506169358889264</v>
      </c>
      <c r="P64" s="13">
        <f>AVERAGE(Inflation!BK127:BP127)</f>
        <v>7.5971555284266117</v>
      </c>
      <c r="Q64" s="151" t="s">
        <v>49</v>
      </c>
      <c r="R64" s="153">
        <v>47671</v>
      </c>
      <c r="S64" s="84">
        <f>715*44811</f>
        <v>32039865</v>
      </c>
      <c r="T64" s="158">
        <v>22770653</v>
      </c>
      <c r="U64" s="89">
        <v>28297</v>
      </c>
      <c r="V64" s="478">
        <v>10823</v>
      </c>
      <c r="W64" s="89">
        <v>3134</v>
      </c>
      <c r="X64" s="162">
        <v>144485083</v>
      </c>
      <c r="Y64" s="3">
        <v>262902465</v>
      </c>
      <c r="Z64" s="158">
        <v>57400000</v>
      </c>
      <c r="AA64" s="164">
        <f t="shared" si="20"/>
        <v>672.10389964548676</v>
      </c>
      <c r="AB64" s="94">
        <f t="shared" si="18"/>
        <v>6.3452323040538188</v>
      </c>
      <c r="AC64" s="95">
        <f t="shared" si="12"/>
        <v>11.545670868551728</v>
      </c>
      <c r="AD64" s="171">
        <f t="shared" si="13"/>
        <v>2.52078849034325</v>
      </c>
      <c r="AE64" s="98">
        <f t="shared" si="14"/>
        <v>804.70201788175427</v>
      </c>
      <c r="AF64" s="131">
        <f t="shared" si="15"/>
        <v>1242.6960263282745</v>
      </c>
      <c r="AG64" s="84">
        <f t="shared" si="16"/>
        <v>2103.9132403215376</v>
      </c>
      <c r="AH64" s="84">
        <f t="shared" si="17"/>
        <v>475.30477057465151</v>
      </c>
      <c r="AI64" s="176">
        <f t="shared" si="21"/>
        <v>1.4070683436263334</v>
      </c>
    </row>
    <row r="65" spans="1:35" ht="14.45" customHeight="1" x14ac:dyDescent="0.25">
      <c r="A65" t="s">
        <v>291</v>
      </c>
      <c r="B65" t="s">
        <v>292</v>
      </c>
      <c r="C65" s="29" t="s">
        <v>171</v>
      </c>
      <c r="G65" t="s">
        <v>293</v>
      </c>
      <c r="H65" s="452" t="e" vm="34">
        <v>#VALUE!</v>
      </c>
      <c r="I65" s="4">
        <v>2015</v>
      </c>
      <c r="J65">
        <v>2019</v>
      </c>
      <c r="K65">
        <f t="shared" si="19"/>
        <v>4</v>
      </c>
      <c r="L65" s="148" t="s">
        <v>39</v>
      </c>
      <c r="M65" s="66" t="s">
        <v>64</v>
      </c>
      <c r="N65" s="322" t="s">
        <v>231</v>
      </c>
      <c r="O65" s="126">
        <f>AVERAGE('Poli Stab'!BH212:BL212)</f>
        <v>-9.4336765259504296E-2</v>
      </c>
      <c r="P65" s="13">
        <f>AVERAGE(Inflation!BH212:BL212)</f>
        <v>0.90234943581281313</v>
      </c>
      <c r="Q65" s="63" t="s">
        <v>49</v>
      </c>
      <c r="R65" s="153">
        <v>151921</v>
      </c>
      <c r="S65" s="84">
        <v>0</v>
      </c>
      <c r="T65" s="158">
        <v>24000000</v>
      </c>
      <c r="U65" s="89">
        <v>15613</v>
      </c>
      <c r="V65" s="6">
        <v>149985</v>
      </c>
      <c r="W65" s="89">
        <f>750+2676+3395+3343+2629</f>
        <v>12793</v>
      </c>
      <c r="X65" s="162">
        <f>2608207+6116934+5788201+8933934+3747456</f>
        <v>27194732</v>
      </c>
      <c r="Y65" s="3">
        <f>11007+16360+15899+21801+7031</f>
        <v>72098</v>
      </c>
      <c r="Z65" s="158">
        <v>0</v>
      </c>
      <c r="AA65" s="164">
        <f t="shared" si="20"/>
        <v>0</v>
      </c>
      <c r="AB65" s="94">
        <f t="shared" si="18"/>
        <v>1.1331138333333333</v>
      </c>
      <c r="AC65" s="95">
        <f t="shared" si="12"/>
        <v>3.0040833333333334E-3</v>
      </c>
      <c r="AD65" s="171" t="str">
        <f t="shared" si="13"/>
        <v/>
      </c>
      <c r="AE65" s="98">
        <f t="shared" si="14"/>
        <v>1537.1805546659834</v>
      </c>
      <c r="AF65" s="131">
        <f t="shared" si="15"/>
        <v>650.54166666666663</v>
      </c>
      <c r="AG65" s="84">
        <f t="shared" si="16"/>
        <v>160.01600160016002</v>
      </c>
      <c r="AH65" s="84">
        <f t="shared" si="17"/>
        <v>6249.375</v>
      </c>
      <c r="AI65" s="176" t="str">
        <f t="shared" si="21"/>
        <v/>
      </c>
    </row>
    <row r="66" spans="1:35" ht="14.45" customHeight="1" x14ac:dyDescent="0.25">
      <c r="A66" t="s">
        <v>294</v>
      </c>
      <c r="B66" t="s">
        <v>295</v>
      </c>
      <c r="C66" s="29" t="s">
        <v>137</v>
      </c>
      <c r="D66" s="17"/>
      <c r="E66" s="17"/>
      <c r="F66" s="17"/>
      <c r="G66" s="17" t="s">
        <v>138</v>
      </c>
      <c r="H66" s="450" t="e" vm="16">
        <v>#VALUE!</v>
      </c>
      <c r="I66" s="4">
        <v>2015</v>
      </c>
      <c r="J66">
        <v>2022</v>
      </c>
      <c r="K66">
        <f t="shared" si="19"/>
        <v>7</v>
      </c>
      <c r="L66" s="148" t="s">
        <v>39</v>
      </c>
      <c r="M66" s="63" t="s">
        <v>40</v>
      </c>
      <c r="N66" s="138" t="s">
        <v>296</v>
      </c>
      <c r="O66" s="72">
        <f>AVERAGE('Poli Stab'!BH252:BO252)</f>
        <v>-0.74357183277606964</v>
      </c>
      <c r="P66" s="28">
        <f>AVERAGE(Inflation!BH252:BO252)</f>
        <v>4.3378827393238089</v>
      </c>
      <c r="Q66" s="151" t="s">
        <v>42</v>
      </c>
      <c r="R66" s="101">
        <v>104000</v>
      </c>
      <c r="S66" s="84">
        <v>0</v>
      </c>
      <c r="T66" s="158">
        <v>24400000</v>
      </c>
      <c r="U66" s="89">
        <v>0</v>
      </c>
      <c r="V66" s="6">
        <v>0</v>
      </c>
      <c r="W66" s="6">
        <v>70</v>
      </c>
      <c r="X66" s="162">
        <f>37000000*1.2993</f>
        <v>48074100</v>
      </c>
      <c r="Y66" s="3">
        <f>25000000*1.2993</f>
        <v>32482499.999999996</v>
      </c>
      <c r="Z66" s="158">
        <v>0</v>
      </c>
      <c r="AA66" s="164">
        <f t="shared" si="20"/>
        <v>0</v>
      </c>
      <c r="AB66" s="94">
        <f t="shared" si="18"/>
        <v>1.9702500000000001</v>
      </c>
      <c r="AC66" s="95">
        <f t="shared" si="12"/>
        <v>1.3312499999999998</v>
      </c>
      <c r="AD66" s="171" t="str">
        <f t="shared" si="13"/>
        <v/>
      </c>
      <c r="AE66" s="98" t="str">
        <f t="shared" si="14"/>
        <v/>
      </c>
      <c r="AF66" s="131">
        <f t="shared" si="15"/>
        <v>0</v>
      </c>
      <c r="AG66" s="84" t="str">
        <f t="shared" si="16"/>
        <v/>
      </c>
      <c r="AH66" s="84">
        <f t="shared" si="17"/>
        <v>0</v>
      </c>
      <c r="AI66" s="176" t="str">
        <f t="shared" si="21"/>
        <v/>
      </c>
    </row>
    <row r="67" spans="1:35" ht="14.45" customHeight="1" x14ac:dyDescent="0.25">
      <c r="A67" s="17" t="s">
        <v>297</v>
      </c>
      <c r="B67" s="17" t="s">
        <v>298</v>
      </c>
      <c r="C67" s="29" t="s">
        <v>171</v>
      </c>
      <c r="D67" s="17"/>
      <c r="E67" s="17"/>
      <c r="F67" s="17"/>
      <c r="G67" s="17" t="s">
        <v>182</v>
      </c>
      <c r="H67" s="450" t="e" vm="8">
        <v>#VALUE!</v>
      </c>
      <c r="I67" s="29">
        <v>2016</v>
      </c>
      <c r="J67" s="17">
        <v>2021</v>
      </c>
      <c r="K67">
        <f t="shared" si="19"/>
        <v>5</v>
      </c>
      <c r="L67" s="148" t="s">
        <v>39</v>
      </c>
      <c r="M67" s="66" t="s">
        <v>139</v>
      </c>
      <c r="N67" s="138" t="s">
        <v>299</v>
      </c>
      <c r="O67" s="72">
        <f>AVERAGE('Poli Stab'!BI25:BN25)</f>
        <v>-1.0633762677510565</v>
      </c>
      <c r="P67" s="28">
        <f>AVERAGE(Inflation!BI25:BN25)</f>
        <v>5.5979904555783735</v>
      </c>
      <c r="Q67" s="151" t="s">
        <v>49</v>
      </c>
      <c r="R67" s="153">
        <v>1074811</v>
      </c>
      <c r="S67" s="84">
        <f>65*R67</f>
        <v>69862715</v>
      </c>
      <c r="T67" s="158">
        <v>24480000</v>
      </c>
      <c r="U67" s="89">
        <v>0</v>
      </c>
      <c r="V67" s="6">
        <v>0</v>
      </c>
      <c r="W67" s="6">
        <v>0</v>
      </c>
      <c r="X67" s="3">
        <v>3390000</v>
      </c>
      <c r="Y67" s="3">
        <f>348678262+30615196</f>
        <v>379293458</v>
      </c>
      <c r="Z67" s="158">
        <v>0</v>
      </c>
      <c r="AA67" s="164">
        <f t="shared" si="20"/>
        <v>65</v>
      </c>
      <c r="AB67" s="94">
        <f t="shared" si="18"/>
        <v>0.13848039215686275</v>
      </c>
      <c r="AC67" s="95">
        <f t="shared" ref="AC67:AC100" si="22">IF(Y67&gt;0,Y67/T67,"")</f>
        <v>15.494013807189543</v>
      </c>
      <c r="AD67" s="171">
        <f>IF(Y67&gt;0,Y67/T67,"")</f>
        <v>15.494013807189543</v>
      </c>
      <c r="AE67" s="98" t="str">
        <f t="shared" ref="AE67:AE100" si="23">IF(U67&gt;0,T67/U67,"")</f>
        <v/>
      </c>
      <c r="AF67" s="131">
        <f t="shared" ref="AF67:AF100" si="24">IF(T67&gt;0,U67/(T67/1000000),"")</f>
        <v>0</v>
      </c>
      <c r="AG67" s="95" t="str">
        <f t="shared" ref="AG67:AG100" si="25">IF(V67&gt;0,T67/V67,"")</f>
        <v/>
      </c>
      <c r="AH67" s="84">
        <f t="shared" ref="AH67:AH100" si="26">IF(T67&gt;0,V67/(T67/1000000),"")</f>
        <v>0</v>
      </c>
      <c r="AI67" s="176">
        <f t="shared" si="21"/>
        <v>2.8538690767973858</v>
      </c>
    </row>
    <row r="68" spans="1:35" ht="14.45" customHeight="1" x14ac:dyDescent="0.25">
      <c r="A68" t="s">
        <v>300</v>
      </c>
      <c r="B68" t="s">
        <v>301</v>
      </c>
      <c r="C68" s="29" t="s">
        <v>171</v>
      </c>
      <c r="G68" t="s">
        <v>230</v>
      </c>
      <c r="H68" s="452" t="e" vm="14">
        <v>#VALUE!</v>
      </c>
      <c r="I68" s="4">
        <v>2019</v>
      </c>
      <c r="J68">
        <v>2024</v>
      </c>
      <c r="K68">
        <f t="shared" si="19"/>
        <v>5</v>
      </c>
      <c r="L68" s="148" t="s">
        <v>302</v>
      </c>
      <c r="M68" s="66" t="s">
        <v>64</v>
      </c>
      <c r="N68" s="322" t="s">
        <v>231</v>
      </c>
      <c r="O68" s="126">
        <f>AVERAGE('Poli Stab'!BL87:BP87)</f>
        <v>-0.42589740157127381</v>
      </c>
      <c r="P68" s="13">
        <f>AVERAGE(Inflation!BL87:BQ87)</f>
        <v>5.8529868352160319</v>
      </c>
      <c r="Q68" s="151" t="s">
        <v>49</v>
      </c>
      <c r="R68" s="477">
        <v>0</v>
      </c>
      <c r="S68" s="84">
        <v>0</v>
      </c>
      <c r="T68" s="158">
        <v>25000000</v>
      </c>
      <c r="U68" s="89">
        <v>4916</v>
      </c>
      <c r="V68" s="6">
        <v>0</v>
      </c>
      <c r="W68" s="6">
        <v>2012</v>
      </c>
      <c r="X68" s="162">
        <v>28900000</v>
      </c>
      <c r="Y68" s="3">
        <v>65300000</v>
      </c>
      <c r="Z68" s="158">
        <v>1993400000</v>
      </c>
      <c r="AA68" s="164" t="e">
        <f t="shared" si="20"/>
        <v>#DIV/0!</v>
      </c>
      <c r="AB68" s="94">
        <f t="shared" si="18"/>
        <v>1.1559999999999999</v>
      </c>
      <c r="AC68" s="95">
        <f t="shared" si="22"/>
        <v>2.6120000000000001</v>
      </c>
      <c r="AD68" s="171">
        <f t="shared" ref="AD68:AD100" si="27">IF(Z68&gt;0,Z68/T68,"")</f>
        <v>79.736000000000004</v>
      </c>
      <c r="AE68" s="98">
        <f t="shared" si="23"/>
        <v>5085.4353132628157</v>
      </c>
      <c r="AF68" s="131">
        <f t="shared" si="24"/>
        <v>196.64</v>
      </c>
      <c r="AG68" s="84" t="str">
        <f t="shared" si="25"/>
        <v/>
      </c>
      <c r="AH68" s="84">
        <f t="shared" si="26"/>
        <v>0</v>
      </c>
      <c r="AI68" s="176" t="str">
        <f t="shared" si="21"/>
        <v/>
      </c>
    </row>
    <row r="69" spans="1:35" ht="14.45" customHeight="1" x14ac:dyDescent="0.25">
      <c r="A69" s="36" t="s">
        <v>303</v>
      </c>
      <c r="B69" s="36" t="s">
        <v>304</v>
      </c>
      <c r="C69" s="64" t="s">
        <v>45</v>
      </c>
      <c r="D69" s="36"/>
      <c r="E69" s="36"/>
      <c r="F69" s="36"/>
      <c r="G69" s="36" t="s">
        <v>38</v>
      </c>
      <c r="H69" s="453" t="e" vm="4">
        <v>#VALUE!</v>
      </c>
      <c r="I69" s="67">
        <v>2010</v>
      </c>
      <c r="J69" s="36">
        <v>2023</v>
      </c>
      <c r="K69" s="36">
        <f>J69-I69-2</f>
        <v>11</v>
      </c>
      <c r="L69" s="503" t="s">
        <v>129</v>
      </c>
      <c r="M69" s="69" t="s">
        <v>64</v>
      </c>
      <c r="N69" s="473" t="s">
        <v>305</v>
      </c>
      <c r="O69" s="449">
        <f>AVERAGE('Poli Stab'!BC143:BP143)</f>
        <v>-0.39038239725466284</v>
      </c>
      <c r="P69" s="149">
        <f>AVERAGE(Inflation!BC143:BP143)</f>
        <v>9.3636150801567233</v>
      </c>
      <c r="Q69" s="65" t="s">
        <v>42</v>
      </c>
      <c r="R69" s="90">
        <f t="shared" ref="R69:Z69" si="28">SUM(R67:R68)</f>
        <v>1074811</v>
      </c>
      <c r="S69" s="82">
        <f t="shared" si="28"/>
        <v>69862715</v>
      </c>
      <c r="T69" s="159">
        <f t="shared" si="28"/>
        <v>49480000</v>
      </c>
      <c r="U69" s="90">
        <f t="shared" si="28"/>
        <v>4916</v>
      </c>
      <c r="V69" s="81">
        <f t="shared" si="28"/>
        <v>0</v>
      </c>
      <c r="W69" s="81">
        <f t="shared" si="28"/>
        <v>2012</v>
      </c>
      <c r="X69" s="506">
        <f t="shared" si="28"/>
        <v>32290000</v>
      </c>
      <c r="Y69" s="340">
        <f t="shared" si="28"/>
        <v>444593458</v>
      </c>
      <c r="Z69" s="483">
        <f t="shared" si="28"/>
        <v>1993400000</v>
      </c>
      <c r="AA69" s="166">
        <f t="shared" si="20"/>
        <v>65</v>
      </c>
      <c r="AB69" s="96">
        <f t="shared" si="18"/>
        <v>0.65258690379951501</v>
      </c>
      <c r="AC69" s="97">
        <f t="shared" si="22"/>
        <v>8.9853164510913501</v>
      </c>
      <c r="AD69" s="172">
        <f t="shared" si="27"/>
        <v>40.286984640258687</v>
      </c>
      <c r="AE69" s="99">
        <f t="shared" si="23"/>
        <v>10065.093572009764</v>
      </c>
      <c r="AF69" s="339">
        <f t="shared" si="24"/>
        <v>99.353274050121271</v>
      </c>
      <c r="AG69" s="100" t="str">
        <f t="shared" si="25"/>
        <v/>
      </c>
      <c r="AH69" s="100">
        <f t="shared" si="26"/>
        <v>0</v>
      </c>
      <c r="AI69" s="177">
        <f t="shared" si="21"/>
        <v>1.4119384599838318</v>
      </c>
    </row>
    <row r="70" spans="1:35" ht="14.45" customHeight="1" x14ac:dyDescent="0.25">
      <c r="A70" s="17" t="s">
        <v>306</v>
      </c>
      <c r="B70" t="s">
        <v>307</v>
      </c>
      <c r="C70" s="29" t="s">
        <v>137</v>
      </c>
      <c r="D70" s="17"/>
      <c r="E70" s="17"/>
      <c r="F70" s="17"/>
      <c r="G70" s="17" t="s">
        <v>230</v>
      </c>
      <c r="H70" s="450" t="e" vm="3">
        <v>#VALUE!</v>
      </c>
      <c r="I70" s="4">
        <v>2013</v>
      </c>
      <c r="J70">
        <v>2020</v>
      </c>
      <c r="K70">
        <f t="shared" ref="K70:K82" si="29">J70-I70</f>
        <v>7</v>
      </c>
      <c r="L70" s="148" t="s">
        <v>39</v>
      </c>
      <c r="M70" s="63" t="s">
        <v>84</v>
      </c>
      <c r="N70" s="138" t="s">
        <v>308</v>
      </c>
      <c r="O70" s="72">
        <f>AVERAGE('Poli Stab'!BF179:BM179)</f>
        <v>-1.9917204082012188</v>
      </c>
      <c r="P70" s="28">
        <f>AVERAGE(Inflation!BF179:BM179)</f>
        <v>11.81112442224857</v>
      </c>
      <c r="Q70" s="151" t="s">
        <v>42</v>
      </c>
      <c r="R70" s="153">
        <v>551521</v>
      </c>
      <c r="S70" s="84">
        <v>64860000</v>
      </c>
      <c r="T70" s="158">
        <f>18600000+8800000</f>
        <v>27400000</v>
      </c>
      <c r="U70" s="89">
        <v>0</v>
      </c>
      <c r="V70" s="6">
        <v>307722</v>
      </c>
      <c r="W70" s="6">
        <f>36+1982</f>
        <v>2018</v>
      </c>
      <c r="X70" s="162">
        <f>8546000*1.41</f>
        <v>12049860</v>
      </c>
      <c r="Y70" s="3">
        <f>(15790000+19766000+2800000)*1.41</f>
        <v>54081960</v>
      </c>
      <c r="Z70" s="158">
        <v>0</v>
      </c>
      <c r="AA70" s="164">
        <f t="shared" si="20"/>
        <v>117.60204960463881</v>
      </c>
      <c r="AB70" s="94">
        <f t="shared" si="18"/>
        <v>0.43977591240875913</v>
      </c>
      <c r="AC70" s="95">
        <f t="shared" si="22"/>
        <v>1.9737941605839415</v>
      </c>
      <c r="AD70" s="171" t="str">
        <f t="shared" si="27"/>
        <v/>
      </c>
      <c r="AE70" s="98" t="str">
        <f t="shared" si="23"/>
        <v/>
      </c>
      <c r="AF70" s="131">
        <f t="shared" si="24"/>
        <v>0</v>
      </c>
      <c r="AG70" s="84">
        <f t="shared" si="25"/>
        <v>89.041407504175851</v>
      </c>
      <c r="AH70" s="84">
        <f t="shared" si="26"/>
        <v>11230.7299270073</v>
      </c>
      <c r="AI70" s="176">
        <f t="shared" si="21"/>
        <v>2.3671532846715326</v>
      </c>
    </row>
    <row r="71" spans="1:35" ht="14.45" customHeight="1" x14ac:dyDescent="0.25">
      <c r="A71" t="s">
        <v>309</v>
      </c>
      <c r="B71" t="s">
        <v>310</v>
      </c>
      <c r="C71" s="29" t="s">
        <v>137</v>
      </c>
      <c r="D71" s="17" t="s">
        <v>57</v>
      </c>
      <c r="E71" s="17"/>
      <c r="F71" s="17"/>
      <c r="G71" s="17" t="s">
        <v>230</v>
      </c>
      <c r="H71" s="450" t="s">
        <v>311</v>
      </c>
      <c r="I71" s="4">
        <v>2013</v>
      </c>
      <c r="J71">
        <v>2018</v>
      </c>
      <c r="K71">
        <f t="shared" si="29"/>
        <v>5</v>
      </c>
      <c r="L71" s="148" t="s">
        <v>312</v>
      </c>
      <c r="M71" s="63" t="s">
        <v>93</v>
      </c>
      <c r="N71" s="138" t="s">
        <v>313</v>
      </c>
      <c r="O71" s="498" t="s">
        <v>314</v>
      </c>
      <c r="P71" s="499" t="s">
        <v>314</v>
      </c>
      <c r="Q71" s="151" t="s">
        <v>42</v>
      </c>
      <c r="R71" s="153">
        <f>522+144+115+130+205</f>
        <v>1116</v>
      </c>
      <c r="S71" s="84">
        <v>0</v>
      </c>
      <c r="T71" s="158">
        <f>20000000*1.4533</f>
        <v>29066000</v>
      </c>
      <c r="U71" s="89">
        <f>41+12+59+50</f>
        <v>162</v>
      </c>
      <c r="V71" s="5">
        <f>522+144+115+130+205</f>
        <v>1116</v>
      </c>
      <c r="W71" s="6">
        <f>6+11+7</f>
        <v>24</v>
      </c>
      <c r="X71" s="162">
        <v>0</v>
      </c>
      <c r="Y71" s="3">
        <f>(818864+2864424+861792+468875+60662+274500+64000+146285)*1.4533</f>
        <v>8079478.9265999999</v>
      </c>
      <c r="Z71" s="158"/>
      <c r="AA71" s="164">
        <f t="shared" si="20"/>
        <v>0</v>
      </c>
      <c r="AB71" s="94" t="str">
        <f t="shared" si="18"/>
        <v/>
      </c>
      <c r="AC71" s="95">
        <f t="shared" si="22"/>
        <v>0.2779701</v>
      </c>
      <c r="AD71" s="171" t="str">
        <f t="shared" si="27"/>
        <v/>
      </c>
      <c r="AE71" s="98">
        <f t="shared" si="23"/>
        <v>179419.75308641975</v>
      </c>
      <c r="AF71" s="131">
        <f t="shared" si="24"/>
        <v>5.5735223284937732</v>
      </c>
      <c r="AG71" s="84">
        <f t="shared" si="25"/>
        <v>26044.802867383514</v>
      </c>
      <c r="AH71" s="84">
        <f t="shared" si="26"/>
        <v>38.395376040734881</v>
      </c>
      <c r="AI71" s="176" t="str">
        <f t="shared" si="21"/>
        <v/>
      </c>
    </row>
    <row r="72" spans="1:35" ht="14.45" customHeight="1" x14ac:dyDescent="0.25">
      <c r="A72" t="s">
        <v>315</v>
      </c>
      <c r="B72" t="s">
        <v>316</v>
      </c>
      <c r="C72" s="29" t="s">
        <v>137</v>
      </c>
      <c r="D72" t="s">
        <v>317</v>
      </c>
      <c r="E72" t="s">
        <v>318</v>
      </c>
      <c r="G72" t="s">
        <v>319</v>
      </c>
      <c r="H72" s="452" t="e" vm="26">
        <v>#VALUE!</v>
      </c>
      <c r="I72" s="4">
        <v>2012</v>
      </c>
      <c r="J72">
        <v>2015</v>
      </c>
      <c r="K72">
        <f t="shared" si="29"/>
        <v>3</v>
      </c>
      <c r="L72" s="148" t="s">
        <v>39</v>
      </c>
      <c r="M72" s="66" t="s">
        <v>115</v>
      </c>
      <c r="N72" s="461" t="s">
        <v>320</v>
      </c>
      <c r="O72" s="126">
        <f>AVERAGE('Poli Stab'!BE126:BH126)</f>
        <v>-1.2534918189048749</v>
      </c>
      <c r="P72" s="13">
        <f>AVERAGE(Inflation!BE126:BH126)</f>
        <v>7.1388932228651472</v>
      </c>
      <c r="Q72" s="151" t="s">
        <v>49</v>
      </c>
      <c r="R72" s="153">
        <v>170200</v>
      </c>
      <c r="S72" s="84">
        <f>R72*119*1.5815</f>
        <v>32031384.699999999</v>
      </c>
      <c r="T72" s="158">
        <v>30000000</v>
      </c>
      <c r="U72" s="89">
        <v>67000</v>
      </c>
      <c r="V72" s="6">
        <v>118</v>
      </c>
      <c r="W72" s="6">
        <v>0</v>
      </c>
      <c r="X72" s="162">
        <f>10000000*1.5815</f>
        <v>15814999.999999998</v>
      </c>
      <c r="Y72" s="3">
        <v>0</v>
      </c>
      <c r="Z72" s="158">
        <v>0</v>
      </c>
      <c r="AA72" s="164">
        <f t="shared" si="20"/>
        <v>188.1985</v>
      </c>
      <c r="AB72" s="94">
        <f t="shared" ref="AB72:AB100" si="30">IF(X72&gt;0,X72/T72,"")</f>
        <v>0.52716666666666656</v>
      </c>
      <c r="AC72" s="95" t="str">
        <f t="shared" si="22"/>
        <v/>
      </c>
      <c r="AD72" s="171" t="str">
        <f t="shared" si="27"/>
        <v/>
      </c>
      <c r="AE72" s="98">
        <f t="shared" si="23"/>
        <v>447.76119402985074</v>
      </c>
      <c r="AF72" s="131">
        <f t="shared" si="24"/>
        <v>2233.3333333333335</v>
      </c>
      <c r="AG72" s="84">
        <f t="shared" si="25"/>
        <v>254237.28813559323</v>
      </c>
      <c r="AH72" s="84">
        <f t="shared" si="26"/>
        <v>3.9333333333333331</v>
      </c>
      <c r="AI72" s="176">
        <f t="shared" si="21"/>
        <v>1.0677128233333333</v>
      </c>
    </row>
    <row r="73" spans="1:35" ht="14.45" customHeight="1" x14ac:dyDescent="0.25">
      <c r="A73" t="s">
        <v>321</v>
      </c>
      <c r="B73" t="s">
        <v>322</v>
      </c>
      <c r="C73" s="29" t="s">
        <v>171</v>
      </c>
      <c r="G73" t="s">
        <v>230</v>
      </c>
      <c r="H73" s="452" t="e" vm="16">
        <v>#VALUE!</v>
      </c>
      <c r="I73" s="4">
        <v>2019</v>
      </c>
      <c r="J73">
        <v>2025</v>
      </c>
      <c r="K73">
        <f t="shared" si="29"/>
        <v>6</v>
      </c>
      <c r="L73" s="148" t="s">
        <v>39</v>
      </c>
      <c r="M73" s="66" t="s">
        <v>64</v>
      </c>
      <c r="N73" s="322" t="s">
        <v>231</v>
      </c>
      <c r="O73" s="126">
        <f>AVERAGE('Poli Stab'!BL252:BP252)</f>
        <v>-0.76991668939590441</v>
      </c>
      <c r="P73" s="13">
        <f>AVERAGE('Poli Stab'!BL252:BQ252)</f>
        <v>-0.76991668939590441</v>
      </c>
      <c r="Q73" s="151" t="s">
        <v>49</v>
      </c>
      <c r="R73" s="153">
        <v>109982</v>
      </c>
      <c r="S73" s="84">
        <v>0</v>
      </c>
      <c r="T73" s="158">
        <v>30847650</v>
      </c>
      <c r="U73" s="89">
        <v>2333</v>
      </c>
      <c r="V73" s="6">
        <v>73618</v>
      </c>
      <c r="W73" s="6">
        <v>174</v>
      </c>
      <c r="X73" s="162">
        <v>45558792</v>
      </c>
      <c r="Y73" s="3">
        <v>74036900</v>
      </c>
      <c r="Z73" s="158"/>
      <c r="AA73" s="164">
        <f t="shared" si="20"/>
        <v>0</v>
      </c>
      <c r="AB73" s="94">
        <f t="shared" si="30"/>
        <v>1.4768966841882607</v>
      </c>
      <c r="AC73" s="95">
        <f t="shared" si="22"/>
        <v>2.400082340145846</v>
      </c>
      <c r="AD73" s="171" t="str">
        <f t="shared" si="27"/>
        <v/>
      </c>
      <c r="AE73" s="98">
        <f t="shared" si="23"/>
        <v>13222.31033004715</v>
      </c>
      <c r="AF73" s="131">
        <f t="shared" si="24"/>
        <v>75.629748133164114</v>
      </c>
      <c r="AG73" s="84">
        <f t="shared" si="25"/>
        <v>419.0232008476188</v>
      </c>
      <c r="AH73" s="84">
        <f t="shared" si="26"/>
        <v>2386.5026995573407</v>
      </c>
      <c r="AI73" s="176" t="str">
        <f t="shared" si="21"/>
        <v/>
      </c>
    </row>
    <row r="74" spans="1:35" ht="14.45" customHeight="1" x14ac:dyDescent="0.25">
      <c r="A74" t="s">
        <v>323</v>
      </c>
      <c r="B74" t="s">
        <v>324</v>
      </c>
      <c r="C74" s="29" t="s">
        <v>171</v>
      </c>
      <c r="G74" t="s">
        <v>182</v>
      </c>
      <c r="H74" s="452" t="e" vm="30">
        <v>#VALUE!</v>
      </c>
      <c r="I74" s="4">
        <v>2021</v>
      </c>
      <c r="J74">
        <v>2025</v>
      </c>
      <c r="K74">
        <f t="shared" si="29"/>
        <v>4</v>
      </c>
      <c r="L74" s="148" t="s">
        <v>39</v>
      </c>
      <c r="M74" s="66" t="s">
        <v>40</v>
      </c>
      <c r="N74" s="322" t="s">
        <v>183</v>
      </c>
      <c r="O74" s="126">
        <f>AVERAGE('Poli Stab'!BN77:BP77)</f>
        <v>-2.0746684074401869</v>
      </c>
      <c r="P74" s="13">
        <f>AVERAGE(Inflation!BN77:BQ77)</f>
        <v>27.996493934290239</v>
      </c>
      <c r="Q74" s="151" t="s">
        <v>42</v>
      </c>
      <c r="R74" s="153">
        <v>214200</v>
      </c>
      <c r="S74" s="84">
        <v>0</v>
      </c>
      <c r="T74" s="158">
        <v>31391192</v>
      </c>
      <c r="U74" s="89">
        <v>0</v>
      </c>
      <c r="V74" s="6">
        <v>187415</v>
      </c>
      <c r="W74" s="6">
        <v>27</v>
      </c>
      <c r="X74" s="162">
        <v>4265787</v>
      </c>
      <c r="Y74" s="3">
        <v>1248777</v>
      </c>
      <c r="Z74" s="158">
        <v>0</v>
      </c>
      <c r="AA74" s="164">
        <f t="shared" si="20"/>
        <v>0</v>
      </c>
      <c r="AB74" s="94">
        <f t="shared" si="30"/>
        <v>0.13589120795412929</v>
      </c>
      <c r="AC74" s="95">
        <f t="shared" si="22"/>
        <v>3.9781127139103221E-2</v>
      </c>
      <c r="AD74" s="171" t="str">
        <f t="shared" si="27"/>
        <v/>
      </c>
      <c r="AE74" s="98" t="str">
        <f t="shared" si="23"/>
        <v/>
      </c>
      <c r="AF74" s="131">
        <f t="shared" si="24"/>
        <v>0</v>
      </c>
      <c r="AG74" s="84">
        <f t="shared" si="25"/>
        <v>167.49562201531361</v>
      </c>
      <c r="AH74" s="84">
        <f t="shared" si="26"/>
        <v>5970.3053009264513</v>
      </c>
      <c r="AI74" s="176" t="str">
        <f t="shared" si="21"/>
        <v/>
      </c>
    </row>
    <row r="75" spans="1:35" ht="14.45" customHeight="1" x14ac:dyDescent="0.25">
      <c r="A75" t="s">
        <v>325</v>
      </c>
      <c r="B75" t="s">
        <v>326</v>
      </c>
      <c r="C75" s="29" t="s">
        <v>104</v>
      </c>
      <c r="D75" s="17" t="s">
        <v>327</v>
      </c>
      <c r="E75" s="17"/>
      <c r="F75" s="17"/>
      <c r="G75" s="17" t="s">
        <v>53</v>
      </c>
      <c r="H75" s="450" t="s">
        <v>328</v>
      </c>
      <c r="I75" s="4">
        <v>2008</v>
      </c>
      <c r="J75">
        <v>2026</v>
      </c>
      <c r="K75">
        <f t="shared" si="29"/>
        <v>18</v>
      </c>
      <c r="L75" s="148" t="s">
        <v>39</v>
      </c>
      <c r="M75" s="63" t="s">
        <v>329</v>
      </c>
      <c r="N75" s="138" t="s">
        <v>330</v>
      </c>
      <c r="O75" s="72">
        <f>(AVERAGE('Poli Stab'!BA15:BP15)+AVERAGE('Poli Stab'!BA20:BP20)+AVERAGE('Poli Stab'!BA87:BP87))/3</f>
        <v>-0.49853437142640661</v>
      </c>
      <c r="P75" s="28">
        <f>(AVERAGE(Inflation!BA15:BP15)+AVERAGE(Inflation!BA20:BP20)+AVERAGE(Inflation!BA87:BP87))/3</f>
        <v>5.2221269838014495</v>
      </c>
      <c r="Q75" s="151" t="s">
        <v>49</v>
      </c>
      <c r="R75" s="101">
        <v>664015</v>
      </c>
      <c r="S75" s="84">
        <f>513098*69.8</f>
        <v>35814240.399999999</v>
      </c>
      <c r="T75" s="158">
        <f>2061500+3150000+2856000+7272600+7976400+8349000</f>
        <v>31665500</v>
      </c>
      <c r="U75" s="89">
        <v>1379</v>
      </c>
      <c r="V75" s="6">
        <v>513098</v>
      </c>
      <c r="W75" s="6">
        <v>140</v>
      </c>
      <c r="X75" s="162">
        <v>0</v>
      </c>
      <c r="Y75" s="3">
        <v>0</v>
      </c>
      <c r="Z75" s="158">
        <v>1319700</v>
      </c>
      <c r="AA75" s="167">
        <f t="shared" si="20"/>
        <v>53.93589060488091</v>
      </c>
      <c r="AB75" s="94" t="str">
        <f t="shared" si="30"/>
        <v/>
      </c>
      <c r="AC75" s="95" t="str">
        <f t="shared" si="22"/>
        <v/>
      </c>
      <c r="AD75" s="171">
        <f t="shared" si="27"/>
        <v>4.1676272283715718E-2</v>
      </c>
      <c r="AE75" s="98">
        <f t="shared" si="23"/>
        <v>22962.654097171864</v>
      </c>
      <c r="AF75" s="131">
        <f t="shared" si="24"/>
        <v>43.548972856894729</v>
      </c>
      <c r="AG75" s="84">
        <f t="shared" si="25"/>
        <v>61.714331375292829</v>
      </c>
      <c r="AH75" s="84">
        <f t="shared" si="26"/>
        <v>16203.691714957919</v>
      </c>
      <c r="AI75" s="176">
        <f t="shared" si="21"/>
        <v>1.1310176817040627</v>
      </c>
    </row>
    <row r="76" spans="1:35" ht="14.45" customHeight="1" x14ac:dyDescent="0.25">
      <c r="A76" t="s">
        <v>331</v>
      </c>
      <c r="B76" t="s">
        <v>332</v>
      </c>
      <c r="C76" s="29" t="s">
        <v>137</v>
      </c>
      <c r="D76" s="17" t="s">
        <v>104</v>
      </c>
      <c r="E76" s="17" t="s">
        <v>80</v>
      </c>
      <c r="F76" s="17"/>
      <c r="G76" s="17" t="s">
        <v>74</v>
      </c>
      <c r="H76" s="450" t="e" vm="8">
        <v>#VALUE!</v>
      </c>
      <c r="I76" s="4">
        <v>2003</v>
      </c>
      <c r="J76">
        <v>2008</v>
      </c>
      <c r="K76">
        <f t="shared" si="29"/>
        <v>5</v>
      </c>
      <c r="L76" s="148" t="s">
        <v>333</v>
      </c>
      <c r="M76" s="63" t="s">
        <v>93</v>
      </c>
      <c r="N76" s="138" t="s">
        <v>334</v>
      </c>
      <c r="O76" s="72">
        <f>AVERAGE('Poli Stab'!AV25:BA25)</f>
        <v>-1.48306620121002</v>
      </c>
      <c r="P76" s="28">
        <f>AVERAGE(Inflation!AV25:BA25)</f>
        <v>7.5128422193224971</v>
      </c>
      <c r="Q76" s="151" t="s">
        <v>49</v>
      </c>
      <c r="R76" s="101">
        <f>166000</f>
        <v>166000</v>
      </c>
      <c r="S76" s="84">
        <v>0</v>
      </c>
      <c r="T76" s="158">
        <v>32000000</v>
      </c>
      <c r="U76" s="89">
        <v>200000</v>
      </c>
      <c r="V76" s="6">
        <v>700000</v>
      </c>
      <c r="W76" s="6">
        <v>0</v>
      </c>
      <c r="X76" s="162">
        <v>0</v>
      </c>
      <c r="Y76" s="3">
        <v>0</v>
      </c>
      <c r="Z76" s="158">
        <v>0</v>
      </c>
      <c r="AA76" s="164">
        <f t="shared" si="20"/>
        <v>0</v>
      </c>
      <c r="AB76" s="94" t="str">
        <f t="shared" si="30"/>
        <v/>
      </c>
      <c r="AC76" s="95" t="str">
        <f t="shared" si="22"/>
        <v/>
      </c>
      <c r="AD76" s="171" t="str">
        <f t="shared" si="27"/>
        <v/>
      </c>
      <c r="AE76" s="98">
        <f t="shared" si="23"/>
        <v>160</v>
      </c>
      <c r="AF76" s="131">
        <f t="shared" si="24"/>
        <v>6250</v>
      </c>
      <c r="AG76" s="84">
        <f t="shared" si="25"/>
        <v>45.714285714285715</v>
      </c>
      <c r="AH76" s="84">
        <f t="shared" si="26"/>
        <v>21875</v>
      </c>
      <c r="AI76" s="176" t="str">
        <f t="shared" si="21"/>
        <v/>
      </c>
    </row>
    <row r="77" spans="1:35" ht="14.45" customHeight="1" x14ac:dyDescent="0.25">
      <c r="A77" t="s">
        <v>335</v>
      </c>
      <c r="B77" t="s">
        <v>336</v>
      </c>
      <c r="C77" s="29" t="s">
        <v>45</v>
      </c>
      <c r="D77" s="17"/>
      <c r="E77" s="17"/>
      <c r="F77" s="17"/>
      <c r="G77" s="17" t="s">
        <v>138</v>
      </c>
      <c r="H77" s="450" t="s">
        <v>337</v>
      </c>
      <c r="I77" s="4">
        <v>2017</v>
      </c>
      <c r="J77">
        <v>2022</v>
      </c>
      <c r="K77">
        <f t="shared" si="29"/>
        <v>5</v>
      </c>
      <c r="L77" t="s">
        <v>312</v>
      </c>
      <c r="M77" s="63" t="s">
        <v>93</v>
      </c>
      <c r="N77" s="138" t="s">
        <v>338</v>
      </c>
      <c r="O77" s="72">
        <f>(AVERAGE('Poli Stab'!BJ81:BO81)+AVERAGE('Poli Stab'!BJ189:BO189)+AVERAGE('Poli Stab'!BJ194:BO194)+AVERAGE('Poli Stab'!BJ143:BO143)+AVERAGE('Poli Stab'!BJ242:BO242))/5</f>
        <v>-0.41241648495197331</v>
      </c>
      <c r="P77" s="28">
        <f>(AVERAGE(Inflation!BJ81:BO81)+AVERAGE(Inflation!BJ189:BO189)+AVERAGE(Inflation!BJ194:BO194)+AVERAGE(Inflation!BJ143:BO143)+AVERAGE(Inflation!BJ242:BO242))/5</f>
        <v>6.3292360646728643</v>
      </c>
      <c r="Q77" s="63" t="s">
        <v>240</v>
      </c>
      <c r="R77" s="153">
        <v>444512</v>
      </c>
      <c r="S77" s="84">
        <v>159000000</v>
      </c>
      <c r="T77" s="158">
        <f>(49846112-3003491)*0.715</f>
        <v>33492474.014999997</v>
      </c>
      <c r="U77" s="89">
        <v>6674</v>
      </c>
      <c r="V77" s="6">
        <v>0</v>
      </c>
      <c r="W77" s="85">
        <v>0</v>
      </c>
      <c r="X77" s="162">
        <v>25700000</v>
      </c>
      <c r="Y77" s="3">
        <v>205000000</v>
      </c>
      <c r="Z77" s="158"/>
      <c r="AA77" s="164">
        <f t="shared" si="20"/>
        <v>357.69563026419985</v>
      </c>
      <c r="AB77" s="94">
        <f t="shared" si="30"/>
        <v>0.76733656607421574</v>
      </c>
      <c r="AC77" s="95">
        <f t="shared" si="22"/>
        <v>6.1207780562340171</v>
      </c>
      <c r="AD77" s="171" t="str">
        <f t="shared" si="27"/>
        <v/>
      </c>
      <c r="AE77" s="98">
        <f t="shared" si="23"/>
        <v>5018.3509162421333</v>
      </c>
      <c r="AF77" s="131">
        <f t="shared" si="24"/>
        <v>199.2686475478333</v>
      </c>
      <c r="AG77" s="84" t="str">
        <f t="shared" si="25"/>
        <v/>
      </c>
      <c r="AH77" s="84">
        <f t="shared" si="26"/>
        <v>0</v>
      </c>
      <c r="AI77" s="176">
        <f t="shared" si="21"/>
        <v>4.7473351753229691</v>
      </c>
    </row>
    <row r="78" spans="1:35" ht="14.45" customHeight="1" x14ac:dyDescent="0.25">
      <c r="A78" s="36" t="s">
        <v>339</v>
      </c>
      <c r="B78" s="36" t="s">
        <v>340</v>
      </c>
      <c r="C78" s="64" t="s">
        <v>104</v>
      </c>
      <c r="D78" s="36"/>
      <c r="E78" s="36"/>
      <c r="F78" s="36"/>
      <c r="G78" s="35" t="s">
        <v>74</v>
      </c>
      <c r="H78" s="453" t="e" vm="1">
        <v>#VALUE!</v>
      </c>
      <c r="I78" s="67">
        <v>2016</v>
      </c>
      <c r="J78" s="36">
        <v>2025</v>
      </c>
      <c r="K78" s="36">
        <f t="shared" si="29"/>
        <v>9</v>
      </c>
      <c r="L78" s="36" t="s">
        <v>39</v>
      </c>
      <c r="M78" s="65" t="s">
        <v>93</v>
      </c>
      <c r="N78" s="471" t="s">
        <v>305</v>
      </c>
      <c r="O78" s="73">
        <f>AVERAGE('Poli Stab'!BI183:BP183)</f>
        <v>-0.4073436781764031</v>
      </c>
      <c r="P78" s="37">
        <f>AVERAGE(Inflation!BI183:BP183)</f>
        <v>5.6886677341432357</v>
      </c>
      <c r="Q78" s="65" t="s">
        <v>49</v>
      </c>
      <c r="R78" s="90">
        <f t="shared" ref="R78:Z78" si="31">SUM(R76:R77)</f>
        <v>610512</v>
      </c>
      <c r="S78" s="82">
        <f t="shared" si="31"/>
        <v>159000000</v>
      </c>
      <c r="T78" s="159">
        <f t="shared" si="31"/>
        <v>65492474.015000001</v>
      </c>
      <c r="U78" s="90">
        <f t="shared" si="31"/>
        <v>206674</v>
      </c>
      <c r="V78" s="81">
        <f t="shared" si="31"/>
        <v>700000</v>
      </c>
      <c r="W78" s="81">
        <f t="shared" si="31"/>
        <v>0</v>
      </c>
      <c r="X78" s="507">
        <f t="shared" si="31"/>
        <v>25700000</v>
      </c>
      <c r="Y78" s="81">
        <f t="shared" si="31"/>
        <v>205000000</v>
      </c>
      <c r="Z78" s="159">
        <f t="shared" si="31"/>
        <v>0</v>
      </c>
      <c r="AA78" s="166">
        <f t="shared" si="20"/>
        <v>260.43714128469219</v>
      </c>
      <c r="AB78" s="96">
        <f t="shared" si="30"/>
        <v>0.39241150050483398</v>
      </c>
      <c r="AC78" s="97">
        <f t="shared" si="22"/>
        <v>3.1301306460502323</v>
      </c>
      <c r="AD78" s="172" t="str">
        <f t="shared" si="27"/>
        <v/>
      </c>
      <c r="AE78" s="99">
        <f t="shared" si="23"/>
        <v>316.88782340787907</v>
      </c>
      <c r="AF78" s="339">
        <f t="shared" si="24"/>
        <v>3155.6908348379793</v>
      </c>
      <c r="AG78" s="100">
        <f t="shared" si="25"/>
        <v>93.560677164285721</v>
      </c>
      <c r="AH78" s="100">
        <f t="shared" si="26"/>
        <v>10688.250986512989</v>
      </c>
      <c r="AI78" s="177">
        <f t="shared" si="21"/>
        <v>2.4277598669365217</v>
      </c>
    </row>
    <row r="79" spans="1:35" ht="14.45" customHeight="1" x14ac:dyDescent="0.25">
      <c r="A79" t="s">
        <v>341</v>
      </c>
      <c r="B79" t="s">
        <v>342</v>
      </c>
      <c r="C79" s="4" t="s">
        <v>171</v>
      </c>
      <c r="G79" t="s">
        <v>230</v>
      </c>
      <c r="H79" s="452" t="e" vm="8">
        <v>#VALUE!</v>
      </c>
      <c r="I79" s="4">
        <v>2013</v>
      </c>
      <c r="J79">
        <v>2019</v>
      </c>
      <c r="K79">
        <f t="shared" si="29"/>
        <v>6</v>
      </c>
      <c r="L79" t="s">
        <v>39</v>
      </c>
      <c r="M79" s="63" t="s">
        <v>93</v>
      </c>
      <c r="N79" s="461" t="s">
        <v>343</v>
      </c>
      <c r="O79" s="126">
        <f>AVERAGE('Poli Stab'!BF25:BL25)</f>
        <v>-1.165821969509125</v>
      </c>
      <c r="P79" s="13">
        <f>AVERAGE(Inflation!BF25:BL25)</f>
        <v>6.1525056013519199</v>
      </c>
      <c r="Q79" s="151" t="s">
        <v>49</v>
      </c>
      <c r="R79" s="153">
        <v>307419</v>
      </c>
      <c r="S79" s="84">
        <f>22159820*0.91/0.75</f>
        <v>26887248.266666666</v>
      </c>
      <c r="T79" s="158">
        <v>34200000</v>
      </c>
      <c r="U79" s="89">
        <v>111662</v>
      </c>
      <c r="V79" s="6">
        <v>0</v>
      </c>
      <c r="W79" s="6">
        <v>6370</v>
      </c>
      <c r="X79" s="162">
        <v>19170000</v>
      </c>
      <c r="Y79" s="3">
        <v>117000000</v>
      </c>
      <c r="Z79" s="158">
        <v>0</v>
      </c>
      <c r="AA79" s="164">
        <f t="shared" ref="AA79:AA90" si="32">S79/R79</f>
        <v>87.461244316931172</v>
      </c>
      <c r="AB79" s="94">
        <f t="shared" si="30"/>
        <v>0.56052631578947365</v>
      </c>
      <c r="AC79" s="95">
        <f t="shared" si="22"/>
        <v>3.4210526315789473</v>
      </c>
      <c r="AD79" s="171" t="str">
        <f t="shared" si="27"/>
        <v/>
      </c>
      <c r="AE79" s="98">
        <f t="shared" si="23"/>
        <v>306.28145653848219</v>
      </c>
      <c r="AF79" s="131">
        <f t="shared" si="24"/>
        <v>3264.9707602339176</v>
      </c>
      <c r="AG79" s="84" t="str">
        <f t="shared" si="25"/>
        <v/>
      </c>
      <c r="AH79" s="84">
        <f t="shared" si="26"/>
        <v>0</v>
      </c>
      <c r="AI79" s="176">
        <f t="shared" si="21"/>
        <v>0.78617684990253411</v>
      </c>
    </row>
    <row r="80" spans="1:35" ht="14.45" customHeight="1" x14ac:dyDescent="0.25">
      <c r="A80" t="s">
        <v>344</v>
      </c>
      <c r="B80" t="s">
        <v>345</v>
      </c>
      <c r="C80" s="29" t="s">
        <v>171</v>
      </c>
      <c r="G80" t="s">
        <v>182</v>
      </c>
      <c r="H80" s="452" t="e" vm="31">
        <v>#VALUE!</v>
      </c>
      <c r="I80" s="4">
        <v>2022</v>
      </c>
      <c r="J80">
        <v>2025</v>
      </c>
      <c r="K80">
        <f t="shared" si="29"/>
        <v>3</v>
      </c>
      <c r="L80" t="s">
        <v>39</v>
      </c>
      <c r="M80" s="66" t="s">
        <v>40</v>
      </c>
      <c r="N80" s="430" t="s">
        <v>183</v>
      </c>
      <c r="O80" s="126">
        <f>AVERAGE('Poli Stab'!BO88:BP88)</f>
        <v>-0.10832274612039319</v>
      </c>
      <c r="P80" s="13">
        <f>AVERAGE(Inflation!BO88:BQ88)</f>
        <v>30.737062950111994</v>
      </c>
      <c r="Q80" s="151" t="s">
        <v>49</v>
      </c>
      <c r="R80" s="153">
        <v>139232</v>
      </c>
      <c r="S80" s="84">
        <v>0</v>
      </c>
      <c r="T80" s="158">
        <v>35858073</v>
      </c>
      <c r="U80" s="89">
        <v>0</v>
      </c>
      <c r="V80" s="6">
        <v>114379</v>
      </c>
      <c r="W80" s="6">
        <v>350</v>
      </c>
      <c r="X80" s="162">
        <v>29883</v>
      </c>
      <c r="Y80" s="3">
        <v>70279136</v>
      </c>
      <c r="Z80" s="158">
        <v>0</v>
      </c>
      <c r="AA80" s="164">
        <f t="shared" si="32"/>
        <v>0</v>
      </c>
      <c r="AB80" s="94">
        <f t="shared" si="30"/>
        <v>8.3336882046059749E-4</v>
      </c>
      <c r="AC80" s="95">
        <f t="shared" si="22"/>
        <v>1.959925063457816</v>
      </c>
      <c r="AD80" s="171" t="str">
        <f t="shared" si="27"/>
        <v/>
      </c>
      <c r="AE80" s="98" t="str">
        <f t="shared" si="23"/>
        <v/>
      </c>
      <c r="AF80" s="131">
        <f t="shared" si="24"/>
        <v>0</v>
      </c>
      <c r="AG80" s="84">
        <f t="shared" si="25"/>
        <v>313.50224254452303</v>
      </c>
      <c r="AH80" s="84">
        <f t="shared" si="26"/>
        <v>3189.769846249128</v>
      </c>
      <c r="AI80" s="176" t="str">
        <f t="shared" si="21"/>
        <v/>
      </c>
    </row>
    <row r="81" spans="1:35" ht="14.45" customHeight="1" x14ac:dyDescent="0.25">
      <c r="A81" t="s">
        <v>346</v>
      </c>
      <c r="B81" t="s">
        <v>347</v>
      </c>
      <c r="C81" s="29" t="s">
        <v>45</v>
      </c>
      <c r="D81" s="17"/>
      <c r="E81" s="17"/>
      <c r="F81" s="17"/>
      <c r="G81" s="17" t="s">
        <v>348</v>
      </c>
      <c r="H81" s="450" t="s">
        <v>337</v>
      </c>
      <c r="I81" s="4">
        <v>2011</v>
      </c>
      <c r="J81">
        <v>2017</v>
      </c>
      <c r="K81">
        <f t="shared" si="29"/>
        <v>6</v>
      </c>
      <c r="L81" t="s">
        <v>312</v>
      </c>
      <c r="M81" s="63" t="s">
        <v>93</v>
      </c>
      <c r="N81" s="138" t="s">
        <v>349</v>
      </c>
      <c r="O81" s="72">
        <f>(AVERAGE('Poli Stab'!BD81:BJ81)+AVERAGE('Poli Stab'!BD189:BJ189)+AVERAGE('Poli Stab'!BD194:BJ194)+AVERAGE('Poli Stab'!BD143:BJ143)+AVERAGE('Poli Stab'!BD242:BJ242))/5</f>
        <v>-0.6616871230836423</v>
      </c>
      <c r="P81" s="28">
        <f>(AVERAGE(Inflation!BD81:BJ81)+AVERAGE(Inflation!BD189:BJ189)+AVERAGE(Inflation!BD194:BJ194)+AVERAGE(Inflation!BD143:BJ143)+AVERAGE(Inflation!BD242:BJ242))/5</f>
        <v>5.2426679258609603</v>
      </c>
      <c r="Q81" s="151" t="s">
        <v>240</v>
      </c>
      <c r="R81" s="153">
        <f>24170+74380</f>
        <v>98550</v>
      </c>
      <c r="S81" s="84">
        <v>13275000</v>
      </c>
      <c r="T81" s="158">
        <v>36000000</v>
      </c>
      <c r="U81" s="89">
        <v>549</v>
      </c>
      <c r="V81" s="6">
        <v>14870</v>
      </c>
      <c r="W81" s="6">
        <v>0</v>
      </c>
      <c r="X81" s="162">
        <v>7810000</v>
      </c>
      <c r="Y81" s="3">
        <v>20155000</v>
      </c>
      <c r="Z81" s="158"/>
      <c r="AA81" s="164">
        <f t="shared" si="32"/>
        <v>134.70319634703196</v>
      </c>
      <c r="AB81" s="94">
        <f t="shared" si="30"/>
        <v>0.21694444444444444</v>
      </c>
      <c r="AC81" s="95">
        <f t="shared" si="22"/>
        <v>0.55986111111111114</v>
      </c>
      <c r="AD81" s="171" t="str">
        <f t="shared" si="27"/>
        <v/>
      </c>
      <c r="AE81" s="98">
        <f t="shared" si="23"/>
        <v>65573.770491803283</v>
      </c>
      <c r="AF81" s="131">
        <f t="shared" si="24"/>
        <v>15.25</v>
      </c>
      <c r="AG81" s="84">
        <f t="shared" si="25"/>
        <v>2420.9818426361803</v>
      </c>
      <c r="AH81" s="84">
        <f t="shared" si="26"/>
        <v>413.05555555555554</v>
      </c>
      <c r="AI81" s="176">
        <f t="shared" si="21"/>
        <v>0.36875000000000002</v>
      </c>
    </row>
    <row r="82" spans="1:35" ht="14.45" customHeight="1" x14ac:dyDescent="0.25">
      <c r="A82" t="s">
        <v>350</v>
      </c>
      <c r="B82" t="s">
        <v>351</v>
      </c>
      <c r="C82" s="29" t="s">
        <v>171</v>
      </c>
      <c r="G82" t="s">
        <v>53</v>
      </c>
      <c r="H82" s="452" t="e" vm="30">
        <v>#VALUE!</v>
      </c>
      <c r="I82" s="4">
        <v>2020</v>
      </c>
      <c r="J82">
        <v>2025</v>
      </c>
      <c r="K82">
        <f t="shared" si="29"/>
        <v>5</v>
      </c>
      <c r="L82" t="s">
        <v>39</v>
      </c>
      <c r="M82" s="66" t="s">
        <v>125</v>
      </c>
      <c r="N82" s="322" t="s">
        <v>231</v>
      </c>
      <c r="O82" s="126">
        <f>AVERAGE('Poli Stab'!BM77:BP77)</f>
        <v>-1.9944270551204699</v>
      </c>
      <c r="P82" s="13">
        <f>AVERAGE(Inflation!BM77:BQ77)</f>
        <v>26.468464518613423</v>
      </c>
      <c r="Q82" s="63" t="s">
        <v>42</v>
      </c>
      <c r="R82" s="153">
        <v>575403</v>
      </c>
      <c r="S82" s="84">
        <v>0</v>
      </c>
      <c r="T82" s="158">
        <v>45332270</v>
      </c>
      <c r="U82" s="89">
        <f>530+33</f>
        <v>563</v>
      </c>
      <c r="V82" s="6">
        <v>0</v>
      </c>
      <c r="W82" s="6">
        <f>11156+3184+5</f>
        <v>14345</v>
      </c>
      <c r="X82" s="3">
        <v>1756656</v>
      </c>
      <c r="Y82" s="3">
        <v>50814396</v>
      </c>
      <c r="Z82" s="158">
        <v>0</v>
      </c>
      <c r="AA82" s="164">
        <f t="shared" si="32"/>
        <v>0</v>
      </c>
      <c r="AB82" s="94">
        <f t="shared" si="30"/>
        <v>3.8750673637124283E-2</v>
      </c>
      <c r="AC82" s="95">
        <f t="shared" si="22"/>
        <v>1.1209320865687953</v>
      </c>
      <c r="AD82" s="171" t="str">
        <f t="shared" si="27"/>
        <v/>
      </c>
      <c r="AE82" s="98">
        <f t="shared" si="23"/>
        <v>80519.129662522202</v>
      </c>
      <c r="AF82" s="131">
        <f t="shared" si="24"/>
        <v>12.419408955254172</v>
      </c>
      <c r="AG82" s="84" t="str">
        <f t="shared" si="25"/>
        <v/>
      </c>
      <c r="AH82" s="84">
        <f t="shared" si="26"/>
        <v>0</v>
      </c>
      <c r="AI82" s="176" t="str">
        <f t="shared" si="21"/>
        <v/>
      </c>
    </row>
    <row r="83" spans="1:35" ht="14.45" customHeight="1" x14ac:dyDescent="0.25">
      <c r="A83" t="s">
        <v>352</v>
      </c>
      <c r="B83" t="s">
        <v>353</v>
      </c>
      <c r="C83" s="29" t="s">
        <v>171</v>
      </c>
      <c r="G83" t="s">
        <v>53</v>
      </c>
      <c r="H83" s="452" t="e" vm="3">
        <v>#VALUE!</v>
      </c>
      <c r="I83" s="4">
        <v>2019</v>
      </c>
      <c r="J83">
        <v>2025</v>
      </c>
      <c r="K83">
        <f>J83-I83-1</f>
        <v>5</v>
      </c>
      <c r="L83" t="s">
        <v>39</v>
      </c>
      <c r="M83" s="66" t="s">
        <v>40</v>
      </c>
      <c r="N83" s="322" t="s">
        <v>231</v>
      </c>
      <c r="O83" s="126">
        <f>AVERAGE('Poli Stab'!BL179:BP179)</f>
        <v>-1.8319787740707381</v>
      </c>
      <c r="P83" s="13">
        <f>AVERAGE(Inflation!BL179:BQ179)</f>
        <v>19.724021021602343</v>
      </c>
      <c r="Q83" s="63" t="s">
        <v>42</v>
      </c>
      <c r="R83" s="153">
        <v>970615</v>
      </c>
      <c r="S83" s="84">
        <f>2.54*Table16[[#This Row],['# of Beneficiaries]]</f>
        <v>2465362.1</v>
      </c>
      <c r="T83" s="158">
        <v>46913273</v>
      </c>
      <c r="U83" s="89">
        <v>0</v>
      </c>
      <c r="V83" s="6">
        <v>529657</v>
      </c>
      <c r="W83" s="6">
        <v>40780</v>
      </c>
      <c r="X83" s="162">
        <v>38106179</v>
      </c>
      <c r="Y83" s="3">
        <v>94917652</v>
      </c>
      <c r="Z83" s="158">
        <v>0</v>
      </c>
      <c r="AA83" s="164">
        <f t="shared" si="32"/>
        <v>2.54</v>
      </c>
      <c r="AB83" s="94">
        <f t="shared" si="30"/>
        <v>0.81226860892865016</v>
      </c>
      <c r="AC83" s="95">
        <f t="shared" si="22"/>
        <v>2.0232579381106066</v>
      </c>
      <c r="AD83" s="171" t="str">
        <f t="shared" si="27"/>
        <v/>
      </c>
      <c r="AE83" s="98" t="str">
        <f t="shared" si="23"/>
        <v/>
      </c>
      <c r="AF83" s="131">
        <f t="shared" si="24"/>
        <v>0</v>
      </c>
      <c r="AG83" s="84">
        <f t="shared" si="25"/>
        <v>88.572931161109921</v>
      </c>
      <c r="AH83" s="84">
        <f t="shared" si="26"/>
        <v>11290.131046708253</v>
      </c>
      <c r="AI83" s="176">
        <f t="shared" si="21"/>
        <v>5.255148367073003E-2</v>
      </c>
    </row>
    <row r="84" spans="1:35" ht="14.45" customHeight="1" x14ac:dyDescent="0.25">
      <c r="A84" s="17" t="s">
        <v>354</v>
      </c>
      <c r="B84" s="17" t="s">
        <v>355</v>
      </c>
      <c r="C84" s="29" t="s">
        <v>317</v>
      </c>
      <c r="D84" s="17" t="s">
        <v>137</v>
      </c>
      <c r="E84" s="17"/>
      <c r="F84" s="17"/>
      <c r="G84" s="17" t="s">
        <v>356</v>
      </c>
      <c r="H84" s="450" t="e" vm="23">
        <v>#VALUE!</v>
      </c>
      <c r="I84" s="29">
        <v>2007</v>
      </c>
      <c r="J84" s="17">
        <v>2022</v>
      </c>
      <c r="K84">
        <f>J84-I84</f>
        <v>15</v>
      </c>
      <c r="L84" t="s">
        <v>39</v>
      </c>
      <c r="M84" s="63" t="s">
        <v>93</v>
      </c>
      <c r="N84" s="138" t="s">
        <v>357</v>
      </c>
      <c r="O84" s="72">
        <f>AVERAGE('Poli Stab'!AZ251:BO251)</f>
        <v>-0.2957336076651701</v>
      </c>
      <c r="P84" s="28">
        <f>AVERAGE(Inflation!AZ251:BO251)</f>
        <v>7.0445354038093262</v>
      </c>
      <c r="Q84" s="63" t="s">
        <v>49</v>
      </c>
      <c r="R84" s="153">
        <v>170000</v>
      </c>
      <c r="S84" s="84">
        <v>0</v>
      </c>
      <c r="T84" s="158">
        <v>50000000</v>
      </c>
      <c r="U84" s="89">
        <v>0</v>
      </c>
      <c r="V84" s="6">
        <v>5400</v>
      </c>
      <c r="W84" s="6">
        <v>575</v>
      </c>
      <c r="X84" s="162">
        <v>0</v>
      </c>
      <c r="Y84" s="3">
        <v>6500000</v>
      </c>
      <c r="Z84" s="158">
        <v>22000000</v>
      </c>
      <c r="AA84" s="164">
        <f t="shared" si="32"/>
        <v>0</v>
      </c>
      <c r="AB84" s="94" t="str">
        <f t="shared" si="30"/>
        <v/>
      </c>
      <c r="AC84" s="95">
        <f t="shared" si="22"/>
        <v>0.13</v>
      </c>
      <c r="AD84" s="171">
        <f t="shared" si="27"/>
        <v>0.44</v>
      </c>
      <c r="AE84" s="98" t="str">
        <f t="shared" si="23"/>
        <v/>
      </c>
      <c r="AF84" s="131">
        <f t="shared" si="24"/>
        <v>0</v>
      </c>
      <c r="AG84" s="84">
        <f t="shared" si="25"/>
        <v>9259.2592592592591</v>
      </c>
      <c r="AH84" s="84">
        <f t="shared" si="26"/>
        <v>108</v>
      </c>
      <c r="AI84" s="176" t="str">
        <f t="shared" si="21"/>
        <v/>
      </c>
    </row>
    <row r="85" spans="1:35" ht="14.45" customHeight="1" x14ac:dyDescent="0.25">
      <c r="A85" t="s">
        <v>358</v>
      </c>
      <c r="B85" t="s">
        <v>359</v>
      </c>
      <c r="C85" s="29" t="s">
        <v>137</v>
      </c>
      <c r="D85" s="17" t="s">
        <v>104</v>
      </c>
      <c r="E85" s="17" t="s">
        <v>80</v>
      </c>
      <c r="F85" s="17" t="s">
        <v>360</v>
      </c>
      <c r="G85" s="17" t="s">
        <v>74</v>
      </c>
      <c r="H85" s="450" t="e" vm="8">
        <v>#VALUE!</v>
      </c>
      <c r="I85" s="4">
        <v>2008</v>
      </c>
      <c r="J85">
        <v>2013</v>
      </c>
      <c r="K85">
        <f>J85-I85</f>
        <v>5</v>
      </c>
      <c r="L85" t="s">
        <v>333</v>
      </c>
      <c r="M85" s="63" t="s">
        <v>93</v>
      </c>
      <c r="N85" s="138" t="s">
        <v>361</v>
      </c>
      <c r="O85" s="72">
        <f>AVERAGE('Poli Stab'!BA25:BF25)</f>
        <v>-1.4820961554845169</v>
      </c>
      <c r="P85" s="28">
        <f>AVERAGE(Inflation!BA25:BF25)</f>
        <v>7.9325282388603311</v>
      </c>
      <c r="Q85" s="63" t="s">
        <v>49</v>
      </c>
      <c r="R85" s="153">
        <v>2000000</v>
      </c>
      <c r="S85" s="84">
        <v>161000000</v>
      </c>
      <c r="T85" s="158">
        <v>50000000</v>
      </c>
      <c r="U85" s="89">
        <v>0</v>
      </c>
      <c r="V85" s="5">
        <v>2000000</v>
      </c>
      <c r="W85" s="6">
        <v>20300</v>
      </c>
      <c r="X85" s="3">
        <v>0</v>
      </c>
      <c r="Y85" s="3">
        <v>161000000</v>
      </c>
      <c r="Z85" s="158">
        <v>0</v>
      </c>
      <c r="AA85" s="164">
        <f t="shared" si="32"/>
        <v>80.5</v>
      </c>
      <c r="AB85" s="94" t="str">
        <f t="shared" si="30"/>
        <v/>
      </c>
      <c r="AC85" s="95">
        <f t="shared" si="22"/>
        <v>3.22</v>
      </c>
      <c r="AD85" s="171" t="str">
        <f t="shared" si="27"/>
        <v/>
      </c>
      <c r="AE85" s="98" t="str">
        <f t="shared" si="23"/>
        <v/>
      </c>
      <c r="AF85" s="131">
        <f t="shared" si="24"/>
        <v>0</v>
      </c>
      <c r="AG85" s="84">
        <f t="shared" si="25"/>
        <v>25</v>
      </c>
      <c r="AH85" s="84">
        <f t="shared" si="26"/>
        <v>40000</v>
      </c>
      <c r="AI85" s="176">
        <f t="shared" si="21"/>
        <v>3.22</v>
      </c>
    </row>
    <row r="86" spans="1:35" ht="14.45" customHeight="1" x14ac:dyDescent="0.25">
      <c r="A86" t="s">
        <v>362</v>
      </c>
      <c r="B86" t="s">
        <v>363</v>
      </c>
      <c r="C86" s="29" t="s">
        <v>171</v>
      </c>
      <c r="G86" t="s">
        <v>182</v>
      </c>
      <c r="H86" s="452" t="e" vm="35">
        <v>#VALUE!</v>
      </c>
      <c r="I86" s="4">
        <v>2018</v>
      </c>
      <c r="J86">
        <v>2025</v>
      </c>
      <c r="K86">
        <f>J86-I86</f>
        <v>7</v>
      </c>
      <c r="L86" t="s">
        <v>364</v>
      </c>
      <c r="M86" s="66" t="s">
        <v>64</v>
      </c>
      <c r="N86" s="461" t="s">
        <v>365</v>
      </c>
      <c r="O86" s="126">
        <f>AVERAGE('Poli Stab'!BK102:BP102)</f>
        <v>-0.53412978351116158</v>
      </c>
      <c r="P86" s="13">
        <f>AVERAGE(Inflation!BK102:BQ102)</f>
        <v>5.2888020413728762</v>
      </c>
      <c r="Q86" s="63" t="s">
        <v>49</v>
      </c>
      <c r="R86" s="153">
        <v>30403</v>
      </c>
      <c r="S86" s="84">
        <v>131000000</v>
      </c>
      <c r="T86" s="158">
        <v>50000000</v>
      </c>
      <c r="U86" s="153">
        <v>30403</v>
      </c>
      <c r="V86" s="6">
        <v>0</v>
      </c>
      <c r="W86" s="6">
        <v>3807</v>
      </c>
      <c r="X86" s="3">
        <v>35428638</v>
      </c>
      <c r="Y86" s="3">
        <v>86688324</v>
      </c>
      <c r="Z86" s="158">
        <v>0</v>
      </c>
      <c r="AA86" s="164">
        <f t="shared" si="32"/>
        <v>4308.7853172384303</v>
      </c>
      <c r="AB86" s="94">
        <f t="shared" si="30"/>
        <v>0.70857276000000002</v>
      </c>
      <c r="AC86" s="95">
        <f t="shared" si="22"/>
        <v>1.7337664800000001</v>
      </c>
      <c r="AD86" s="171" t="str">
        <f t="shared" si="27"/>
        <v/>
      </c>
      <c r="AE86" s="98">
        <f t="shared" si="23"/>
        <v>1644.5745485642865</v>
      </c>
      <c r="AF86" s="131">
        <f t="shared" si="24"/>
        <v>608.05999999999995</v>
      </c>
      <c r="AG86" s="84" t="str">
        <f t="shared" si="25"/>
        <v/>
      </c>
      <c r="AH86" s="84">
        <f t="shared" si="26"/>
        <v>0</v>
      </c>
      <c r="AI86" s="176">
        <f t="shared" si="21"/>
        <v>2.62</v>
      </c>
    </row>
    <row r="87" spans="1:35" ht="14.45" customHeight="1" x14ac:dyDescent="0.25">
      <c r="A87" t="s">
        <v>366</v>
      </c>
      <c r="B87" t="s">
        <v>367</v>
      </c>
      <c r="C87" s="29" t="s">
        <v>137</v>
      </c>
      <c r="G87" t="s">
        <v>368</v>
      </c>
      <c r="H87" s="452" t="s">
        <v>369</v>
      </c>
      <c r="I87" s="4">
        <v>2014</v>
      </c>
      <c r="J87">
        <v>2019</v>
      </c>
      <c r="K87">
        <f>J87-I87</f>
        <v>5</v>
      </c>
      <c r="L87" t="s">
        <v>39</v>
      </c>
      <c r="M87" s="66" t="s">
        <v>115</v>
      </c>
      <c r="N87" s="461" t="s">
        <v>370</v>
      </c>
      <c r="O87" s="126">
        <f>(AVERAGE('Poli Stab'!BG25:BL25)+AVERAGE('Poli Stab'!BG77:BL77)+AVERAGE('Poli Stab'!BG126:BL126)+AVERAGE('Poli Stab'!BG173:BL173)+AVERAGE('Poli Stab'!BG165:BL165)+AVERAGE('Poli Stab'!BG179:BL179)+AVERAGE('Poli Stab'!BG189:BL189)+AVERAGE('Poli Stab'!BG208:BL208)+AVERAGE('Poli Stab'!BG268:BL268)+AVERAGE('Poli Stab'!BG269:BL269))/10</f>
        <v>-0.95616787982095608</v>
      </c>
      <c r="P87" s="13">
        <f>(AVERAGE(Inflation!BG25:BL25)+AVERAGE(Inflation!BG77:BL77)+AVERAGE(Inflation!BG126:BL126)+AVERAGE(Inflation!BG173:BL173)+AVERAGE(Inflation!BG165:BL165)+AVERAGE(Inflation!BG179:BL179)+AVERAGE(Inflation!BG189:BL189)+AVERAGE(Inflation!BG208:BL208)+AVERAGE(Inflation!BG268:BL268)+AVERAGE(Inflation!BG269:BL269))/10</f>
        <v>8.3061189633890571</v>
      </c>
      <c r="Q87" s="63" t="s">
        <v>240</v>
      </c>
      <c r="R87" s="153">
        <v>748148</v>
      </c>
      <c r="S87" s="84">
        <f>35355545*1.405</f>
        <v>49674540.725000001</v>
      </c>
      <c r="T87" s="158">
        <v>51100000</v>
      </c>
      <c r="U87" s="89">
        <v>70098</v>
      </c>
      <c r="V87" s="6">
        <v>0</v>
      </c>
      <c r="W87" s="6">
        <v>214</v>
      </c>
      <c r="X87" s="480">
        <v>0</v>
      </c>
      <c r="Y87" s="6">
        <v>0</v>
      </c>
      <c r="Z87" s="164">
        <v>0</v>
      </c>
      <c r="AA87" s="167">
        <f t="shared" si="32"/>
        <v>66.396676493153763</v>
      </c>
      <c r="AB87" s="94" t="str">
        <f t="shared" si="30"/>
        <v/>
      </c>
      <c r="AC87" s="95" t="str">
        <f t="shared" si="22"/>
        <v/>
      </c>
      <c r="AD87" s="171" t="str">
        <f t="shared" si="27"/>
        <v/>
      </c>
      <c r="AE87" s="98">
        <f t="shared" si="23"/>
        <v>728.97942879968048</v>
      </c>
      <c r="AF87" s="131">
        <f t="shared" si="24"/>
        <v>1371.7808219178082</v>
      </c>
      <c r="AG87" s="84" t="str">
        <f t="shared" si="25"/>
        <v/>
      </c>
      <c r="AH87" s="84">
        <f t="shared" si="26"/>
        <v>0</v>
      </c>
      <c r="AI87" s="176">
        <f t="shared" si="21"/>
        <v>0.97210451516634055</v>
      </c>
    </row>
    <row r="88" spans="1:35" ht="14.45" customHeight="1" x14ac:dyDescent="0.25">
      <c r="A88" t="s">
        <v>371</v>
      </c>
      <c r="B88" t="s">
        <v>372</v>
      </c>
      <c r="C88" s="29" t="s">
        <v>171</v>
      </c>
      <c r="G88" t="s">
        <v>182</v>
      </c>
      <c r="H88" s="452" t="e" vm="26">
        <v>#VALUE!</v>
      </c>
      <c r="I88" s="4">
        <v>2019</v>
      </c>
      <c r="J88">
        <v>2025</v>
      </c>
      <c r="K88">
        <f>J88-I88-1</f>
        <v>5</v>
      </c>
      <c r="L88" t="s">
        <v>39</v>
      </c>
      <c r="M88" s="66" t="s">
        <v>115</v>
      </c>
      <c r="N88" s="322" t="s">
        <v>183</v>
      </c>
      <c r="O88" s="126">
        <f>AVERAGE('Poli Stab'!BL126:BP126)</f>
        <v>-1.0060987472534193</v>
      </c>
      <c r="P88" s="13">
        <f>AVERAGE(Inflation!BL126:BQ126)</f>
        <v>6.0956306065040566</v>
      </c>
      <c r="Q88" s="63" t="s">
        <v>42</v>
      </c>
      <c r="R88" s="153">
        <v>30759</v>
      </c>
      <c r="S88" s="84">
        <v>0</v>
      </c>
      <c r="T88" s="158">
        <v>52500000</v>
      </c>
      <c r="U88" s="89">
        <v>46301</v>
      </c>
      <c r="V88" s="6">
        <v>0</v>
      </c>
      <c r="W88" s="6">
        <v>30</v>
      </c>
      <c r="X88" s="162">
        <v>194896132</v>
      </c>
      <c r="Y88" s="3">
        <v>0</v>
      </c>
      <c r="Z88" s="158">
        <v>0</v>
      </c>
      <c r="AA88" s="164">
        <f t="shared" si="32"/>
        <v>0</v>
      </c>
      <c r="AB88" s="94">
        <f t="shared" si="30"/>
        <v>3.7123072761904763</v>
      </c>
      <c r="AC88" s="95" t="str">
        <f t="shared" si="22"/>
        <v/>
      </c>
      <c r="AD88" s="171" t="str">
        <f t="shared" si="27"/>
        <v/>
      </c>
      <c r="AE88" s="98">
        <f t="shared" si="23"/>
        <v>1133.8847973045938</v>
      </c>
      <c r="AF88" s="131">
        <f t="shared" si="24"/>
        <v>881.9238095238095</v>
      </c>
      <c r="AG88" s="84" t="str">
        <f t="shared" si="25"/>
        <v/>
      </c>
      <c r="AH88" s="84">
        <f t="shared" si="26"/>
        <v>0</v>
      </c>
      <c r="AI88" s="176" t="str">
        <f t="shared" si="21"/>
        <v/>
      </c>
    </row>
    <row r="89" spans="1:35" ht="14.45" customHeight="1" x14ac:dyDescent="0.25">
      <c r="A89" t="s">
        <v>373</v>
      </c>
      <c r="B89" s="17" t="s">
        <v>374</v>
      </c>
      <c r="C89" s="29" t="s">
        <v>137</v>
      </c>
      <c r="G89" t="s">
        <v>172</v>
      </c>
      <c r="H89" s="452" t="e" vm="3">
        <v>#VALUE!</v>
      </c>
      <c r="I89" s="4">
        <v>2009</v>
      </c>
      <c r="J89">
        <v>2017</v>
      </c>
      <c r="K89">
        <f t="shared" ref="K89:K100" si="33">J89-I89</f>
        <v>8</v>
      </c>
      <c r="L89" t="s">
        <v>375</v>
      </c>
      <c r="M89" s="66" t="s">
        <v>115</v>
      </c>
      <c r="N89" s="461" t="s">
        <v>376</v>
      </c>
      <c r="O89" s="126">
        <f>AVERAGE('Poli Stab'!BB179:BJ179)</f>
        <v>-2.0239191187752623</v>
      </c>
      <c r="P89" s="13">
        <f>AVERAGE(Inflation!BB179:BJ179)</f>
        <v>11.89774460578583</v>
      </c>
      <c r="Q89" s="63" t="s">
        <v>42</v>
      </c>
      <c r="R89" s="153">
        <v>2104291</v>
      </c>
      <c r="S89" s="154">
        <v>0</v>
      </c>
      <c r="T89" s="158">
        <f>(5997032+12798726+16848920)*1.52</f>
        <v>54179910.560000002</v>
      </c>
      <c r="U89" s="89">
        <v>32432</v>
      </c>
      <c r="V89" s="5">
        <v>2104291</v>
      </c>
      <c r="W89" s="6">
        <v>591397</v>
      </c>
      <c r="X89" s="6">
        <v>0</v>
      </c>
      <c r="Y89" s="3">
        <f>365309021*1.52</f>
        <v>555269711.91999996</v>
      </c>
      <c r="Z89" s="158">
        <v>0</v>
      </c>
      <c r="AA89" s="164">
        <f t="shared" si="32"/>
        <v>0</v>
      </c>
      <c r="AB89" s="94" t="str">
        <f t="shared" si="30"/>
        <v/>
      </c>
      <c r="AC89" s="95">
        <f t="shared" si="22"/>
        <v>10.248627326637653</v>
      </c>
      <c r="AD89" s="171" t="str">
        <f t="shared" si="27"/>
        <v/>
      </c>
      <c r="AE89" s="98">
        <f t="shared" si="23"/>
        <v>1670.5695165268871</v>
      </c>
      <c r="AF89" s="131">
        <f t="shared" si="24"/>
        <v>598.59825652691143</v>
      </c>
      <c r="AG89" s="84">
        <f t="shared" si="25"/>
        <v>25.747346997159614</v>
      </c>
      <c r="AH89" s="84">
        <f t="shared" si="26"/>
        <v>38838.953003985909</v>
      </c>
      <c r="AI89" s="176" t="str">
        <f t="shared" si="21"/>
        <v/>
      </c>
    </row>
    <row r="90" spans="1:35" ht="14.45" customHeight="1" x14ac:dyDescent="0.25">
      <c r="A90" t="s">
        <v>377</v>
      </c>
      <c r="B90" t="s">
        <v>378</v>
      </c>
      <c r="C90" s="29" t="s">
        <v>171</v>
      </c>
      <c r="G90" t="s">
        <v>230</v>
      </c>
      <c r="H90" s="452" t="e" vm="21">
        <v>#VALUE!</v>
      </c>
      <c r="I90" s="4">
        <v>2019</v>
      </c>
      <c r="J90">
        <v>2023</v>
      </c>
      <c r="K90">
        <f t="shared" si="33"/>
        <v>4</v>
      </c>
      <c r="L90" t="s">
        <v>39</v>
      </c>
      <c r="M90" s="66" t="s">
        <v>125</v>
      </c>
      <c r="N90" s="461" t="s">
        <v>379</v>
      </c>
      <c r="O90" s="126">
        <f>AVERAGE('Poli Stab'!BL7:BP7)</f>
        <v>-2.58059468269348</v>
      </c>
      <c r="P90" s="13">
        <f>AVERAGE(Inflation!BL7:BP7)</f>
        <v>4.4209715004537866</v>
      </c>
      <c r="Q90" s="63" t="s">
        <v>42</v>
      </c>
      <c r="R90" s="153">
        <v>19500</v>
      </c>
      <c r="S90" s="84">
        <v>0</v>
      </c>
      <c r="T90" s="158">
        <v>55000000</v>
      </c>
      <c r="U90" s="89">
        <v>0</v>
      </c>
      <c r="V90" s="6">
        <v>12482</v>
      </c>
      <c r="W90" s="6">
        <f>16+29+2+15</f>
        <v>62</v>
      </c>
      <c r="X90" s="3">
        <v>7000000</v>
      </c>
      <c r="Y90" s="3">
        <v>0</v>
      </c>
      <c r="Z90" s="158">
        <v>5000000</v>
      </c>
      <c r="AA90" s="164">
        <f t="shared" si="32"/>
        <v>0</v>
      </c>
      <c r="AB90" s="94">
        <f t="shared" si="30"/>
        <v>0.12727272727272726</v>
      </c>
      <c r="AC90" s="95" t="str">
        <f t="shared" si="22"/>
        <v/>
      </c>
      <c r="AD90" s="171">
        <f t="shared" si="27"/>
        <v>9.0909090909090912E-2</v>
      </c>
      <c r="AE90" s="98" t="str">
        <f t="shared" si="23"/>
        <v/>
      </c>
      <c r="AF90" s="131">
        <f t="shared" si="24"/>
        <v>0</v>
      </c>
      <c r="AG90" s="84">
        <f t="shared" si="25"/>
        <v>4406.3451369972763</v>
      </c>
      <c r="AH90" s="84">
        <f t="shared" si="26"/>
        <v>226.94545454545454</v>
      </c>
      <c r="AI90" s="176" t="str">
        <f t="shared" si="21"/>
        <v/>
      </c>
    </row>
    <row r="91" spans="1:35" ht="14.45" customHeight="1" x14ac:dyDescent="0.25">
      <c r="A91" s="35" t="s">
        <v>380</v>
      </c>
      <c r="B91" s="35" t="s">
        <v>381</v>
      </c>
      <c r="C91" s="64" t="s">
        <v>104</v>
      </c>
      <c r="D91" s="35"/>
      <c r="E91" s="35"/>
      <c r="F91" s="35"/>
      <c r="G91" s="35" t="s">
        <v>105</v>
      </c>
      <c r="H91" s="451" t="e" vm="11">
        <v>#VALUE!</v>
      </c>
      <c r="I91" s="64">
        <v>2013</v>
      </c>
      <c r="J91" s="35">
        <v>2024</v>
      </c>
      <c r="K91" s="36">
        <f t="shared" si="33"/>
        <v>11</v>
      </c>
      <c r="L91" s="35" t="s">
        <v>106</v>
      </c>
      <c r="M91" s="65" t="s">
        <v>107</v>
      </c>
      <c r="N91" s="471" t="s">
        <v>305</v>
      </c>
      <c r="O91" s="73">
        <f>AVERAGE('Poli Stab'!BF266:BP266)</f>
        <v>-0.3614446900107644</v>
      </c>
      <c r="P91" s="37">
        <f>AVERAGE(Inflation!BF266:BP266)</f>
        <v>2.4752091232944324</v>
      </c>
      <c r="Q91" s="65" t="s">
        <v>49</v>
      </c>
      <c r="R91" s="90">
        <f t="shared" ref="R91:AA91" si="34">SUM(R88:R90)</f>
        <v>2154550</v>
      </c>
      <c r="S91" s="82">
        <f t="shared" si="34"/>
        <v>0</v>
      </c>
      <c r="T91" s="159">
        <f t="shared" si="34"/>
        <v>161679910.56</v>
      </c>
      <c r="U91" s="90">
        <f t="shared" si="34"/>
        <v>78733</v>
      </c>
      <c r="V91" s="81">
        <f t="shared" si="34"/>
        <v>2116773</v>
      </c>
      <c r="W91" s="81">
        <f t="shared" si="34"/>
        <v>591489</v>
      </c>
      <c r="X91" s="81">
        <f t="shared" si="34"/>
        <v>201896132</v>
      </c>
      <c r="Y91" s="81">
        <f t="shared" si="34"/>
        <v>555269711.91999996</v>
      </c>
      <c r="Z91" s="159">
        <f t="shared" si="34"/>
        <v>5000000</v>
      </c>
      <c r="AA91" s="159">
        <f t="shared" si="34"/>
        <v>0</v>
      </c>
      <c r="AB91" s="96">
        <f t="shared" si="30"/>
        <v>1.2487397556116016</v>
      </c>
      <c r="AC91" s="97">
        <f t="shared" si="22"/>
        <v>3.434376664340975</v>
      </c>
      <c r="AD91" s="172">
        <f t="shared" si="27"/>
        <v>3.0925301620231178E-2</v>
      </c>
      <c r="AE91" s="96">
        <f t="shared" si="23"/>
        <v>2053.521529219006</v>
      </c>
      <c r="AF91" s="340">
        <f t="shared" si="24"/>
        <v>486.96835449313227</v>
      </c>
      <c r="AG91" s="97">
        <f t="shared" si="25"/>
        <v>76.38037265214551</v>
      </c>
      <c r="AH91" s="100">
        <f t="shared" si="26"/>
        <v>13092.368697312322</v>
      </c>
      <c r="AI91" s="177" t="str">
        <f t="shared" si="21"/>
        <v/>
      </c>
    </row>
    <row r="92" spans="1:35" ht="14.45" customHeight="1" x14ac:dyDescent="0.25">
      <c r="A92" s="29" t="s">
        <v>382</v>
      </c>
      <c r="B92" t="s">
        <v>383</v>
      </c>
      <c r="C92" s="29" t="s">
        <v>45</v>
      </c>
      <c r="D92" s="17"/>
      <c r="E92" s="17"/>
      <c r="F92" s="17"/>
      <c r="G92" s="17" t="s">
        <v>138</v>
      </c>
      <c r="H92" s="450" t="e" vm="5">
        <v>#VALUE!</v>
      </c>
      <c r="I92" s="4">
        <v>2013</v>
      </c>
      <c r="J92">
        <v>2018</v>
      </c>
      <c r="K92">
        <f t="shared" si="33"/>
        <v>5</v>
      </c>
      <c r="L92" t="s">
        <v>39</v>
      </c>
      <c r="M92" s="63" t="s">
        <v>93</v>
      </c>
      <c r="N92" s="138" t="s">
        <v>384</v>
      </c>
      <c r="O92" s="72">
        <f>AVERAGE('Poli Stab'!BF111:BK111)</f>
        <v>-0.49878624578316999</v>
      </c>
      <c r="P92" s="28">
        <f>AVERAGE(Inflation!BF111:BK111)</f>
        <v>4.9505824465433212</v>
      </c>
      <c r="Q92" s="63" t="s">
        <v>49</v>
      </c>
      <c r="R92" s="153">
        <f>345001+320833+3906+11394+8868</f>
        <v>690002</v>
      </c>
      <c r="S92" s="84">
        <f>129500000+108000000+3300000+3100000+14600000</f>
        <v>258500000</v>
      </c>
      <c r="T92" s="158">
        <v>57000000</v>
      </c>
      <c r="U92" s="89">
        <v>1062</v>
      </c>
      <c r="V92" s="6">
        <v>334386</v>
      </c>
      <c r="W92" s="6">
        <f>9746+9499+83+89+75</f>
        <v>19492</v>
      </c>
      <c r="X92" s="3">
        <f>(85000000+642714+6450000)*0.79</f>
        <v>72753244.060000002</v>
      </c>
      <c r="Y92" s="3">
        <f>45500000+38000000+2800000+1800000+2700000</f>
        <v>90800000</v>
      </c>
      <c r="Z92" s="158">
        <v>0</v>
      </c>
      <c r="AA92" s="164">
        <f t="shared" ref="AA92:AA98" si="35">S92/R92</f>
        <v>374.63659525624564</v>
      </c>
      <c r="AB92" s="94">
        <f t="shared" si="30"/>
        <v>1.2763727028070175</v>
      </c>
      <c r="AC92" s="95">
        <f t="shared" si="22"/>
        <v>1.5929824561403509</v>
      </c>
      <c r="AD92" s="171" t="str">
        <f t="shared" si="27"/>
        <v/>
      </c>
      <c r="AE92" s="98">
        <f t="shared" si="23"/>
        <v>53672.316384180791</v>
      </c>
      <c r="AF92" s="131">
        <f t="shared" si="24"/>
        <v>18.631578947368421</v>
      </c>
      <c r="AG92" s="84">
        <f t="shared" si="25"/>
        <v>170.46168200821805</v>
      </c>
      <c r="AH92" s="84">
        <f t="shared" si="26"/>
        <v>5866.4210526315792</v>
      </c>
      <c r="AI92" s="176">
        <f t="shared" si="21"/>
        <v>4.5350877192982457</v>
      </c>
    </row>
    <row r="93" spans="1:35" ht="14.45" customHeight="1" x14ac:dyDescent="0.25">
      <c r="A93" t="s">
        <v>385</v>
      </c>
      <c r="B93" t="s">
        <v>386</v>
      </c>
      <c r="C93" s="29" t="s">
        <v>137</v>
      </c>
      <c r="D93" s="17"/>
      <c r="E93" s="17"/>
      <c r="F93" s="17"/>
      <c r="G93" s="17" t="s">
        <v>230</v>
      </c>
      <c r="H93" s="452" t="e" vm="30">
        <v>#VALUE!</v>
      </c>
      <c r="I93" s="4">
        <v>2013</v>
      </c>
      <c r="J93">
        <v>2020</v>
      </c>
      <c r="K93">
        <f t="shared" si="33"/>
        <v>7</v>
      </c>
      <c r="L93" t="s">
        <v>387</v>
      </c>
      <c r="M93" s="63" t="s">
        <v>93</v>
      </c>
      <c r="N93" s="138" t="s">
        <v>388</v>
      </c>
      <c r="O93" s="72">
        <f>AVERAGE('Poli Stab'!BF77:BM77)</f>
        <v>-1.4837734550237649</v>
      </c>
      <c r="P93" s="28">
        <f>AVERAGE(Inflation!BF77:BM77)</f>
        <v>11.404650511542888</v>
      </c>
      <c r="Q93" s="63" t="s">
        <v>42</v>
      </c>
      <c r="R93" s="153">
        <v>105878</v>
      </c>
      <c r="S93" s="84">
        <v>0</v>
      </c>
      <c r="T93" s="158">
        <f>43000000*1.41</f>
        <v>60630000</v>
      </c>
      <c r="U93" s="89">
        <f>48861</f>
        <v>48861</v>
      </c>
      <c r="V93" s="6">
        <v>28292</v>
      </c>
      <c r="W93" s="6">
        <v>15757</v>
      </c>
      <c r="X93" s="3">
        <f>294700000*1.41</f>
        <v>415527000</v>
      </c>
      <c r="Y93" s="3">
        <f>29500000*1.41</f>
        <v>41595000</v>
      </c>
      <c r="Z93" s="158">
        <v>0</v>
      </c>
      <c r="AA93" s="164">
        <f t="shared" si="35"/>
        <v>0</v>
      </c>
      <c r="AB93" s="94">
        <f t="shared" si="30"/>
        <v>6.8534883720930235</v>
      </c>
      <c r="AC93" s="95">
        <f t="shared" si="22"/>
        <v>0.68604651162790697</v>
      </c>
      <c r="AD93" s="171" t="str">
        <f t="shared" si="27"/>
        <v/>
      </c>
      <c r="AE93" s="98">
        <f t="shared" si="23"/>
        <v>1240.8669491005096</v>
      </c>
      <c r="AF93" s="131">
        <f t="shared" si="24"/>
        <v>805.88817417120231</v>
      </c>
      <c r="AG93" s="84">
        <f t="shared" si="25"/>
        <v>2143.0086243461051</v>
      </c>
      <c r="AH93" s="84">
        <f t="shared" si="26"/>
        <v>466.63367969651983</v>
      </c>
      <c r="AI93" s="176" t="str">
        <f t="shared" si="21"/>
        <v/>
      </c>
    </row>
    <row r="94" spans="1:35" ht="14.45" customHeight="1" x14ac:dyDescent="0.25">
      <c r="A94" t="s">
        <v>389</v>
      </c>
      <c r="B94" t="s">
        <v>390</v>
      </c>
      <c r="C94" s="29" t="s">
        <v>80</v>
      </c>
      <c r="D94" t="s">
        <v>137</v>
      </c>
      <c r="E94" t="s">
        <v>391</v>
      </c>
      <c r="F94" t="s">
        <v>63</v>
      </c>
      <c r="G94" t="s">
        <v>392</v>
      </c>
      <c r="H94" s="452" t="e" vm="20">
        <v>#VALUE!</v>
      </c>
      <c r="I94" s="4">
        <v>2012</v>
      </c>
      <c r="J94">
        <v>2022</v>
      </c>
      <c r="K94">
        <f t="shared" si="33"/>
        <v>10</v>
      </c>
      <c r="L94" t="s">
        <v>39</v>
      </c>
      <c r="M94" s="66" t="s">
        <v>64</v>
      </c>
      <c r="N94" s="461" t="s">
        <v>393</v>
      </c>
      <c r="O94" s="126">
        <f>AVERAGE('Poli Stab'!BE269:BO269)</f>
        <v>0.15647264332933866</v>
      </c>
      <c r="P94" s="13">
        <f>AVERAGE(Inflation!BE269:BO269)</f>
        <v>11.028182381705879</v>
      </c>
      <c r="Q94" s="63" t="s">
        <v>49</v>
      </c>
      <c r="R94" s="153">
        <v>460000</v>
      </c>
      <c r="S94" s="84">
        <v>0</v>
      </c>
      <c r="T94" s="158">
        <v>62500000</v>
      </c>
      <c r="U94" s="89">
        <v>0</v>
      </c>
      <c r="V94" s="6">
        <v>270000</v>
      </c>
      <c r="W94" s="6">
        <f>88+241</f>
        <v>329</v>
      </c>
      <c r="X94" s="3">
        <v>10000000</v>
      </c>
      <c r="Y94" s="3">
        <v>0</v>
      </c>
      <c r="Z94" s="158">
        <v>0</v>
      </c>
      <c r="AA94" s="164">
        <f t="shared" si="35"/>
        <v>0</v>
      </c>
      <c r="AB94" s="94">
        <f t="shared" si="30"/>
        <v>0.16</v>
      </c>
      <c r="AC94" s="95" t="str">
        <f t="shared" si="22"/>
        <v/>
      </c>
      <c r="AD94" s="171" t="str">
        <f t="shared" si="27"/>
        <v/>
      </c>
      <c r="AE94" s="98" t="str">
        <f t="shared" si="23"/>
        <v/>
      </c>
      <c r="AF94" s="131">
        <f t="shared" si="24"/>
        <v>0</v>
      </c>
      <c r="AG94" s="84">
        <f t="shared" si="25"/>
        <v>231.4814814814815</v>
      </c>
      <c r="AH94" s="84">
        <f t="shared" si="26"/>
        <v>4320</v>
      </c>
      <c r="AI94" s="176" t="str">
        <f t="shared" si="21"/>
        <v/>
      </c>
    </row>
    <row r="95" spans="1:35" ht="14.45" customHeight="1" x14ac:dyDescent="0.25">
      <c r="A95" s="17" t="s">
        <v>394</v>
      </c>
      <c r="B95" t="s">
        <v>395</v>
      </c>
      <c r="C95" s="29" t="s">
        <v>171</v>
      </c>
      <c r="D95" s="17"/>
      <c r="E95" s="17"/>
      <c r="F95" s="17"/>
      <c r="G95" s="17" t="s">
        <v>53</v>
      </c>
      <c r="H95" s="452" t="e" vm="30">
        <v>#VALUE!</v>
      </c>
      <c r="I95" s="4">
        <v>2012</v>
      </c>
      <c r="J95">
        <v>2018</v>
      </c>
      <c r="K95">
        <f t="shared" si="33"/>
        <v>6</v>
      </c>
      <c r="L95" t="s">
        <v>39</v>
      </c>
      <c r="M95" s="63" t="s">
        <v>139</v>
      </c>
      <c r="N95" s="138" t="s">
        <v>396</v>
      </c>
      <c r="O95" s="72">
        <f>AVERAGE('Poli Stab'!BE77:BL77)</f>
        <v>-1.4600944966077798</v>
      </c>
      <c r="P95" s="28">
        <f>AVERAGE(Inflation!BE77:BL77)</f>
        <v>11.810159364219249</v>
      </c>
      <c r="Q95" s="63" t="s">
        <v>42</v>
      </c>
      <c r="R95" s="153">
        <v>2252404</v>
      </c>
      <c r="S95" s="84">
        <f>(2287-1589)*321772</f>
        <v>224596856</v>
      </c>
      <c r="T95" s="158">
        <v>67920000</v>
      </c>
      <c r="U95" s="89">
        <v>5668</v>
      </c>
      <c r="V95" s="6">
        <v>0</v>
      </c>
      <c r="W95" s="6">
        <v>0</v>
      </c>
      <c r="X95" s="3">
        <v>18000000</v>
      </c>
      <c r="Y95" s="3">
        <v>0</v>
      </c>
      <c r="Z95" s="158">
        <v>0</v>
      </c>
      <c r="AA95" s="164">
        <f t="shared" si="35"/>
        <v>99.714285714285708</v>
      </c>
      <c r="AB95" s="94">
        <f t="shared" si="30"/>
        <v>0.26501766784452296</v>
      </c>
      <c r="AC95" s="95" t="str">
        <f t="shared" si="22"/>
        <v/>
      </c>
      <c r="AD95" s="171" t="str">
        <f t="shared" si="27"/>
        <v/>
      </c>
      <c r="AE95" s="98">
        <f t="shared" si="23"/>
        <v>11983.062808750883</v>
      </c>
      <c r="AF95" s="131">
        <f t="shared" si="24"/>
        <v>83.451118963486451</v>
      </c>
      <c r="AG95" s="84" t="str">
        <f t="shared" si="25"/>
        <v/>
      </c>
      <c r="AH95" s="84">
        <f t="shared" si="26"/>
        <v>0</v>
      </c>
      <c r="AI95" s="176">
        <f t="shared" ref="AI95:AI100" si="36">IF(S95&gt;0,S95/T95,"")</f>
        <v>3.3067852767962309</v>
      </c>
    </row>
    <row r="96" spans="1:35" ht="14.45" customHeight="1" x14ac:dyDescent="0.25">
      <c r="A96" t="s">
        <v>397</v>
      </c>
      <c r="B96" t="s">
        <v>397</v>
      </c>
      <c r="C96" s="4" t="s">
        <v>137</v>
      </c>
      <c r="G96" t="s">
        <v>200</v>
      </c>
      <c r="H96" s="452" t="e" vm="36">
        <v>#VALUE!</v>
      </c>
      <c r="I96" s="4">
        <v>2014</v>
      </c>
      <c r="J96">
        <v>2021</v>
      </c>
      <c r="K96">
        <f t="shared" si="33"/>
        <v>7</v>
      </c>
      <c r="L96" t="s">
        <v>39</v>
      </c>
      <c r="M96" s="63" t="s">
        <v>93</v>
      </c>
      <c r="N96" s="461" t="s">
        <v>398</v>
      </c>
      <c r="O96" s="72">
        <f>AVERAGE('Poli Stab'!BG48:BN48)</f>
        <v>-2.0031317174434689</v>
      </c>
      <c r="P96" s="13">
        <f>AVERAGE(Inflation!BG48:BN48)</f>
        <v>1.6243629884297934</v>
      </c>
      <c r="Q96" s="63" t="s">
        <v>42</v>
      </c>
      <c r="R96" s="89">
        <f>223000+259000+130000+260900+4000+66500</f>
        <v>943400</v>
      </c>
      <c r="S96" s="84">
        <f>(12900000+5100000+9200000+8600000+240000+2800000)*1.2611</f>
        <v>48981124.000000007</v>
      </c>
      <c r="T96" s="158">
        <v>70000000</v>
      </c>
      <c r="U96" s="89">
        <v>0</v>
      </c>
      <c r="V96" s="6">
        <v>0</v>
      </c>
      <c r="W96" s="6">
        <v>0</v>
      </c>
      <c r="X96" s="3">
        <v>0</v>
      </c>
      <c r="Y96" s="3">
        <v>0</v>
      </c>
      <c r="Z96" s="158">
        <f>5100000*1.2611</f>
        <v>6431610.0000000009</v>
      </c>
      <c r="AA96" s="164">
        <f t="shared" si="35"/>
        <v>51.919783760864966</v>
      </c>
      <c r="AB96" s="94" t="str">
        <f t="shared" si="30"/>
        <v/>
      </c>
      <c r="AC96" s="95" t="str">
        <f t="shared" si="22"/>
        <v/>
      </c>
      <c r="AD96" s="171">
        <f t="shared" si="27"/>
        <v>9.1880142857142869E-2</v>
      </c>
      <c r="AE96" s="98" t="str">
        <f t="shared" si="23"/>
        <v/>
      </c>
      <c r="AF96" s="131">
        <f t="shared" si="24"/>
        <v>0</v>
      </c>
      <c r="AG96" s="84" t="str">
        <f t="shared" si="25"/>
        <v/>
      </c>
      <c r="AH96" s="84">
        <f t="shared" si="26"/>
        <v>0</v>
      </c>
      <c r="AI96" s="176">
        <f t="shared" si="36"/>
        <v>0.69973034285714297</v>
      </c>
    </row>
    <row r="97" spans="1:35" ht="14.45" customHeight="1" x14ac:dyDescent="0.25">
      <c r="A97" t="s">
        <v>399</v>
      </c>
      <c r="B97" t="s">
        <v>399</v>
      </c>
      <c r="C97" s="29" t="s">
        <v>137</v>
      </c>
      <c r="G97" t="s">
        <v>138</v>
      </c>
      <c r="H97" s="452" t="e" vm="3">
        <v>#VALUE!</v>
      </c>
      <c r="I97" s="4">
        <v>2012</v>
      </c>
      <c r="J97">
        <v>2021</v>
      </c>
      <c r="K97">
        <f t="shared" si="33"/>
        <v>9</v>
      </c>
      <c r="L97" t="s">
        <v>39</v>
      </c>
      <c r="M97" s="63" t="s">
        <v>93</v>
      </c>
      <c r="N97" s="461" t="s">
        <v>400</v>
      </c>
      <c r="O97" s="126">
        <f>AVERAGE('Poli Stab'!BE179:BN179)</f>
        <v>-1.9763221621513369</v>
      </c>
      <c r="P97" s="13">
        <f>AVERAGE(Inflation!BE179:BN179)</f>
        <v>12.366608240220774</v>
      </c>
      <c r="Q97" s="63" t="s">
        <v>42</v>
      </c>
      <c r="R97" s="153">
        <v>1294244</v>
      </c>
      <c r="S97" s="84">
        <f>85487312*1.4239</f>
        <v>121725383.55679999</v>
      </c>
      <c r="T97" s="158">
        <f>59600000*1.4239</f>
        <v>84864440</v>
      </c>
      <c r="U97" s="89">
        <v>0</v>
      </c>
      <c r="V97" s="6">
        <v>1294244</v>
      </c>
      <c r="W97" s="6">
        <v>133</v>
      </c>
      <c r="X97" s="3">
        <f>85013545*1.4239</f>
        <v>121050786.7255</v>
      </c>
      <c r="Y97" s="3">
        <v>0</v>
      </c>
      <c r="Z97" s="158">
        <v>0</v>
      </c>
      <c r="AA97" s="164">
        <f t="shared" si="35"/>
        <v>94.051340826613838</v>
      </c>
      <c r="AB97" s="94">
        <f t="shared" si="30"/>
        <v>1.4264017617449665</v>
      </c>
      <c r="AC97" s="95" t="str">
        <f t="shared" si="22"/>
        <v/>
      </c>
      <c r="AD97" s="171" t="str">
        <f t="shared" si="27"/>
        <v/>
      </c>
      <c r="AE97" s="98" t="str">
        <f t="shared" si="23"/>
        <v/>
      </c>
      <c r="AF97" s="131">
        <f t="shared" si="24"/>
        <v>0</v>
      </c>
      <c r="AG97" s="84">
        <f t="shared" si="25"/>
        <v>65.570665191416765</v>
      </c>
      <c r="AH97" s="84">
        <f t="shared" si="26"/>
        <v>15250.722210622022</v>
      </c>
      <c r="AI97" s="176">
        <f t="shared" si="36"/>
        <v>1.4343508724832215</v>
      </c>
    </row>
    <row r="98" spans="1:35" ht="14.45" customHeight="1" x14ac:dyDescent="0.25">
      <c r="A98" s="29" t="s">
        <v>401</v>
      </c>
      <c r="B98" s="4" t="s">
        <v>402</v>
      </c>
      <c r="C98" s="29" t="s">
        <v>45</v>
      </c>
      <c r="D98" s="17"/>
      <c r="E98" s="17"/>
      <c r="F98" s="17"/>
      <c r="G98" s="17" t="s">
        <v>138</v>
      </c>
      <c r="H98" s="450" t="e" vm="5">
        <v>#VALUE!</v>
      </c>
      <c r="I98" s="4">
        <v>2019</v>
      </c>
      <c r="J98">
        <v>2023</v>
      </c>
      <c r="K98">
        <f t="shared" si="33"/>
        <v>4</v>
      </c>
      <c r="L98" t="s">
        <v>39</v>
      </c>
      <c r="M98" s="63" t="s">
        <v>40</v>
      </c>
      <c r="N98" s="429" t="s">
        <v>403</v>
      </c>
      <c r="O98" s="72">
        <f>AVERAGE('Poli Stab'!BL111:BP111)</f>
        <v>-0.4908346295356748</v>
      </c>
      <c r="P98" s="28">
        <f>AVERAGE(Inflation!BL111:BP111)</f>
        <v>2.8778699795406659</v>
      </c>
      <c r="Q98" s="63" t="s">
        <v>49</v>
      </c>
      <c r="R98" s="153">
        <v>1224574</v>
      </c>
      <c r="S98" s="108">
        <v>0</v>
      </c>
      <c r="T98" s="108">
        <v>95000000</v>
      </c>
      <c r="U98" s="89">
        <v>0</v>
      </c>
      <c r="V98" s="153">
        <v>1224574</v>
      </c>
      <c r="W98" s="89">
        <v>264</v>
      </c>
      <c r="X98" s="3">
        <v>16700000</v>
      </c>
      <c r="Y98" s="3">
        <f>65600000+11800000</f>
        <v>77400000</v>
      </c>
      <c r="Z98" s="3">
        <v>0</v>
      </c>
      <c r="AA98" s="164">
        <f t="shared" si="35"/>
        <v>0</v>
      </c>
      <c r="AB98" s="94">
        <f t="shared" si="30"/>
        <v>0.17578947368421052</v>
      </c>
      <c r="AC98" s="95">
        <f t="shared" si="22"/>
        <v>0.8147368421052632</v>
      </c>
      <c r="AD98" s="171" t="str">
        <f t="shared" si="27"/>
        <v/>
      </c>
      <c r="AE98" s="98" t="str">
        <f t="shared" si="23"/>
        <v/>
      </c>
      <c r="AF98" s="131">
        <f t="shared" si="24"/>
        <v>0</v>
      </c>
      <c r="AG98" s="84">
        <f t="shared" si="25"/>
        <v>77.577998552966179</v>
      </c>
      <c r="AH98" s="84">
        <f t="shared" si="26"/>
        <v>12890.252631578947</v>
      </c>
      <c r="AI98" s="176" t="str">
        <f t="shared" si="36"/>
        <v/>
      </c>
    </row>
    <row r="99" spans="1:35" ht="14.45" customHeight="1" x14ac:dyDescent="0.25">
      <c r="A99" s="36" t="s">
        <v>404</v>
      </c>
      <c r="B99" s="36" t="s">
        <v>405</v>
      </c>
      <c r="C99" s="35" t="s">
        <v>45</v>
      </c>
      <c r="D99" s="35"/>
      <c r="E99" s="35"/>
      <c r="F99" s="35"/>
      <c r="G99" s="35" t="s">
        <v>406</v>
      </c>
      <c r="H99" s="451" t="s">
        <v>337</v>
      </c>
      <c r="I99" s="67">
        <v>2011</v>
      </c>
      <c r="J99" s="36">
        <v>2022</v>
      </c>
      <c r="K99" s="36">
        <f t="shared" si="33"/>
        <v>11</v>
      </c>
      <c r="L99" s="36" t="s">
        <v>312</v>
      </c>
      <c r="M99" s="65" t="s">
        <v>93</v>
      </c>
      <c r="N99" s="353" t="s">
        <v>305</v>
      </c>
      <c r="O99" s="73">
        <f>(AVERAGE('Poli Stab'!BD81:BO81)+AVERAGE('Poli Stab'!BD189:BO189)+AVERAGE('Poli Stab'!BD194:BO194)+AVERAGE('Poli Stab'!BD143:BO143)+AVERAGE('Poli Stab'!BD242:BO242))/5</f>
        <v>-0.55032919431105254</v>
      </c>
      <c r="P99" s="37">
        <f>(AVERAGE(Inflation!BD81:BO81)+AVERAGE(Inflation!BD189:BO189)+AVERAGE(Inflation!BD194:BO194)+AVERAGE(Inflation!BD143:BO143)+AVERAGE(Inflation!BD242:BO242))/5</f>
        <v>5.8709018070206724</v>
      </c>
      <c r="Q99" s="65" t="s">
        <v>240</v>
      </c>
      <c r="R99" s="90">
        <f t="shared" ref="R99:AA99" si="37">SUM(R97:R98)</f>
        <v>2518818</v>
      </c>
      <c r="S99" s="82">
        <f t="shared" si="37"/>
        <v>121725383.55679999</v>
      </c>
      <c r="T99" s="159">
        <f t="shared" si="37"/>
        <v>179864440</v>
      </c>
      <c r="U99" s="90">
        <f t="shared" si="37"/>
        <v>0</v>
      </c>
      <c r="V99" s="81">
        <f t="shared" si="37"/>
        <v>2518818</v>
      </c>
      <c r="W99" s="81">
        <f t="shared" si="37"/>
        <v>397</v>
      </c>
      <c r="X99" s="81">
        <f t="shared" si="37"/>
        <v>137750786.72549999</v>
      </c>
      <c r="Y99" s="81">
        <f t="shared" si="37"/>
        <v>77400000</v>
      </c>
      <c r="Z99" s="159">
        <f t="shared" si="37"/>
        <v>0</v>
      </c>
      <c r="AA99" s="159">
        <f t="shared" si="37"/>
        <v>94.051340826613838</v>
      </c>
      <c r="AB99" s="96">
        <f t="shared" si="30"/>
        <v>0.76585892534121802</v>
      </c>
      <c r="AC99" s="97">
        <f t="shared" si="22"/>
        <v>0.43032408184741799</v>
      </c>
      <c r="AD99" s="172" t="str">
        <f t="shared" si="27"/>
        <v/>
      </c>
      <c r="AE99" s="99" t="str">
        <f t="shared" si="23"/>
        <v/>
      </c>
      <c r="AF99" s="339">
        <f t="shared" si="24"/>
        <v>0</v>
      </c>
      <c r="AG99" s="100">
        <f t="shared" si="25"/>
        <v>71.408271657579064</v>
      </c>
      <c r="AH99" s="100">
        <f t="shared" si="26"/>
        <v>14003.979886185396</v>
      </c>
      <c r="AI99" s="177">
        <f t="shared" si="36"/>
        <v>0.67676180770807171</v>
      </c>
    </row>
    <row r="100" spans="1:35" ht="14.45" customHeight="1" x14ac:dyDescent="0.25">
      <c r="A100" s="36" t="s">
        <v>407</v>
      </c>
      <c r="B100" s="36" t="s">
        <v>408</v>
      </c>
      <c r="C100" s="64" t="s">
        <v>137</v>
      </c>
      <c r="D100" s="35" t="s">
        <v>104</v>
      </c>
      <c r="E100" s="35" t="s">
        <v>80</v>
      </c>
      <c r="F100" s="35" t="s">
        <v>360</v>
      </c>
      <c r="G100" s="35" t="s">
        <v>74</v>
      </c>
      <c r="H100" s="451" t="e" vm="8">
        <v>#VALUE!</v>
      </c>
      <c r="I100" s="67">
        <v>2003</v>
      </c>
      <c r="J100" s="36">
        <v>2013</v>
      </c>
      <c r="K100" s="36">
        <f t="shared" si="33"/>
        <v>10</v>
      </c>
      <c r="L100" s="36" t="s">
        <v>333</v>
      </c>
      <c r="M100" s="65" t="s">
        <v>93</v>
      </c>
      <c r="N100" s="353" t="s">
        <v>305</v>
      </c>
      <c r="O100" s="73">
        <f>AVERAGE('Poli Stab'!AV25:BF25)</f>
        <v>-1.4802402583035545</v>
      </c>
      <c r="P100" s="37">
        <f>AVERAGE(Inflation!AV25:BF25)</f>
        <v>7.6154798049495867</v>
      </c>
      <c r="Q100" s="65" t="s">
        <v>49</v>
      </c>
      <c r="R100" s="90">
        <f t="shared" ref="R100:Z100" si="38">SUM(R98:R99)</f>
        <v>3743392</v>
      </c>
      <c r="S100" s="82">
        <f t="shared" si="38"/>
        <v>121725383.55679999</v>
      </c>
      <c r="T100" s="159">
        <f t="shared" si="38"/>
        <v>274864440</v>
      </c>
      <c r="U100" s="90">
        <f t="shared" si="38"/>
        <v>0</v>
      </c>
      <c r="V100" s="81">
        <f t="shared" si="38"/>
        <v>3743392</v>
      </c>
      <c r="W100" s="81">
        <f t="shared" si="38"/>
        <v>661</v>
      </c>
      <c r="X100" s="159">
        <f t="shared" si="38"/>
        <v>154450786.72549999</v>
      </c>
      <c r="Y100" s="81">
        <f t="shared" si="38"/>
        <v>154800000</v>
      </c>
      <c r="Z100" s="159">
        <f t="shared" si="38"/>
        <v>0</v>
      </c>
      <c r="AA100" s="166">
        <f>S100/R100</f>
        <v>32.517402280284834</v>
      </c>
      <c r="AB100" s="96">
        <f t="shared" si="30"/>
        <v>0.5619162185021096</v>
      </c>
      <c r="AC100" s="97">
        <f t="shared" si="22"/>
        <v>0.56318671123845632</v>
      </c>
      <c r="AD100" s="172" t="str">
        <f t="shared" si="27"/>
        <v/>
      </c>
      <c r="AE100" s="99" t="str">
        <f t="shared" si="23"/>
        <v/>
      </c>
      <c r="AF100" s="339">
        <f t="shared" si="24"/>
        <v>0</v>
      </c>
      <c r="AG100" s="100">
        <f t="shared" si="25"/>
        <v>73.426571409032235</v>
      </c>
      <c r="AH100" s="100">
        <f t="shared" si="26"/>
        <v>13619.047993258058</v>
      </c>
      <c r="AI100" s="177">
        <f t="shared" si="36"/>
        <v>0.44285606227127816</v>
      </c>
    </row>
  </sheetData>
  <sheetProtection algorithmName="SHA-512" hashValue="3x44JGI39Q/Vdkq0aq5diUPmZxX/N/zWOiNlwm7j33uYUdJcOMM8UjV5FmXx3MKCC2K+pti0DSMBXcozSSwP3w==" saltValue="pNGwyIBIgsXsVujvrw5FRg==" spinCount="100000" sheet="1" objects="1" scenarios="1"/>
  <dataValidations count="1">
    <dataValidation type="list" allowBlank="1" showInputMessage="1" showErrorMessage="1" sqref="Q3:Q100" xr:uid="{00000000-0002-0000-0000-000000000000}">
      <formula1>"Stable, FCAS, Both"</formula1>
    </dataValidation>
  </dataValidations>
  <hyperlinks>
    <hyperlink ref="N39" r:id="rId1" xr:uid="{00000000-0004-0000-0000-000000000000}"/>
    <hyperlink ref="N28" r:id="rId2" xr:uid="{00000000-0004-0000-0000-000001000000}"/>
    <hyperlink ref="N9" r:id="rId3" xr:uid="{00000000-0004-0000-0000-000002000000}"/>
    <hyperlink ref="N25" r:id="rId4" xr:uid="{00000000-0004-0000-0000-000003000000}"/>
    <hyperlink ref="N27" r:id="rId5" xr:uid="{00000000-0004-0000-0000-000004000000}"/>
    <hyperlink ref="N16" r:id="rId6" xr:uid="{00000000-0004-0000-0000-000005000000}"/>
    <hyperlink ref="N24" r:id="rId7" xr:uid="{00000000-0004-0000-0000-000006000000}"/>
    <hyperlink ref="N11" r:id="rId8" xr:uid="{00000000-0004-0000-0000-000007000000}"/>
    <hyperlink ref="N67" r:id="rId9" xr:uid="{00000000-0004-0000-0000-000008000000}"/>
    <hyperlink ref="N60" r:id="rId10" xr:uid="{00000000-0004-0000-0000-000009000000}"/>
    <hyperlink ref="N93" r:id="rId11" xr:uid="{00000000-0004-0000-0000-00000A000000}"/>
    <hyperlink ref="N49" r:id="rId12" xr:uid="{00000000-0004-0000-0000-00000B000000}"/>
    <hyperlink ref="N84" r:id="rId13" xr:uid="{00000000-0004-0000-0000-00000C000000}"/>
    <hyperlink ref="N70" r:id="rId14" xr:uid="{00000000-0004-0000-0000-00000D000000}"/>
    <hyperlink ref="N61" r:id="rId15" xr:uid="{00000000-0004-0000-0000-00000E000000}"/>
    <hyperlink ref="N53" r:id="rId16" xr:uid="{00000000-0004-0000-0000-00000F000000}"/>
    <hyperlink ref="N98" r:id="rId17" xr:uid="{00000000-0004-0000-0000-000010000000}"/>
    <hyperlink ref="N92" r:id="rId18" xr:uid="{00000000-0004-0000-0000-000011000000}"/>
    <hyperlink ref="N32" r:id="rId19" xr:uid="{00000000-0004-0000-0000-000012000000}"/>
    <hyperlink ref="N8" r:id="rId20" xr:uid="{00000000-0004-0000-0000-000013000000}"/>
    <hyperlink ref="N4" r:id="rId21" xr:uid="{00000000-0004-0000-0000-000014000000}"/>
    <hyperlink ref="N95" r:id="rId22" xr:uid="{00000000-0004-0000-0000-000015000000}"/>
    <hyperlink ref="N26" r:id="rId23" xr:uid="{00000000-0004-0000-0000-000016000000}"/>
    <hyperlink ref="N76" r:id="rId24" xr:uid="{00000000-0004-0000-0000-000017000000}"/>
    <hyperlink ref="N85" r:id="rId25" xr:uid="{00000000-0004-0000-0000-000018000000}"/>
    <hyperlink ref="N66" r:id="rId26" xr:uid="{00000000-0004-0000-0000-000019000000}"/>
    <hyperlink ref="N81" r:id="rId27" xr:uid="{00000000-0004-0000-0000-00001A000000}"/>
    <hyperlink ref="N77" r:id="rId28" xr:uid="{00000000-0004-0000-0000-00001B000000}"/>
    <hyperlink ref="N13" r:id="rId29" xr:uid="{00000000-0004-0000-0000-00001C000000}"/>
    <hyperlink ref="N71" r:id="rId30" xr:uid="{00000000-0004-0000-0000-00001D000000}"/>
    <hyperlink ref="N58" r:id="rId31" xr:uid="{00000000-0004-0000-0000-00001E000000}"/>
    <hyperlink ref="N29" r:id="rId32" xr:uid="{00000000-0004-0000-0000-00001F000000}"/>
    <hyperlink ref="N35" r:id="rId33" xr:uid="{00000000-0004-0000-0000-000020000000}"/>
    <hyperlink ref="N96" r:id="rId34" xr:uid="{00000000-0004-0000-0000-000021000000}"/>
    <hyperlink ref="N41" r:id="rId35" xr:uid="{00000000-0004-0000-0000-000022000000}"/>
    <hyperlink ref="N45" r:id="rId36" xr:uid="{00000000-0004-0000-0000-000023000000}"/>
    <hyperlink ref="N97" r:id="rId37" xr:uid="{00000000-0004-0000-0000-000024000000}"/>
    <hyperlink ref="N51" r:id="rId38" xr:uid="{00000000-0004-0000-0000-000025000000}"/>
    <hyperlink ref="N37" r:id="rId39" xr:uid="{00000000-0004-0000-0000-000026000000}"/>
    <hyperlink ref="N6" r:id="rId40" xr:uid="{00000000-0004-0000-0000-000027000000}"/>
    <hyperlink ref="N31" r:id="rId41" xr:uid="{00000000-0004-0000-0000-000028000000}"/>
    <hyperlink ref="N19" r:id="rId42" xr:uid="{00000000-0004-0000-0000-000029000000}"/>
    <hyperlink ref="N79" r:id="rId43" xr:uid="{00000000-0004-0000-0000-00002A000000}"/>
    <hyperlink ref="N30" r:id="rId44" xr:uid="{00000000-0004-0000-0000-00002B000000}"/>
    <hyperlink ref="N72" r:id="rId45" xr:uid="{00000000-0004-0000-0000-00002C000000}"/>
    <hyperlink ref="N42" r:id="rId46" xr:uid="{00000000-0004-0000-0000-00002D000000}"/>
    <hyperlink ref="N43" r:id="rId47" xr:uid="{00000000-0004-0000-0000-00002E000000}"/>
    <hyperlink ref="N47" r:id="rId48" xr:uid="{00000000-0004-0000-0000-00002F000000}"/>
    <hyperlink ref="N59" r:id="rId49" xr:uid="{00000000-0004-0000-0000-000030000000}"/>
    <hyperlink ref="N38" r:id="rId50" xr:uid="{00000000-0004-0000-0000-000031000000}"/>
    <hyperlink ref="N18" r:id="rId51" xr:uid="{00000000-0004-0000-0000-000032000000}"/>
    <hyperlink ref="N89" r:id="rId52" xr:uid="{00000000-0004-0000-0000-000033000000}"/>
    <hyperlink ref="N33" r:id="rId53" xr:uid="{00000000-0004-0000-0000-000034000000}"/>
    <hyperlink ref="N63" r:id="rId54" xr:uid="{00000000-0004-0000-0000-000035000000}"/>
    <hyperlink ref="N87" r:id="rId55" xr:uid="{00000000-0004-0000-0000-000036000000}"/>
    <hyperlink ref="N75" r:id="rId56" xr:uid="{00000000-0004-0000-0000-000037000000}"/>
    <hyperlink ref="N55" r:id="rId57" xr:uid="{00000000-0004-0000-0000-000038000000}"/>
    <hyperlink ref="N44" r:id="rId58" xr:uid="{00000000-0004-0000-0000-000039000000}"/>
    <hyperlink ref="N86" r:id="rId59" xr:uid="{00000000-0004-0000-0000-00003A000000}"/>
    <hyperlink ref="N20" r:id="rId60" xr:uid="{00000000-0004-0000-0000-00003B000000}"/>
    <hyperlink ref="N90" r:id="rId61" xr:uid="{00000000-0004-0000-0000-00003C000000}"/>
    <hyperlink ref="N94" r:id="rId62" xr:uid="{00000000-0004-0000-0000-00003D000000}"/>
  </hyperlinks>
  <pageMargins left="0.7" right="0.7" top="0.75" bottom="0.75" header="0.3" footer="0.3"/>
  <pageSetup orientation="portrait"/>
  <legacyDrawing r:id="rId63"/>
  <tableParts count="1">
    <tablePart r:id="rId64"/>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A87CD"/>
  </sheetPr>
  <dimension ref="A1:AZ159"/>
  <sheetViews>
    <sheetView showGridLines="0" zoomScale="80" zoomScaleNormal="80" workbookViewId="0">
      <pane ySplit="3" topLeftCell="A4" activePane="bottomLeft" state="frozen"/>
      <selection pane="bottomLeft" sqref="A1:O1"/>
    </sheetView>
  </sheetViews>
  <sheetFormatPr defaultRowHeight="15" x14ac:dyDescent="0.25"/>
  <cols>
    <col min="1" max="1" width="28" customWidth="1"/>
    <col min="2" max="2" width="16" customWidth="1"/>
    <col min="3" max="3" width="44" customWidth="1"/>
    <col min="4" max="4" width="3" customWidth="1"/>
    <col min="5" max="5" width="43" customWidth="1"/>
    <col min="6" max="6" width="16" customWidth="1"/>
    <col min="7" max="7" width="34" customWidth="1"/>
    <col min="8" max="8" width="4" customWidth="1"/>
    <col min="9" max="9" width="24.28515625" customWidth="1"/>
    <col min="10" max="10" width="28" customWidth="1"/>
    <col min="11" max="11" width="18" customWidth="1"/>
    <col min="12" max="12" width="28" customWidth="1"/>
    <col min="13" max="15" width="14" customWidth="1"/>
    <col min="35" max="52" width="16" hidden="1" customWidth="1"/>
  </cols>
  <sheetData>
    <row r="1" spans="1:44" ht="21" customHeight="1" x14ac:dyDescent="0.35">
      <c r="A1" s="559" t="s">
        <v>786</v>
      </c>
      <c r="B1" s="538"/>
      <c r="C1" s="538"/>
      <c r="D1" s="538"/>
      <c r="E1" s="538"/>
      <c r="F1" s="538"/>
      <c r="G1" s="538"/>
      <c r="H1" s="538"/>
      <c r="I1" s="538"/>
      <c r="J1" s="538"/>
      <c r="K1" s="538"/>
      <c r="L1" s="538"/>
      <c r="M1" s="538"/>
      <c r="N1" s="538"/>
      <c r="O1" s="538"/>
    </row>
    <row r="2" spans="1:44" ht="31.9" customHeight="1" x14ac:dyDescent="0.25">
      <c r="A2" s="557" t="s">
        <v>787</v>
      </c>
      <c r="B2" s="538"/>
      <c r="C2" s="538"/>
      <c r="D2" s="538"/>
      <c r="E2" s="538"/>
      <c r="F2" s="538"/>
      <c r="G2" s="538"/>
      <c r="H2" s="538"/>
      <c r="I2" s="538"/>
      <c r="J2" s="538"/>
      <c r="K2" s="538"/>
      <c r="L2" s="538"/>
      <c r="M2" s="538"/>
      <c r="N2" s="538"/>
      <c r="O2" s="538"/>
      <c r="AI2" t="s">
        <v>622</v>
      </c>
      <c r="AJ2" t="s">
        <v>631</v>
      </c>
      <c r="AK2" t="s">
        <v>631</v>
      </c>
      <c r="AL2" t="s">
        <v>631</v>
      </c>
      <c r="AM2" t="s">
        <v>633</v>
      </c>
      <c r="AN2" t="s">
        <v>636</v>
      </c>
      <c r="AO2" t="s">
        <v>640</v>
      </c>
      <c r="AP2" t="s">
        <v>586</v>
      </c>
      <c r="AQ2" t="s">
        <v>645</v>
      </c>
      <c r="AR2" t="s">
        <v>647</v>
      </c>
    </row>
    <row r="3" spans="1:44" x14ac:dyDescent="0.25">
      <c r="AI3" t="s">
        <v>748</v>
      </c>
      <c r="AJ3" t="s">
        <v>632</v>
      </c>
      <c r="AK3" t="s">
        <v>633</v>
      </c>
      <c r="AM3" t="s">
        <v>634</v>
      </c>
      <c r="AN3" t="s">
        <v>788</v>
      </c>
      <c r="AO3" t="s">
        <v>641</v>
      </c>
      <c r="AP3" t="s">
        <v>583</v>
      </c>
      <c r="AQ3" t="s">
        <v>42</v>
      </c>
      <c r="AR3" t="s">
        <v>648</v>
      </c>
    </row>
    <row r="4" spans="1:44" x14ac:dyDescent="0.25">
      <c r="A4" s="561" t="s">
        <v>789</v>
      </c>
      <c r="B4" s="560"/>
      <c r="C4" s="556"/>
      <c r="E4" s="561" t="s">
        <v>790</v>
      </c>
      <c r="F4" s="560"/>
      <c r="G4" s="556"/>
      <c r="I4" s="555" t="s">
        <v>791</v>
      </c>
      <c r="J4" s="556"/>
      <c r="L4" s="555" t="s">
        <v>792</v>
      </c>
      <c r="M4" s="560"/>
      <c r="N4" s="560"/>
      <c r="O4" s="556"/>
      <c r="AI4" t="s">
        <v>624</v>
      </c>
      <c r="AJ4" t="s">
        <v>635</v>
      </c>
      <c r="AK4" t="s">
        <v>634</v>
      </c>
      <c r="AN4" t="s">
        <v>793</v>
      </c>
      <c r="AO4" t="s">
        <v>642</v>
      </c>
      <c r="AP4" t="s">
        <v>589</v>
      </c>
      <c r="AQ4" t="s">
        <v>240</v>
      </c>
      <c r="AR4" t="s">
        <v>649</v>
      </c>
    </row>
    <row r="5" spans="1:44" ht="31.15" customHeight="1" x14ac:dyDescent="0.25">
      <c r="A5" s="496" t="s">
        <v>794</v>
      </c>
      <c r="B5" s="303">
        <v>56000</v>
      </c>
      <c r="C5" s="297" t="s">
        <v>795</v>
      </c>
      <c r="E5" s="497" t="s">
        <v>755</v>
      </c>
      <c r="F5" s="497" t="s">
        <v>796</v>
      </c>
      <c r="G5" s="497" t="s">
        <v>797</v>
      </c>
      <c r="I5" s="497" t="s">
        <v>798</v>
      </c>
      <c r="J5" s="304" t="s">
        <v>750</v>
      </c>
      <c r="L5" s="497" t="s">
        <v>799</v>
      </c>
      <c r="M5" s="497" t="s">
        <v>628</v>
      </c>
      <c r="N5" s="497" t="s">
        <v>629</v>
      </c>
      <c r="O5" s="497" t="s">
        <v>800</v>
      </c>
      <c r="AI5" t="s">
        <v>749</v>
      </c>
      <c r="AJ5" t="s">
        <v>639</v>
      </c>
      <c r="AK5" t="s">
        <v>636</v>
      </c>
      <c r="AP5" t="s">
        <v>597</v>
      </c>
      <c r="AR5" t="s">
        <v>801</v>
      </c>
    </row>
    <row r="6" spans="1:44" ht="31.15" customHeight="1" x14ac:dyDescent="0.25">
      <c r="A6" s="496" t="s">
        <v>18</v>
      </c>
      <c r="B6" s="299">
        <v>589520</v>
      </c>
      <c r="C6" s="297" t="s">
        <v>802</v>
      </c>
      <c r="E6" s="297" t="s">
        <v>622</v>
      </c>
      <c r="F6" s="298">
        <f>IF(OR($B$5="",$B$6="",$B$5=0),"",$B$6/$B$5)</f>
        <v>10.527142857142858</v>
      </c>
      <c r="G6" s="297" t="s">
        <v>803</v>
      </c>
      <c r="I6" s="497" t="s">
        <v>804</v>
      </c>
      <c r="J6" s="304" t="s">
        <v>635</v>
      </c>
      <c r="L6" s="297" t="str">
        <f>IF($J$6="All MSD Programmes",IFERROR(INDEX($AL$2:$AL$2,ROWS($L$6:L6)),""),IF($J$6="By Sector",IFERROR(INDEX($AM$2:$AM$3,ROWS($L$6:L6)),""),IF($J$6="By Programme Length",IFERROR(INDEX($AN$2:$AN$4,ROWS($L$6:L6)),""),IF($J$6="By Groups (Level of Inflation and Political Risks)",IFERROR(INDEX($AO$2:$AO$4,ROWS($L$6:L6)),""),IF($J$6="By Country Income Level",IFERROR(INDEX($AP$2:$AP$5,ROWS($L$6:L6)),""),IF($J$6="By FCAS Status",IFERROR(INDEX($AQ$2:$AQ$4,ROWS($L$6:L6)),""),IF($J$6="By Primary Objective (Note: one programme can have multiple primary objectives)",IFERROR(INDEX($AR$2:$AR$5,ROWS($L$6:L6)),""),"")))))))</f>
        <v>&gt;=10 years</v>
      </c>
      <c r="M6" s="298">
        <f>IF($L6="",NA(),IFERROR(INDEX($AX$20:$AX$159,MATCH($J$6&amp;"|"&amp;$L6&amp;"|"&amp;$J$5,$AT$20:$AT$159,0)),NA()))</f>
        <v>3167.2134274270461</v>
      </c>
      <c r="N6" s="298">
        <f>IF($L6="",NA(),IFERROR(INDEX($AY$20:$AY$159,MATCH($J$6&amp;"|"&amp;$L6&amp;"|"&amp;$J$5,$AT$20:$AT$159,0)),NA()))</f>
        <v>4091.356402727783</v>
      </c>
      <c r="O6" s="301">
        <f>IF($L6="",NA(),IFERROR(INDEX($AZ$20:$AZ$159,MATCH($J$6&amp;"|"&amp;$L6&amp;"|"&amp;$J$5,$AT$20:$AT$159,0)),NA()))</f>
        <v>4</v>
      </c>
      <c r="AI6" t="s">
        <v>750</v>
      </c>
      <c r="AJ6" t="s">
        <v>643</v>
      </c>
      <c r="AK6" t="s">
        <v>788</v>
      </c>
    </row>
    <row r="7" spans="1:44" ht="31.15" customHeight="1" x14ac:dyDescent="0.25">
      <c r="A7" s="496" t="s">
        <v>19</v>
      </c>
      <c r="B7" s="299">
        <v>8456235</v>
      </c>
      <c r="C7" s="297" t="s">
        <v>805</v>
      </c>
      <c r="E7" s="297" t="s">
        <v>748</v>
      </c>
      <c r="F7" s="298">
        <f>IF(OR($B$10="",$B$7="",$B$7=0),"",$B$10/$B$7)</f>
        <v>9.3368739161104206E-2</v>
      </c>
      <c r="G7" s="297" t="s">
        <v>806</v>
      </c>
      <c r="I7" s="497" t="s">
        <v>807</v>
      </c>
      <c r="J7" s="304" t="s">
        <v>636</v>
      </c>
      <c r="L7" s="297" t="str">
        <f>IF($J$6="All MSD Programmes",IFERROR(INDEX($AL$2:$AL$2,ROWS($L$6:L7)),""),IF($J$6="By Sector",IFERROR(INDEX($AM$2:$AM$3,ROWS($L$6:L7)),""),IF($J$6="By Programme Length",IFERROR(INDEX($AN$2:$AN$4,ROWS($L$6:L7)),""),IF($J$6="By Groups (Level of Inflation and Political Risks)",IFERROR(INDEX($AO$2:$AO$4,ROWS($L$6:L7)),""),IF($J$6="By Country Income Level",IFERROR(INDEX($AP$2:$AP$5,ROWS($L$6:L7)),""),IF($J$6="By FCAS Status",IFERROR(INDEX($AQ$2:$AQ$4,ROWS($L$6:L7)),""),IF($J$6="By Primary Objective (Note: one programme can have multiple primary objectives)",IFERROR(INDEX($AR$2:$AR$5,ROWS($L$6:L7)),""),"")))))))</f>
        <v>5-9 years</v>
      </c>
      <c r="M7" s="298">
        <f>IF($L7="",NA(),IFERROR(INDEX($AX$20:$AX$159,MATCH($J$6&amp;"|"&amp;$L7&amp;"|"&amp;$J$5,$AT$20:$AT$159,0)),NA()))</f>
        <v>2789.1035859721469</v>
      </c>
      <c r="N7" s="298">
        <f>IF($L7="",NA(),IFERROR(INDEX($AY$20:$AY$159,MATCH($J$6&amp;"|"&amp;$L7&amp;"|"&amp;$J$5,$AT$20:$AT$159,0)),NA()))</f>
        <v>4534.6455255609926</v>
      </c>
      <c r="O7" s="301">
        <f>IF($L7="",NA(),IFERROR(INDEX($AZ$20:$AZ$159,MATCH($J$6&amp;"|"&amp;$L7&amp;"|"&amp;$J$5,$AT$20:$AT$159,0)),NA()))</f>
        <v>10</v>
      </c>
      <c r="AI7" t="s">
        <v>751</v>
      </c>
      <c r="AJ7" t="s">
        <v>644</v>
      </c>
      <c r="AK7" t="s">
        <v>793</v>
      </c>
    </row>
    <row r="8" spans="1:44" ht="31.15" customHeight="1" x14ac:dyDescent="0.25">
      <c r="A8" s="496" t="s">
        <v>808</v>
      </c>
      <c r="B8" s="303">
        <v>5800</v>
      </c>
      <c r="C8" s="297" t="s">
        <v>809</v>
      </c>
      <c r="E8" s="297" t="s">
        <v>624</v>
      </c>
      <c r="F8" s="298">
        <f>IF(OR($B$11="",$B$7="",$B$7=0),"",$B$11/$B$7)</f>
        <v>9.2879632602452508E-2</v>
      </c>
      <c r="G8" s="297" t="s">
        <v>810</v>
      </c>
      <c r="I8" s="496" t="s">
        <v>811</v>
      </c>
      <c r="J8" s="302">
        <f>IFERROR(INDEX($F$6:$F$12,MATCH($J$5,$E$6:$E$12,0)),"")</f>
        <v>1457.971551724138</v>
      </c>
      <c r="L8" s="297" t="str">
        <f>IF($J$6="All MSD Programmes",IFERROR(INDEX($AL$2:$AL$2,ROWS($L$6:L8)),""),IF($J$6="By Sector",IFERROR(INDEX($AM$2:$AM$3,ROWS($L$6:L8)),""),IF($J$6="By Programme Length",IFERROR(INDEX($AN$2:$AN$4,ROWS($L$6:L8)),""),IF($J$6="By Groups (Level of Inflation and Political Risks)",IFERROR(INDEX($AO$2:$AO$4,ROWS($L$6:L8)),""),IF($J$6="By Country Income Level",IFERROR(INDEX($AP$2:$AP$5,ROWS($L$6:L8)),""),IF($J$6="By FCAS Status",IFERROR(INDEX($AQ$2:$AQ$4,ROWS($L$6:L8)),""),IF($J$6="By Primary Objective (Note: one programme can have multiple primary objectives)",IFERROR(INDEX($AR$2:$AR$5,ROWS($L$6:L8)),""),"")))))))</f>
        <v>&lt;=5 years</v>
      </c>
      <c r="M8" s="298">
        <f>IF($L8="",NA(),IFERROR(INDEX($AX$20:$AX$159,MATCH($J$6&amp;"|"&amp;$L8&amp;"|"&amp;$J$5,$AT$20:$AT$159,0)),NA()))</f>
        <v>3575.547866205306</v>
      </c>
      <c r="N8" s="298">
        <f>IF($L8="",NA(),IFERROR(INDEX($AY$20:$AY$159,MATCH($J$6&amp;"|"&amp;$L8&amp;"|"&amp;$J$5,$AT$20:$AT$159,0)),NA()))</f>
        <v>19681.402824600551</v>
      </c>
      <c r="O8" s="301">
        <f>IF($L8="",NA(),IFERROR(INDEX($AZ$20:$AZ$159,MATCH($J$6&amp;"|"&amp;$L8&amp;"|"&amp;$J$5,$AT$20:$AT$159,0)),NA()))</f>
        <v>21</v>
      </c>
      <c r="AI8" t="s">
        <v>34</v>
      </c>
      <c r="AJ8" t="s">
        <v>646</v>
      </c>
      <c r="AK8" t="s">
        <v>640</v>
      </c>
    </row>
    <row r="9" spans="1:44" ht="31.15" customHeight="1" x14ac:dyDescent="0.25">
      <c r="A9" s="496" t="s">
        <v>21</v>
      </c>
      <c r="B9" s="303">
        <v>5600</v>
      </c>
      <c r="C9" s="297" t="s">
        <v>812</v>
      </c>
      <c r="E9" s="297" t="s">
        <v>749</v>
      </c>
      <c r="F9" s="298">
        <f>IF(OR($B$12="",$B$7="",$B$7=0),"",$B$12/$B$7)</f>
        <v>5.3833650554886425E-3</v>
      </c>
      <c r="G9" s="297" t="s">
        <v>813</v>
      </c>
      <c r="I9" s="496" t="s">
        <v>814</v>
      </c>
      <c r="J9" s="302">
        <f>IFERROR(INDEX($AX$20:$AX$159,MATCH($J$6&amp;"|"&amp;$J$7&amp;"|"&amp;$J$5,$AT$20:$AT$159,0)),"")</f>
        <v>3167.2134274270461</v>
      </c>
      <c r="L9" s="297" t="str">
        <f>IF($J$6="All MSD Programmes",IFERROR(INDEX($AL$2:$AL$2,ROWS($L$6:L9)),""),IF($J$6="By Sector",IFERROR(INDEX($AM$2:$AM$3,ROWS($L$6:L9)),""),IF($J$6="By Programme Length",IFERROR(INDEX($AN$2:$AN$4,ROWS($L$6:L9)),""),IF($J$6="By Groups (Level of Inflation and Political Risks)",IFERROR(INDEX($AO$2:$AO$4,ROWS($L$6:L9)),""),IF($J$6="By Country Income Level",IFERROR(INDEX($AP$2:$AP$5,ROWS($L$6:L9)),""),IF($J$6="By FCAS Status",IFERROR(INDEX($AQ$2:$AQ$4,ROWS($L$6:L9)),""),IF($J$6="By Primary Objective (Note: one programme can have multiple primary objectives)",IFERROR(INDEX($AR$2:$AR$5,ROWS($L$6:L9)),""),"")))))))</f>
        <v/>
      </c>
      <c r="M9" s="298" t="e">
        <f>IF($L9="",NA(),IFERROR(INDEX($AX$20:$AX$159,MATCH($J$6&amp;"|"&amp;$L9&amp;"|"&amp;$J$5,$AT$20:$AT$159,0)),NA()))</f>
        <v>#N/A</v>
      </c>
      <c r="N9" s="298" t="e">
        <f>IF($L9="",NA(),IFERROR(INDEX($AY$20:$AY$159,MATCH($J$6&amp;"|"&amp;$L9&amp;"|"&amp;$J$5,$AT$20:$AT$159,0)),NA()))</f>
        <v>#N/A</v>
      </c>
      <c r="O9" s="301" t="e">
        <f>IF($L9="",NA(),IFERROR(INDEX($AZ$20:$AZ$159,MATCH($J$6&amp;"|"&amp;$L9&amp;"|"&amp;$J$5,$AT$20:$AT$159,0)),NA()))</f>
        <v>#N/A</v>
      </c>
      <c r="AK9" t="s">
        <v>641</v>
      </c>
    </row>
    <row r="10" spans="1:44" ht="31.15" customHeight="1" x14ac:dyDescent="0.25">
      <c r="A10" s="496" t="s">
        <v>23</v>
      </c>
      <c r="B10" s="299">
        <v>789548</v>
      </c>
      <c r="C10" s="297" t="s">
        <v>815</v>
      </c>
      <c r="E10" s="297" t="s">
        <v>750</v>
      </c>
      <c r="F10" s="298">
        <f>IF(OR($B$7="",$B$8="",$B$8=0),"",$B$7/$B$8)</f>
        <v>1457.971551724138</v>
      </c>
      <c r="G10" s="297" t="s">
        <v>816</v>
      </c>
      <c r="I10" s="496" t="s">
        <v>817</v>
      </c>
      <c r="J10" s="302">
        <f>IFERROR(INDEX($AY$20:$AY$159,MATCH($J$6&amp;"|"&amp;$J$7&amp;"|"&amp;$J$5,$AT$20:$AT$159,0)),"")</f>
        <v>4091.356402727783</v>
      </c>
      <c r="L10" s="297" t="str">
        <f>IF($J$6="All MSD Programmes",IFERROR(INDEX($AL$2:$AL$2,ROWS($L$6:L10)),""),IF($J$6="By Sector",IFERROR(INDEX($AM$2:$AM$3,ROWS($L$6:L10)),""),IF($J$6="By Programme Length",IFERROR(INDEX($AN$2:$AN$4,ROWS($L$6:L10)),""),IF($J$6="By Groups (Level of Inflation and Political Risks)",IFERROR(INDEX($AO$2:$AO$4,ROWS($L$6:L10)),""),IF($J$6="By Country Income Level",IFERROR(INDEX($AP$2:$AP$5,ROWS($L$6:L10)),""),IF($J$6="By FCAS Status",IFERROR(INDEX($AQ$2:$AQ$4,ROWS($L$6:L10)),""),IF($J$6="By Primary Objective (Note: one programme can have multiple primary objectives)",IFERROR(INDEX($AR$2:$AR$5,ROWS($L$6:L10)),""),"")))))))</f>
        <v/>
      </c>
      <c r="M10" s="298" t="e">
        <f>IF($L10="",NA(),IFERROR(INDEX($AX$20:$AX$159,MATCH($J$6&amp;"|"&amp;$L10&amp;"|"&amp;$J$5,$AT$20:$AT$159,0)),NA()))</f>
        <v>#N/A</v>
      </c>
      <c r="N10" s="298" t="e">
        <f>IF($L10="",NA(),IFERROR(INDEX($AY$20:$AY$159,MATCH($J$6&amp;"|"&amp;$L10&amp;"|"&amp;$J$5,$AT$20:$AT$159,0)),NA()))</f>
        <v>#N/A</v>
      </c>
      <c r="O10" s="301" t="e">
        <f>IF($L10="",NA(),IFERROR(INDEX($AZ$20:$AZ$159,MATCH($J$6&amp;"|"&amp;$L10&amp;"|"&amp;$J$5,$AT$20:$AT$159,0)),NA()))</f>
        <v>#N/A</v>
      </c>
      <c r="AK10" t="s">
        <v>642</v>
      </c>
    </row>
    <row r="11" spans="1:44" ht="31.15" customHeight="1" x14ac:dyDescent="0.25">
      <c r="A11" s="496" t="s">
        <v>24</v>
      </c>
      <c r="B11" s="299">
        <v>785412</v>
      </c>
      <c r="C11" s="297" t="s">
        <v>818</v>
      </c>
      <c r="E11" s="297" t="s">
        <v>751</v>
      </c>
      <c r="F11" s="298">
        <f>IF(OR($B$7="",$B$9="",$B$9=0),"",$B$7/$B$9)</f>
        <v>1510.0419642857144</v>
      </c>
      <c r="G11" s="297" t="s">
        <v>819</v>
      </c>
      <c r="I11" s="496" t="s">
        <v>820</v>
      </c>
      <c r="J11" s="300">
        <f>IFERROR(INDEX($AZ$20:$AZ$159,MATCH($J$6&amp;"|"&amp;$J$7&amp;"|"&amp;$J$5,$AT$20:$AT$159,0)),"")</f>
        <v>4</v>
      </c>
      <c r="AK11" t="s">
        <v>586</v>
      </c>
    </row>
    <row r="12" spans="1:44" ht="31.15" customHeight="1" x14ac:dyDescent="0.25">
      <c r="A12" s="496" t="s">
        <v>25</v>
      </c>
      <c r="B12" s="299">
        <v>45523</v>
      </c>
      <c r="C12" s="297" t="s">
        <v>821</v>
      </c>
      <c r="E12" s="297" t="s">
        <v>34</v>
      </c>
      <c r="F12" s="298">
        <f>IF(OR($B$6="",$B$7="",$B$7=0),"",$B$6/$B$7)</f>
        <v>6.9714240439155251E-2</v>
      </c>
      <c r="G12" s="297" t="s">
        <v>822</v>
      </c>
      <c r="I12" s="496" t="s">
        <v>823</v>
      </c>
      <c r="J12" s="305" t="str">
        <f>IF(OR($J$8="",NOT(ISNUMBER($J$9))),"",IF($J$8&gt;$J$9,"Above median",IF($J$8&lt;$J$9,"Below median","Equal to median")))</f>
        <v>Below median</v>
      </c>
      <c r="AK12" t="s">
        <v>583</v>
      </c>
    </row>
    <row r="13" spans="1:44" ht="27.6" customHeight="1" x14ac:dyDescent="0.25">
      <c r="I13" s="496" t="s">
        <v>824</v>
      </c>
      <c r="J13" s="296">
        <f>IF(OR($J$8="",NOT(ISNUMBER($J$9)),$J$9=0),"",($J$8-$J$9)/$J$9)</f>
        <v>-0.53966741265410945</v>
      </c>
      <c r="AK13" t="s">
        <v>589</v>
      </c>
    </row>
    <row r="14" spans="1:44" ht="27.6" customHeight="1" x14ac:dyDescent="0.25">
      <c r="I14" s="496" t="s">
        <v>825</v>
      </c>
      <c r="J14" s="305" t="str">
        <f>IF(OR($J$8="",NOT(ISNUMBER($J$10))),"",IF($J$8&gt;$J$10,"Above mean",IF($J$8&lt;$J$10,"Below mean","Equal to mean")))</f>
        <v>Below mean</v>
      </c>
      <c r="AK14" t="s">
        <v>597</v>
      </c>
    </row>
    <row r="15" spans="1:44" ht="27.6" customHeight="1" x14ac:dyDescent="0.25">
      <c r="I15" s="496" t="s">
        <v>826</v>
      </c>
      <c r="J15" s="296">
        <f>IF(OR($J$8="",NOT(ISNUMBER($J$10)),$J$10=0),"",($J$8-$J$10)/$J$10)</f>
        <v>-0.6436459188077378</v>
      </c>
      <c r="AK15" t="s">
        <v>645</v>
      </c>
    </row>
    <row r="16" spans="1:44" ht="27.6" customHeight="1" x14ac:dyDescent="0.25">
      <c r="I16" s="558" t="s">
        <v>827</v>
      </c>
      <c r="J16" s="556"/>
      <c r="AK16" t="s">
        <v>42</v>
      </c>
    </row>
    <row r="17" spans="37:52" x14ac:dyDescent="0.25">
      <c r="AK17" t="s">
        <v>240</v>
      </c>
    </row>
    <row r="18" spans="37:52" x14ac:dyDescent="0.25">
      <c r="AK18" t="s">
        <v>647</v>
      </c>
    </row>
    <row r="19" spans="37:52" x14ac:dyDescent="0.25">
      <c r="AK19" t="s">
        <v>648</v>
      </c>
      <c r="AT19" t="s">
        <v>828</v>
      </c>
      <c r="AU19" t="s">
        <v>829</v>
      </c>
      <c r="AV19" t="s">
        <v>799</v>
      </c>
      <c r="AW19" t="s">
        <v>755</v>
      </c>
      <c r="AX19" t="s">
        <v>628</v>
      </c>
      <c r="AY19" t="s">
        <v>629</v>
      </c>
      <c r="AZ19" t="s">
        <v>630</v>
      </c>
    </row>
    <row r="20" spans="37:52" x14ac:dyDescent="0.25">
      <c r="AK20" t="s">
        <v>649</v>
      </c>
      <c r="AT20" t="s">
        <v>830</v>
      </c>
      <c r="AU20" t="s">
        <v>631</v>
      </c>
      <c r="AV20" t="s">
        <v>631</v>
      </c>
      <c r="AW20" t="s">
        <v>622</v>
      </c>
      <c r="AX20">
        <v>132.465622476475</v>
      </c>
      <c r="AY20">
        <v>440.90539466751278</v>
      </c>
      <c r="AZ20">
        <v>35</v>
      </c>
    </row>
    <row r="21" spans="37:52" x14ac:dyDescent="0.25">
      <c r="AK21" t="s">
        <v>801</v>
      </c>
      <c r="AT21" t="s">
        <v>831</v>
      </c>
      <c r="AU21" t="s">
        <v>631</v>
      </c>
      <c r="AV21" t="s">
        <v>631</v>
      </c>
      <c r="AW21" t="s">
        <v>748</v>
      </c>
      <c r="AX21">
        <v>0.53168400000000005</v>
      </c>
      <c r="AY21">
        <v>1.6891083028429961</v>
      </c>
      <c r="AZ21">
        <v>51</v>
      </c>
    </row>
    <row r="22" spans="37:52" x14ac:dyDescent="0.25">
      <c r="AT22" t="s">
        <v>832</v>
      </c>
      <c r="AU22" t="s">
        <v>631</v>
      </c>
      <c r="AV22" t="s">
        <v>631</v>
      </c>
      <c r="AW22" t="s">
        <v>624</v>
      </c>
      <c r="AX22">
        <v>1.6212635665019151</v>
      </c>
      <c r="AY22">
        <v>3.3999949250388819</v>
      </c>
      <c r="AZ22">
        <v>39</v>
      </c>
    </row>
    <row r="23" spans="37:52" x14ac:dyDescent="0.25">
      <c r="AT23" t="s">
        <v>833</v>
      </c>
      <c r="AU23" t="s">
        <v>631</v>
      </c>
      <c r="AV23" t="s">
        <v>631</v>
      </c>
      <c r="AW23" t="s">
        <v>749</v>
      </c>
      <c r="AX23">
        <v>0.16127356452605809</v>
      </c>
      <c r="AY23">
        <v>8.275280774476018</v>
      </c>
      <c r="AZ23">
        <v>12</v>
      </c>
    </row>
    <row r="24" spans="37:52" x14ac:dyDescent="0.25">
      <c r="AT24" t="s">
        <v>834</v>
      </c>
      <c r="AU24" t="s">
        <v>631</v>
      </c>
      <c r="AV24" t="s">
        <v>631</v>
      </c>
      <c r="AW24" t="s">
        <v>750</v>
      </c>
      <c r="AX24">
        <v>3371.1615487316421</v>
      </c>
      <c r="AY24">
        <v>13572.038290946641</v>
      </c>
      <c r="AZ24">
        <v>35</v>
      </c>
    </row>
    <row r="25" spans="37:52" x14ac:dyDescent="0.25">
      <c r="AT25" t="s">
        <v>835</v>
      </c>
      <c r="AU25" t="s">
        <v>631</v>
      </c>
      <c r="AV25" t="s">
        <v>631</v>
      </c>
      <c r="AW25" t="s">
        <v>751</v>
      </c>
      <c r="AX25">
        <v>396.94538740123579</v>
      </c>
      <c r="AY25">
        <v>6688.8651732518292</v>
      </c>
      <c r="AZ25">
        <v>52</v>
      </c>
    </row>
    <row r="26" spans="37:52" x14ac:dyDescent="0.25">
      <c r="AT26" t="s">
        <v>836</v>
      </c>
      <c r="AU26" t="s">
        <v>631</v>
      </c>
      <c r="AV26" t="s">
        <v>631</v>
      </c>
      <c r="AW26" t="s">
        <v>34</v>
      </c>
      <c r="AX26">
        <v>1.485714285714286</v>
      </c>
      <c r="AY26">
        <v>1.843303425750713</v>
      </c>
      <c r="AZ26">
        <v>35</v>
      </c>
    </row>
    <row r="27" spans="37:52" x14ac:dyDescent="0.25">
      <c r="AT27" t="s">
        <v>837</v>
      </c>
      <c r="AU27" t="s">
        <v>632</v>
      </c>
      <c r="AV27" t="s">
        <v>633</v>
      </c>
      <c r="AW27" t="s">
        <v>622</v>
      </c>
      <c r="AX27">
        <v>116.634423977346</v>
      </c>
      <c r="AY27">
        <v>274.1633580574474</v>
      </c>
      <c r="AZ27">
        <v>27</v>
      </c>
    </row>
    <row r="28" spans="37:52" x14ac:dyDescent="0.25">
      <c r="AT28" t="s">
        <v>838</v>
      </c>
      <c r="AU28" t="s">
        <v>632</v>
      </c>
      <c r="AV28" t="s">
        <v>633</v>
      </c>
      <c r="AW28" t="s">
        <v>748</v>
      </c>
      <c r="AX28">
        <v>0.43977591240875907</v>
      </c>
      <c r="AY28">
        <v>1.0330401407610801</v>
      </c>
      <c r="AZ28">
        <v>37</v>
      </c>
    </row>
    <row r="29" spans="37:52" x14ac:dyDescent="0.25">
      <c r="AT29" t="s">
        <v>839</v>
      </c>
      <c r="AU29" t="s">
        <v>632</v>
      </c>
      <c r="AV29" t="s">
        <v>633</v>
      </c>
      <c r="AW29" t="s">
        <v>624</v>
      </c>
      <c r="AX29">
        <v>1.607123011321133</v>
      </c>
      <c r="AY29">
        <v>3.541373540721509</v>
      </c>
      <c r="AZ29">
        <v>28</v>
      </c>
    </row>
    <row r="30" spans="37:52" x14ac:dyDescent="0.25">
      <c r="AT30" t="s">
        <v>840</v>
      </c>
      <c r="AU30" t="s">
        <v>632</v>
      </c>
      <c r="AV30" t="s">
        <v>633</v>
      </c>
      <c r="AW30" t="s">
        <v>749</v>
      </c>
      <c r="AX30">
        <v>0.15241991711229949</v>
      </c>
      <c r="AY30">
        <v>1.7046580803368949</v>
      </c>
      <c r="AZ30">
        <v>10</v>
      </c>
    </row>
    <row r="31" spans="37:52" x14ac:dyDescent="0.25">
      <c r="AT31" t="s">
        <v>841</v>
      </c>
      <c r="AU31" t="s">
        <v>632</v>
      </c>
      <c r="AV31" t="s">
        <v>633</v>
      </c>
      <c r="AW31" t="s">
        <v>750</v>
      </c>
      <c r="AX31">
        <v>4245.4854943753699</v>
      </c>
      <c r="AY31">
        <v>11673.95503030785</v>
      </c>
      <c r="AZ31">
        <v>20</v>
      </c>
    </row>
    <row r="32" spans="37:52" x14ac:dyDescent="0.25">
      <c r="AT32" t="s">
        <v>842</v>
      </c>
      <c r="AU32" t="s">
        <v>632</v>
      </c>
      <c r="AV32" t="s">
        <v>633</v>
      </c>
      <c r="AW32" t="s">
        <v>751</v>
      </c>
      <c r="AX32">
        <v>272.49186201300228</v>
      </c>
      <c r="AY32">
        <v>7440.7845500147332</v>
      </c>
      <c r="AZ32">
        <v>40</v>
      </c>
    </row>
    <row r="33" spans="46:52" x14ac:dyDescent="0.25">
      <c r="AT33" t="s">
        <v>843</v>
      </c>
      <c r="AU33" t="s">
        <v>632</v>
      </c>
      <c r="AV33" t="s">
        <v>633</v>
      </c>
      <c r="AW33" t="s">
        <v>34</v>
      </c>
      <c r="AX33">
        <v>1.485714285714286</v>
      </c>
      <c r="AY33">
        <v>1.955544815831765</v>
      </c>
      <c r="AZ33">
        <v>27</v>
      </c>
    </row>
    <row r="34" spans="46:52" x14ac:dyDescent="0.25">
      <c r="AT34" t="s">
        <v>844</v>
      </c>
      <c r="AU34" t="s">
        <v>632</v>
      </c>
      <c r="AV34" t="s">
        <v>634</v>
      </c>
      <c r="AW34" t="s">
        <v>622</v>
      </c>
      <c r="AX34">
        <v>508.48724598018771</v>
      </c>
      <c r="AY34">
        <v>1003.659768226483</v>
      </c>
      <c r="AZ34">
        <v>8</v>
      </c>
    </row>
    <row r="35" spans="46:52" x14ac:dyDescent="0.25">
      <c r="AT35" t="s">
        <v>845</v>
      </c>
      <c r="AU35" t="s">
        <v>632</v>
      </c>
      <c r="AV35" t="s">
        <v>634</v>
      </c>
      <c r="AW35" t="s">
        <v>748</v>
      </c>
      <c r="AX35">
        <v>0.75111177682539676</v>
      </c>
      <c r="AY35">
        <v>3.4230027312023452</v>
      </c>
      <c r="AZ35">
        <v>14</v>
      </c>
    </row>
    <row r="36" spans="46:52" x14ac:dyDescent="0.25">
      <c r="AT36" t="s">
        <v>846</v>
      </c>
      <c r="AU36" t="s">
        <v>632</v>
      </c>
      <c r="AV36" t="s">
        <v>634</v>
      </c>
      <c r="AW36" t="s">
        <v>624</v>
      </c>
      <c r="AX36">
        <v>1.7337664800000001</v>
      </c>
      <c r="AY36">
        <v>3.0401220851194641</v>
      </c>
      <c r="AZ36">
        <v>11</v>
      </c>
    </row>
    <row r="37" spans="46:52" x14ac:dyDescent="0.25">
      <c r="AT37" t="s">
        <v>847</v>
      </c>
      <c r="AU37" t="s">
        <v>632</v>
      </c>
      <c r="AV37" t="s">
        <v>634</v>
      </c>
      <c r="AW37" t="s">
        <v>749</v>
      </c>
      <c r="AX37">
        <v>41.128394245171627</v>
      </c>
      <c r="AY37">
        <v>41.128394245171627</v>
      </c>
      <c r="AZ37">
        <v>2</v>
      </c>
    </row>
    <row r="38" spans="46:52" x14ac:dyDescent="0.25">
      <c r="AT38" t="s">
        <v>848</v>
      </c>
      <c r="AU38" t="s">
        <v>632</v>
      </c>
      <c r="AV38" t="s">
        <v>634</v>
      </c>
      <c r="AW38" t="s">
        <v>750</v>
      </c>
      <c r="AX38">
        <v>2963.2653061224491</v>
      </c>
      <c r="AY38">
        <v>16102.81597179838</v>
      </c>
      <c r="AZ38">
        <v>15</v>
      </c>
    </row>
    <row r="39" spans="46:52" x14ac:dyDescent="0.25">
      <c r="AT39" t="s">
        <v>849</v>
      </c>
      <c r="AU39" t="s">
        <v>632</v>
      </c>
      <c r="AV39" t="s">
        <v>634</v>
      </c>
      <c r="AW39" t="s">
        <v>751</v>
      </c>
      <c r="AX39">
        <v>1661.530664746756</v>
      </c>
      <c r="AY39">
        <v>4182.4672507088126</v>
      </c>
      <c r="AZ39">
        <v>12</v>
      </c>
    </row>
    <row r="40" spans="46:52" x14ac:dyDescent="0.25">
      <c r="AT40" t="s">
        <v>850</v>
      </c>
      <c r="AU40" t="s">
        <v>632</v>
      </c>
      <c r="AV40" t="s">
        <v>634</v>
      </c>
      <c r="AW40" t="s">
        <v>34</v>
      </c>
      <c r="AX40">
        <v>1.619802114396899</v>
      </c>
      <c r="AY40">
        <v>1.464488734227164</v>
      </c>
      <c r="AZ40">
        <v>8</v>
      </c>
    </row>
    <row r="41" spans="46:52" x14ac:dyDescent="0.25">
      <c r="AT41" t="s">
        <v>851</v>
      </c>
      <c r="AU41" t="s">
        <v>635</v>
      </c>
      <c r="AV41" t="s">
        <v>636</v>
      </c>
      <c r="AW41" t="s">
        <v>622</v>
      </c>
      <c r="AX41">
        <v>340.53438867507413</v>
      </c>
      <c r="AY41">
        <v>417.79123101778902</v>
      </c>
      <c r="AZ41">
        <v>4</v>
      </c>
    </row>
    <row r="42" spans="46:52" x14ac:dyDescent="0.25">
      <c r="AT42" t="s">
        <v>852</v>
      </c>
      <c r="AU42" t="s">
        <v>635</v>
      </c>
      <c r="AV42" t="s">
        <v>636</v>
      </c>
      <c r="AW42" t="s">
        <v>748</v>
      </c>
      <c r="AX42">
        <v>0.50501613647702559</v>
      </c>
      <c r="AY42">
        <v>0.59209484509801702</v>
      </c>
      <c r="AZ42">
        <v>4</v>
      </c>
    </row>
    <row r="43" spans="46:52" x14ac:dyDescent="0.25">
      <c r="AT43" t="s">
        <v>853</v>
      </c>
      <c r="AU43" t="s">
        <v>635</v>
      </c>
      <c r="AV43" t="s">
        <v>636</v>
      </c>
      <c r="AW43" t="s">
        <v>624</v>
      </c>
      <c r="AX43">
        <v>0.48617511520737328</v>
      </c>
      <c r="AY43">
        <v>1.166391425092498</v>
      </c>
      <c r="AZ43">
        <v>5</v>
      </c>
    </row>
    <row r="44" spans="46:52" x14ac:dyDescent="0.25">
      <c r="AT44" t="s">
        <v>854</v>
      </c>
      <c r="AU44" t="s">
        <v>635</v>
      </c>
      <c r="AV44" t="s">
        <v>636</v>
      </c>
      <c r="AW44" t="s">
        <v>749</v>
      </c>
      <c r="AX44">
        <v>0.44</v>
      </c>
      <c r="AY44">
        <v>0.44</v>
      </c>
      <c r="AZ44">
        <v>1</v>
      </c>
    </row>
    <row r="45" spans="46:52" x14ac:dyDescent="0.25">
      <c r="AT45" t="s">
        <v>855</v>
      </c>
      <c r="AU45" t="s">
        <v>635</v>
      </c>
      <c r="AV45" t="s">
        <v>636</v>
      </c>
      <c r="AW45" t="s">
        <v>750</v>
      </c>
      <c r="AX45">
        <v>3167.2134274270461</v>
      </c>
      <c r="AY45">
        <v>4091.356402727783</v>
      </c>
      <c r="AZ45">
        <v>4</v>
      </c>
    </row>
    <row r="46" spans="46:52" x14ac:dyDescent="0.25">
      <c r="AT46" t="s">
        <v>856</v>
      </c>
      <c r="AU46" t="s">
        <v>635</v>
      </c>
      <c r="AV46" t="s">
        <v>636</v>
      </c>
      <c r="AW46" t="s">
        <v>751</v>
      </c>
      <c r="AX46">
        <v>574.28677287884398</v>
      </c>
      <c r="AY46">
        <v>3278.8124823599469</v>
      </c>
      <c r="AZ46">
        <v>7</v>
      </c>
    </row>
    <row r="47" spans="46:52" x14ac:dyDescent="0.25">
      <c r="AT47" t="s">
        <v>857</v>
      </c>
      <c r="AU47" t="s">
        <v>635</v>
      </c>
      <c r="AV47" t="s">
        <v>636</v>
      </c>
      <c r="AW47" t="s">
        <v>34</v>
      </c>
      <c r="AX47">
        <v>1.8979752596569031</v>
      </c>
      <c r="AY47">
        <v>1.964716728809643</v>
      </c>
      <c r="AZ47">
        <v>4</v>
      </c>
    </row>
    <row r="48" spans="46:52" x14ac:dyDescent="0.25">
      <c r="AT48" t="s">
        <v>858</v>
      </c>
      <c r="AU48" t="s">
        <v>635</v>
      </c>
      <c r="AV48" t="s">
        <v>788</v>
      </c>
      <c r="AW48" t="s">
        <v>622</v>
      </c>
      <c r="AX48">
        <v>132.465622476475</v>
      </c>
      <c r="AY48">
        <v>724.44086351967474</v>
      </c>
      <c r="AZ48">
        <v>13</v>
      </c>
    </row>
    <row r="49" spans="46:52" x14ac:dyDescent="0.25">
      <c r="AT49" t="s">
        <v>859</v>
      </c>
      <c r="AU49" t="s">
        <v>635</v>
      </c>
      <c r="AV49" t="s">
        <v>788</v>
      </c>
      <c r="AW49" t="s">
        <v>748</v>
      </c>
      <c r="AX49">
        <v>0.79365079365079361</v>
      </c>
      <c r="AY49">
        <v>3.168341749059969</v>
      </c>
      <c r="AZ49">
        <v>15</v>
      </c>
    </row>
    <row r="50" spans="46:52" x14ac:dyDescent="0.25">
      <c r="AT50" t="s">
        <v>860</v>
      </c>
      <c r="AU50" t="s">
        <v>635</v>
      </c>
      <c r="AV50" t="s">
        <v>788</v>
      </c>
      <c r="AW50" t="s">
        <v>624</v>
      </c>
      <c r="AX50">
        <v>1.93865246449457</v>
      </c>
      <c r="AY50">
        <v>3.1690620584901201</v>
      </c>
      <c r="AZ50">
        <v>11</v>
      </c>
    </row>
    <row r="51" spans="46:52" x14ac:dyDescent="0.25">
      <c r="AT51" t="s">
        <v>861</v>
      </c>
      <c r="AU51" t="s">
        <v>635</v>
      </c>
      <c r="AV51" t="s">
        <v>788</v>
      </c>
      <c r="AW51" t="s">
        <v>749</v>
      </c>
      <c r="AX51">
        <v>0.12625825324675319</v>
      </c>
      <c r="AY51">
        <v>0.12625825324675319</v>
      </c>
      <c r="AZ51">
        <v>2</v>
      </c>
    </row>
    <row r="52" spans="46:52" x14ac:dyDescent="0.25">
      <c r="AT52" t="s">
        <v>862</v>
      </c>
      <c r="AU52" t="s">
        <v>635</v>
      </c>
      <c r="AV52" t="s">
        <v>788</v>
      </c>
      <c r="AW52" t="s">
        <v>750</v>
      </c>
      <c r="AX52">
        <v>2789.1035859721469</v>
      </c>
      <c r="AY52">
        <v>4534.6455255609926</v>
      </c>
      <c r="AZ52">
        <v>10</v>
      </c>
    </row>
    <row r="53" spans="46:52" x14ac:dyDescent="0.25">
      <c r="AT53" t="s">
        <v>863</v>
      </c>
      <c r="AU53" t="s">
        <v>635</v>
      </c>
      <c r="AV53" t="s">
        <v>788</v>
      </c>
      <c r="AW53" t="s">
        <v>751</v>
      </c>
      <c r="AX53">
        <v>493.11417462000708</v>
      </c>
      <c r="AY53">
        <v>1247.509647166288</v>
      </c>
      <c r="AZ53">
        <v>15</v>
      </c>
    </row>
    <row r="54" spans="46:52" x14ac:dyDescent="0.25">
      <c r="AT54" t="s">
        <v>864</v>
      </c>
      <c r="AU54" t="s">
        <v>635</v>
      </c>
      <c r="AV54" t="s">
        <v>788</v>
      </c>
      <c r="AW54" t="s">
        <v>34</v>
      </c>
      <c r="AX54">
        <v>0.80423280423280419</v>
      </c>
      <c r="AY54">
        <v>1.49124452284388</v>
      </c>
      <c r="AZ54">
        <v>13</v>
      </c>
    </row>
    <row r="55" spans="46:52" x14ac:dyDescent="0.25">
      <c r="AT55" t="s">
        <v>865</v>
      </c>
      <c r="AU55" t="s">
        <v>635</v>
      </c>
      <c r="AV55" t="s">
        <v>793</v>
      </c>
      <c r="AW55" t="s">
        <v>622</v>
      </c>
      <c r="AX55">
        <v>106.5627427742356</v>
      </c>
      <c r="AY55">
        <v>241.2662590853345</v>
      </c>
      <c r="AZ55">
        <v>18</v>
      </c>
    </row>
    <row r="56" spans="46:52" x14ac:dyDescent="0.25">
      <c r="AT56" t="s">
        <v>866</v>
      </c>
      <c r="AU56" t="s">
        <v>635</v>
      </c>
      <c r="AV56" t="s">
        <v>793</v>
      </c>
      <c r="AW56" t="s">
        <v>748</v>
      </c>
      <c r="AX56">
        <v>0.45834481884057959</v>
      </c>
      <c r="AY56">
        <v>1.1328443071469121</v>
      </c>
      <c r="AZ56">
        <v>32</v>
      </c>
    </row>
    <row r="57" spans="46:52" x14ac:dyDescent="0.25">
      <c r="AT57" t="s">
        <v>867</v>
      </c>
      <c r="AU57" t="s">
        <v>635</v>
      </c>
      <c r="AV57" t="s">
        <v>793</v>
      </c>
      <c r="AW57" t="s">
        <v>624</v>
      </c>
      <c r="AX57">
        <v>1.5929824561403509</v>
      </c>
      <c r="AY57">
        <v>3.9960070568548951</v>
      </c>
      <c r="AZ57">
        <v>23</v>
      </c>
    </row>
    <row r="58" spans="46:52" x14ac:dyDescent="0.25">
      <c r="AT58" t="s">
        <v>868</v>
      </c>
      <c r="AU58" t="s">
        <v>635</v>
      </c>
      <c r="AV58" t="s">
        <v>793</v>
      </c>
      <c r="AW58" t="s">
        <v>749</v>
      </c>
      <c r="AX58">
        <v>0.16191076541575261</v>
      </c>
      <c r="AY58">
        <v>10.95676142080208</v>
      </c>
      <c r="AZ58">
        <v>9</v>
      </c>
    </row>
    <row r="59" spans="46:52" x14ac:dyDescent="0.25">
      <c r="AT59" t="s">
        <v>869</v>
      </c>
      <c r="AU59" t="s">
        <v>635</v>
      </c>
      <c r="AV59" t="s">
        <v>793</v>
      </c>
      <c r="AW59" t="s">
        <v>750</v>
      </c>
      <c r="AX59">
        <v>3575.547866205306</v>
      </c>
      <c r="AY59">
        <v>19681.402824600551</v>
      </c>
      <c r="AZ59">
        <v>21</v>
      </c>
    </row>
    <row r="60" spans="46:52" x14ac:dyDescent="0.25">
      <c r="AT60" t="s">
        <v>870</v>
      </c>
      <c r="AU60" t="s">
        <v>635</v>
      </c>
      <c r="AV60" t="s">
        <v>793</v>
      </c>
      <c r="AW60" t="s">
        <v>751</v>
      </c>
      <c r="AX60">
        <v>294.75536755676262</v>
      </c>
      <c r="AY60">
        <v>10205.221897502701</v>
      </c>
      <c r="AZ60">
        <v>30</v>
      </c>
    </row>
    <row r="61" spans="46:52" x14ac:dyDescent="0.25">
      <c r="AT61" t="s">
        <v>871</v>
      </c>
      <c r="AU61" t="s">
        <v>635</v>
      </c>
      <c r="AV61" t="s">
        <v>793</v>
      </c>
      <c r="AW61" t="s">
        <v>34</v>
      </c>
      <c r="AX61">
        <v>1.44639131467031</v>
      </c>
      <c r="AY61">
        <v>2.0705874549481091</v>
      </c>
      <c r="AZ61">
        <v>18</v>
      </c>
    </row>
    <row r="62" spans="46:52" x14ac:dyDescent="0.25">
      <c r="AT62" t="s">
        <v>872</v>
      </c>
      <c r="AU62" t="s">
        <v>639</v>
      </c>
      <c r="AV62" t="s">
        <v>640</v>
      </c>
      <c r="AW62" t="s">
        <v>622</v>
      </c>
      <c r="AX62">
        <v>99.714285714285708</v>
      </c>
      <c r="AY62">
        <v>237.72336056405129</v>
      </c>
      <c r="AZ62">
        <v>17</v>
      </c>
    </row>
    <row r="63" spans="46:52" x14ac:dyDescent="0.25">
      <c r="AT63" t="s">
        <v>873</v>
      </c>
      <c r="AU63" t="s">
        <v>639</v>
      </c>
      <c r="AV63" t="s">
        <v>640</v>
      </c>
      <c r="AW63" t="s">
        <v>748</v>
      </c>
      <c r="AX63">
        <v>0.52716666666666656</v>
      </c>
      <c r="AY63">
        <v>2.2824123212715679</v>
      </c>
      <c r="AZ63">
        <v>25</v>
      </c>
    </row>
    <row r="64" spans="46:52" x14ac:dyDescent="0.25">
      <c r="AT64" t="s">
        <v>874</v>
      </c>
      <c r="AU64" t="s">
        <v>639</v>
      </c>
      <c r="AV64" t="s">
        <v>640</v>
      </c>
      <c r="AW64" t="s">
        <v>624</v>
      </c>
      <c r="AX64">
        <v>1.6212635665019151</v>
      </c>
      <c r="AY64">
        <v>3.2665159173315659</v>
      </c>
      <c r="AZ64">
        <v>19</v>
      </c>
    </row>
    <row r="65" spans="46:52" x14ac:dyDescent="0.25">
      <c r="AT65" t="s">
        <v>875</v>
      </c>
      <c r="AU65" t="s">
        <v>639</v>
      </c>
      <c r="AV65" t="s">
        <v>640</v>
      </c>
      <c r="AW65" t="s">
        <v>749</v>
      </c>
      <c r="AX65">
        <v>0.15241991711229949</v>
      </c>
      <c r="AY65">
        <v>0.47489419801236687</v>
      </c>
      <c r="AZ65">
        <v>8</v>
      </c>
    </row>
    <row r="66" spans="46:52" x14ac:dyDescent="0.25">
      <c r="AT66" t="s">
        <v>876</v>
      </c>
      <c r="AU66" t="s">
        <v>639</v>
      </c>
      <c r="AV66" t="s">
        <v>640</v>
      </c>
      <c r="AW66" t="s">
        <v>750</v>
      </c>
      <c r="AX66">
        <v>1621.569883295668</v>
      </c>
      <c r="AY66">
        <v>17836.535991865541</v>
      </c>
      <c r="AZ66">
        <v>18</v>
      </c>
    </row>
    <row r="67" spans="46:52" x14ac:dyDescent="0.25">
      <c r="AT67" t="s">
        <v>877</v>
      </c>
      <c r="AU67" t="s">
        <v>639</v>
      </c>
      <c r="AV67" t="s">
        <v>640</v>
      </c>
      <c r="AW67" t="s">
        <v>751</v>
      </c>
      <c r="AX67">
        <v>374.8675739548529</v>
      </c>
      <c r="AY67">
        <v>12455.526186735249</v>
      </c>
      <c r="AZ67">
        <v>25</v>
      </c>
    </row>
    <row r="68" spans="46:52" x14ac:dyDescent="0.25">
      <c r="AT68" t="s">
        <v>878</v>
      </c>
      <c r="AU68" t="s">
        <v>639</v>
      </c>
      <c r="AV68" t="s">
        <v>640</v>
      </c>
      <c r="AW68" t="s">
        <v>34</v>
      </c>
      <c r="AX68">
        <v>1.4070683436263329</v>
      </c>
      <c r="AY68">
        <v>1.4658972806399651</v>
      </c>
      <c r="AZ68">
        <v>17</v>
      </c>
    </row>
    <row r="69" spans="46:52" x14ac:dyDescent="0.25">
      <c r="AT69" t="s">
        <v>879</v>
      </c>
      <c r="AU69" t="s">
        <v>639</v>
      </c>
      <c r="AV69" t="s">
        <v>641</v>
      </c>
      <c r="AW69" t="s">
        <v>622</v>
      </c>
      <c r="AX69">
        <v>208.85773458658599</v>
      </c>
      <c r="AY69">
        <v>642.27111340971612</v>
      </c>
      <c r="AZ69">
        <v>11</v>
      </c>
    </row>
    <row r="70" spans="46:52" x14ac:dyDescent="0.25">
      <c r="AT70" t="s">
        <v>880</v>
      </c>
      <c r="AU70" t="s">
        <v>639</v>
      </c>
      <c r="AV70" t="s">
        <v>641</v>
      </c>
      <c r="AW70" t="s">
        <v>748</v>
      </c>
      <c r="AX70">
        <v>0.63454953789473678</v>
      </c>
      <c r="AY70">
        <v>0.93699276749894211</v>
      </c>
      <c r="AZ70">
        <v>14</v>
      </c>
    </row>
    <row r="71" spans="46:52" x14ac:dyDescent="0.25">
      <c r="AT71" t="s">
        <v>881</v>
      </c>
      <c r="AU71" t="s">
        <v>639</v>
      </c>
      <c r="AV71" t="s">
        <v>641</v>
      </c>
      <c r="AW71" t="s">
        <v>624</v>
      </c>
      <c r="AX71">
        <v>1.6633744680701761</v>
      </c>
      <c r="AY71">
        <v>3.6934415507973459</v>
      </c>
      <c r="AZ71">
        <v>14</v>
      </c>
    </row>
    <row r="72" spans="46:52" x14ac:dyDescent="0.25">
      <c r="AT72" t="s">
        <v>882</v>
      </c>
      <c r="AU72" t="s">
        <v>639</v>
      </c>
      <c r="AV72" t="s">
        <v>641</v>
      </c>
      <c r="AW72" t="s">
        <v>749</v>
      </c>
      <c r="AX72">
        <v>0.16191076541575261</v>
      </c>
      <c r="AY72">
        <v>5.2560719032044254</v>
      </c>
      <c r="AZ72">
        <v>3</v>
      </c>
    </row>
    <row r="73" spans="46:52" x14ac:dyDescent="0.25">
      <c r="AT73" t="s">
        <v>883</v>
      </c>
      <c r="AU73" t="s">
        <v>639</v>
      </c>
      <c r="AV73" t="s">
        <v>641</v>
      </c>
      <c r="AW73" t="s">
        <v>750</v>
      </c>
      <c r="AX73">
        <v>9620.9987560570407</v>
      </c>
      <c r="AY73">
        <v>11670.47576052725</v>
      </c>
      <c r="AZ73">
        <v>9</v>
      </c>
    </row>
    <row r="74" spans="46:52" x14ac:dyDescent="0.25">
      <c r="AT74" t="s">
        <v>884</v>
      </c>
      <c r="AU74" t="s">
        <v>639</v>
      </c>
      <c r="AV74" t="s">
        <v>641</v>
      </c>
      <c r="AW74" t="s">
        <v>751</v>
      </c>
      <c r="AX74">
        <v>150.23084100410901</v>
      </c>
      <c r="AY74">
        <v>719.79677459738843</v>
      </c>
      <c r="AZ74">
        <v>14</v>
      </c>
    </row>
    <row r="75" spans="46:52" x14ac:dyDescent="0.25">
      <c r="AT75" t="s">
        <v>885</v>
      </c>
      <c r="AU75" t="s">
        <v>639</v>
      </c>
      <c r="AV75" t="s">
        <v>641</v>
      </c>
      <c r="AW75" t="s">
        <v>34</v>
      </c>
      <c r="AX75">
        <v>2.62</v>
      </c>
      <c r="AY75">
        <v>3.0643351754690258</v>
      </c>
      <c r="AZ75">
        <v>11</v>
      </c>
    </row>
    <row r="76" spans="46:52" x14ac:dyDescent="0.25">
      <c r="AT76" t="s">
        <v>886</v>
      </c>
      <c r="AU76" t="s">
        <v>639</v>
      </c>
      <c r="AV76" t="s">
        <v>642</v>
      </c>
      <c r="AW76" t="s">
        <v>622</v>
      </c>
      <c r="AX76">
        <v>132.465622476475</v>
      </c>
      <c r="AY76">
        <v>617.9156337524571</v>
      </c>
      <c r="AZ76">
        <v>7</v>
      </c>
    </row>
    <row r="77" spans="46:52" x14ac:dyDescent="0.25">
      <c r="AT77" t="s">
        <v>887</v>
      </c>
      <c r="AU77" t="s">
        <v>639</v>
      </c>
      <c r="AV77" t="s">
        <v>642</v>
      </c>
      <c r="AW77" t="s">
        <v>748</v>
      </c>
      <c r="AX77">
        <v>0.66073628791450578</v>
      </c>
      <c r="AY77">
        <v>1.3305263890182</v>
      </c>
      <c r="AZ77">
        <v>12</v>
      </c>
    </row>
    <row r="78" spans="46:52" x14ac:dyDescent="0.25">
      <c r="AT78" t="s">
        <v>888</v>
      </c>
      <c r="AU78" t="s">
        <v>639</v>
      </c>
      <c r="AV78" t="s">
        <v>642</v>
      </c>
      <c r="AW78" t="s">
        <v>624</v>
      </c>
      <c r="AX78">
        <v>1.8421711999999999</v>
      </c>
      <c r="AY78">
        <v>3.1379696560089609</v>
      </c>
      <c r="AZ78">
        <v>6</v>
      </c>
    </row>
    <row r="79" spans="46:52" x14ac:dyDescent="0.25">
      <c r="AT79" t="s">
        <v>889</v>
      </c>
      <c r="AU79" t="s">
        <v>639</v>
      </c>
      <c r="AV79" t="s">
        <v>642</v>
      </c>
      <c r="AW79" t="s">
        <v>749</v>
      </c>
      <c r="AX79">
        <v>79.736000000000004</v>
      </c>
      <c r="AY79">
        <v>79.736000000000004</v>
      </c>
      <c r="AZ79">
        <v>1</v>
      </c>
    </row>
    <row r="80" spans="46:52" x14ac:dyDescent="0.25">
      <c r="AT80" t="s">
        <v>890</v>
      </c>
      <c r="AU80" t="s">
        <v>639</v>
      </c>
      <c r="AV80" t="s">
        <v>642</v>
      </c>
      <c r="AW80" t="s">
        <v>750</v>
      </c>
      <c r="AX80">
        <v>4071.6111662613162</v>
      </c>
      <c r="AY80">
        <v>6116.1763106009612</v>
      </c>
      <c r="AZ80">
        <v>8</v>
      </c>
    </row>
    <row r="81" spans="46:52" x14ac:dyDescent="0.25">
      <c r="AT81" t="s">
        <v>891</v>
      </c>
      <c r="AU81" t="s">
        <v>639</v>
      </c>
      <c r="AV81" t="s">
        <v>642</v>
      </c>
      <c r="AW81" t="s">
        <v>751</v>
      </c>
      <c r="AX81">
        <v>1180</v>
      </c>
      <c r="AY81">
        <v>2027.359961257717</v>
      </c>
      <c r="AZ81">
        <v>13</v>
      </c>
    </row>
    <row r="82" spans="46:52" x14ac:dyDescent="0.25">
      <c r="AT82" t="s">
        <v>892</v>
      </c>
      <c r="AU82" t="s">
        <v>639</v>
      </c>
      <c r="AV82" t="s">
        <v>642</v>
      </c>
      <c r="AW82" t="s">
        <v>34</v>
      </c>
      <c r="AX82">
        <v>0.68749658065290509</v>
      </c>
      <c r="AY82">
        <v>0.84109702860518143</v>
      </c>
      <c r="AZ82">
        <v>7</v>
      </c>
    </row>
    <row r="83" spans="46:52" x14ac:dyDescent="0.25">
      <c r="AT83" t="s">
        <v>893</v>
      </c>
      <c r="AU83" t="s">
        <v>643</v>
      </c>
      <c r="AV83" t="s">
        <v>586</v>
      </c>
      <c r="AW83" t="s">
        <v>622</v>
      </c>
      <c r="AX83">
        <v>154.2860101504358</v>
      </c>
      <c r="AY83">
        <v>262.10535303892959</v>
      </c>
      <c r="AZ83">
        <v>10</v>
      </c>
    </row>
    <row r="84" spans="46:52" x14ac:dyDescent="0.25">
      <c r="AT84" t="s">
        <v>894</v>
      </c>
      <c r="AU84" t="s">
        <v>643</v>
      </c>
      <c r="AV84" t="s">
        <v>586</v>
      </c>
      <c r="AW84" t="s">
        <v>748</v>
      </c>
      <c r="AX84">
        <v>0.38952297101449268</v>
      </c>
      <c r="AY84">
        <v>1.016781922522179</v>
      </c>
      <c r="AZ84">
        <v>17</v>
      </c>
    </row>
    <row r="85" spans="46:52" x14ac:dyDescent="0.25">
      <c r="AT85" t="s">
        <v>895</v>
      </c>
      <c r="AU85" t="s">
        <v>643</v>
      </c>
      <c r="AV85" t="s">
        <v>586</v>
      </c>
      <c r="AW85" t="s">
        <v>624</v>
      </c>
      <c r="AX85">
        <v>0.97194929687291443</v>
      </c>
      <c r="AY85">
        <v>2.5706667478609999</v>
      </c>
      <c r="AZ85">
        <v>14</v>
      </c>
    </row>
    <row r="86" spans="46:52" x14ac:dyDescent="0.25">
      <c r="AT86" t="s">
        <v>896</v>
      </c>
      <c r="AU86" t="s">
        <v>643</v>
      </c>
      <c r="AV86" t="s">
        <v>586</v>
      </c>
      <c r="AW86" t="s">
        <v>749</v>
      </c>
      <c r="AX86">
        <v>0.1020856399325613</v>
      </c>
      <c r="AY86">
        <v>0.13440879336257161</v>
      </c>
      <c r="AZ86">
        <v>6</v>
      </c>
    </row>
    <row r="87" spans="46:52" x14ac:dyDescent="0.25">
      <c r="AT87" t="s">
        <v>897</v>
      </c>
      <c r="AU87" t="s">
        <v>643</v>
      </c>
      <c r="AV87" t="s">
        <v>586</v>
      </c>
      <c r="AW87" t="s">
        <v>750</v>
      </c>
      <c r="AX87">
        <v>4467.7169354234047</v>
      </c>
      <c r="AY87">
        <v>26220.066152786789</v>
      </c>
      <c r="AZ87">
        <v>12</v>
      </c>
    </row>
    <row r="88" spans="46:52" x14ac:dyDescent="0.25">
      <c r="AT88" t="s">
        <v>898</v>
      </c>
      <c r="AU88" t="s">
        <v>643</v>
      </c>
      <c r="AV88" t="s">
        <v>586</v>
      </c>
      <c r="AW88" t="s">
        <v>751</v>
      </c>
      <c r="AX88">
        <v>490.12384532176861</v>
      </c>
      <c r="AY88">
        <v>2919.7159148680212</v>
      </c>
      <c r="AZ88">
        <v>14</v>
      </c>
    </row>
    <row r="89" spans="46:52" x14ac:dyDescent="0.25">
      <c r="AT89" t="s">
        <v>899</v>
      </c>
      <c r="AU89" t="s">
        <v>643</v>
      </c>
      <c r="AV89" t="s">
        <v>586</v>
      </c>
      <c r="AW89" t="s">
        <v>34</v>
      </c>
      <c r="AX89">
        <v>0.94842988995405553</v>
      </c>
      <c r="AY89">
        <v>1.128510027440262</v>
      </c>
      <c r="AZ89">
        <v>10</v>
      </c>
    </row>
    <row r="90" spans="46:52" x14ac:dyDescent="0.25">
      <c r="AT90" t="s">
        <v>900</v>
      </c>
      <c r="AU90" t="s">
        <v>643</v>
      </c>
      <c r="AV90" t="s">
        <v>583</v>
      </c>
      <c r="AW90" t="s">
        <v>622</v>
      </c>
      <c r="AX90">
        <v>160.33206123823749</v>
      </c>
      <c r="AY90">
        <v>590.20563081809246</v>
      </c>
      <c r="AZ90">
        <v>16</v>
      </c>
    </row>
    <row r="91" spans="46:52" x14ac:dyDescent="0.25">
      <c r="AT91" t="s">
        <v>901</v>
      </c>
      <c r="AU91" t="s">
        <v>643</v>
      </c>
      <c r="AV91" t="s">
        <v>583</v>
      </c>
      <c r="AW91" t="s">
        <v>748</v>
      </c>
      <c r="AX91">
        <v>0.54384649122807005</v>
      </c>
      <c r="AY91">
        <v>2.4343154230954092</v>
      </c>
      <c r="AZ91">
        <v>20</v>
      </c>
    </row>
    <row r="92" spans="46:52" x14ac:dyDescent="0.25">
      <c r="AT92" t="s">
        <v>902</v>
      </c>
      <c r="AU92" t="s">
        <v>643</v>
      </c>
      <c r="AV92" t="s">
        <v>583</v>
      </c>
      <c r="AW92" t="s">
        <v>624</v>
      </c>
      <c r="AX92">
        <v>1.968604397365141</v>
      </c>
      <c r="AY92">
        <v>4.8308037279742528</v>
      </c>
      <c r="AZ92">
        <v>18</v>
      </c>
    </row>
    <row r="93" spans="46:52" x14ac:dyDescent="0.25">
      <c r="AT93" t="s">
        <v>903</v>
      </c>
      <c r="AU93" t="s">
        <v>643</v>
      </c>
      <c r="AV93" t="s">
        <v>583</v>
      </c>
      <c r="AW93" t="s">
        <v>749</v>
      </c>
      <c r="AX93">
        <v>1.480394245171625</v>
      </c>
      <c r="AY93">
        <v>4.649751442030257</v>
      </c>
      <c r="AZ93">
        <v>4</v>
      </c>
    </row>
    <row r="94" spans="46:52" x14ac:dyDescent="0.25">
      <c r="AT94" t="s">
        <v>904</v>
      </c>
      <c r="AU94" t="s">
        <v>643</v>
      </c>
      <c r="AV94" t="s">
        <v>583</v>
      </c>
      <c r="AW94" t="s">
        <v>750</v>
      </c>
      <c r="AX94">
        <v>969.29340759317404</v>
      </c>
      <c r="AY94">
        <v>1517.6784060459061</v>
      </c>
      <c r="AZ94">
        <v>12</v>
      </c>
    </row>
    <row r="95" spans="46:52" x14ac:dyDescent="0.25">
      <c r="AT95" t="s">
        <v>905</v>
      </c>
      <c r="AU95" t="s">
        <v>643</v>
      </c>
      <c r="AV95" t="s">
        <v>583</v>
      </c>
      <c r="AW95" t="s">
        <v>751</v>
      </c>
      <c r="AX95">
        <v>160.01600160016</v>
      </c>
      <c r="AY95">
        <v>10289.416167329069</v>
      </c>
      <c r="AZ95">
        <v>27</v>
      </c>
    </row>
    <row r="96" spans="46:52" x14ac:dyDescent="0.25">
      <c r="AT96" t="s">
        <v>906</v>
      </c>
      <c r="AU96" t="s">
        <v>643</v>
      </c>
      <c r="AV96" t="s">
        <v>583</v>
      </c>
      <c r="AW96" t="s">
        <v>34</v>
      </c>
      <c r="AX96">
        <v>1.8979752596569031</v>
      </c>
      <c r="AY96">
        <v>2.3294691112749351</v>
      </c>
      <c r="AZ96">
        <v>16</v>
      </c>
    </row>
    <row r="97" spans="46:52" x14ac:dyDescent="0.25">
      <c r="AT97" t="s">
        <v>907</v>
      </c>
      <c r="AU97" t="s">
        <v>643</v>
      </c>
      <c r="AV97" t="s">
        <v>589</v>
      </c>
      <c r="AW97" t="s">
        <v>622</v>
      </c>
      <c r="AX97">
        <v>245.63550961679579</v>
      </c>
      <c r="AY97">
        <v>465.84161446329762</v>
      </c>
      <c r="AZ97">
        <v>6</v>
      </c>
    </row>
    <row r="98" spans="46:52" x14ac:dyDescent="0.25">
      <c r="AT98" t="s">
        <v>908</v>
      </c>
      <c r="AU98" t="s">
        <v>643</v>
      </c>
      <c r="AV98" t="s">
        <v>589</v>
      </c>
      <c r="AW98" t="s">
        <v>748</v>
      </c>
      <c r="AX98">
        <v>1.1559999999999999</v>
      </c>
      <c r="AY98">
        <v>0.98581374554368528</v>
      </c>
      <c r="AZ98">
        <v>9</v>
      </c>
    </row>
    <row r="99" spans="46:52" x14ac:dyDescent="0.25">
      <c r="AT99" t="s">
        <v>909</v>
      </c>
      <c r="AU99" t="s">
        <v>643</v>
      </c>
      <c r="AV99" t="s">
        <v>589</v>
      </c>
      <c r="AW99" t="s">
        <v>624</v>
      </c>
      <c r="AX99">
        <v>0.94353962105263167</v>
      </c>
      <c r="AY99">
        <v>1.069334894073467</v>
      </c>
      <c r="AZ99">
        <v>6</v>
      </c>
    </row>
    <row r="100" spans="46:52" x14ac:dyDescent="0.25">
      <c r="AT100" t="s">
        <v>910</v>
      </c>
      <c r="AU100" t="s">
        <v>643</v>
      </c>
      <c r="AV100" t="s">
        <v>589</v>
      </c>
      <c r="AW100" t="s">
        <v>749</v>
      </c>
      <c r="AX100">
        <v>39.948955382707879</v>
      </c>
      <c r="AY100">
        <v>39.948955382707879</v>
      </c>
      <c r="AZ100">
        <v>2</v>
      </c>
    </row>
    <row r="101" spans="46:52" x14ac:dyDescent="0.25">
      <c r="AT101" t="s">
        <v>911</v>
      </c>
      <c r="AU101" t="s">
        <v>643</v>
      </c>
      <c r="AV101" t="s">
        <v>589</v>
      </c>
      <c r="AW101" t="s">
        <v>750</v>
      </c>
      <c r="AX101">
        <v>5391.2481766012643</v>
      </c>
      <c r="AY101">
        <v>13549.902943151361</v>
      </c>
      <c r="AZ101">
        <v>8</v>
      </c>
    </row>
    <row r="102" spans="46:52" x14ac:dyDescent="0.25">
      <c r="AT102" t="s">
        <v>912</v>
      </c>
      <c r="AU102" t="s">
        <v>643</v>
      </c>
      <c r="AV102" t="s">
        <v>589</v>
      </c>
      <c r="AW102" t="s">
        <v>751</v>
      </c>
      <c r="AX102">
        <v>538.46153846153845</v>
      </c>
      <c r="AY102">
        <v>2288.390434238152</v>
      </c>
      <c r="AZ102">
        <v>7</v>
      </c>
    </row>
    <row r="103" spans="46:52" x14ac:dyDescent="0.25">
      <c r="AT103" t="s">
        <v>913</v>
      </c>
      <c r="AU103" t="s">
        <v>643</v>
      </c>
      <c r="AV103" t="s">
        <v>589</v>
      </c>
      <c r="AW103" t="s">
        <v>34</v>
      </c>
      <c r="AX103">
        <v>1.144973544973545</v>
      </c>
      <c r="AY103">
        <v>2.0828956015010931</v>
      </c>
      <c r="AZ103">
        <v>6</v>
      </c>
    </row>
    <row r="104" spans="46:52" x14ac:dyDescent="0.25">
      <c r="AT104" t="s">
        <v>914</v>
      </c>
      <c r="AU104" t="s">
        <v>643</v>
      </c>
      <c r="AV104" t="s">
        <v>597</v>
      </c>
      <c r="AW104" t="s">
        <v>622</v>
      </c>
      <c r="AX104">
        <v>66.396676493153763</v>
      </c>
      <c r="AY104">
        <v>190.76516770146191</v>
      </c>
      <c r="AZ104">
        <v>3</v>
      </c>
    </row>
    <row r="105" spans="46:52" x14ac:dyDescent="0.25">
      <c r="AT105" t="s">
        <v>915</v>
      </c>
      <c r="AU105" t="s">
        <v>643</v>
      </c>
      <c r="AV105" t="s">
        <v>597</v>
      </c>
      <c r="AW105" t="s">
        <v>748</v>
      </c>
      <c r="AX105">
        <v>0.48221049077583339</v>
      </c>
      <c r="AY105">
        <v>2.2601197180628771</v>
      </c>
      <c r="AZ105">
        <v>5</v>
      </c>
    </row>
    <row r="106" spans="46:52" x14ac:dyDescent="0.25">
      <c r="AT106" t="s">
        <v>916</v>
      </c>
      <c r="AU106" t="s">
        <v>643</v>
      </c>
      <c r="AV106" t="s">
        <v>597</v>
      </c>
      <c r="AW106" t="s">
        <v>624</v>
      </c>
      <c r="AX106">
        <v>3.2399911384850131</v>
      </c>
      <c r="AY106">
        <v>3.2399911384850131</v>
      </c>
      <c r="AZ106">
        <v>1</v>
      </c>
    </row>
    <row r="107" spans="46:52" x14ac:dyDescent="0.25">
      <c r="AT107" t="s">
        <v>917</v>
      </c>
      <c r="AU107" t="s">
        <v>643</v>
      </c>
      <c r="AV107" t="s">
        <v>597</v>
      </c>
      <c r="AW107" t="s">
        <v>749</v>
      </c>
      <c r="AX107" t="s">
        <v>416</v>
      </c>
      <c r="AY107" t="s">
        <v>416</v>
      </c>
      <c r="AZ107">
        <v>0</v>
      </c>
    </row>
    <row r="108" spans="46:52" x14ac:dyDescent="0.25">
      <c r="AT108" t="s">
        <v>918</v>
      </c>
      <c r="AU108" t="s">
        <v>643</v>
      </c>
      <c r="AV108" t="s">
        <v>597</v>
      </c>
      <c r="AW108" t="s">
        <v>750</v>
      </c>
      <c r="AX108">
        <v>9620.9987560570407</v>
      </c>
      <c r="AY108">
        <v>11256.39397730977</v>
      </c>
      <c r="AZ108">
        <v>3</v>
      </c>
    </row>
    <row r="109" spans="46:52" x14ac:dyDescent="0.25">
      <c r="AT109" t="s">
        <v>919</v>
      </c>
      <c r="AU109" t="s">
        <v>643</v>
      </c>
      <c r="AV109" t="s">
        <v>597</v>
      </c>
      <c r="AW109" t="s">
        <v>751</v>
      </c>
      <c r="AX109">
        <v>3436.6179181621251</v>
      </c>
      <c r="AY109">
        <v>3277.9991608476789</v>
      </c>
      <c r="AZ109">
        <v>4</v>
      </c>
    </row>
    <row r="110" spans="46:52" x14ac:dyDescent="0.25">
      <c r="AT110" t="s">
        <v>920</v>
      </c>
      <c r="AU110" t="s">
        <v>643</v>
      </c>
      <c r="AV110" t="s">
        <v>597</v>
      </c>
      <c r="AW110" t="s">
        <v>34</v>
      </c>
      <c r="AX110">
        <v>0.97210451516634055</v>
      </c>
      <c r="AY110">
        <v>1.153880079155607</v>
      </c>
      <c r="AZ110">
        <v>3</v>
      </c>
    </row>
    <row r="111" spans="46:52" x14ac:dyDescent="0.25">
      <c r="AT111" t="s">
        <v>921</v>
      </c>
      <c r="AU111" t="s">
        <v>644</v>
      </c>
      <c r="AV111" t="s">
        <v>645</v>
      </c>
      <c r="AW111" t="s">
        <v>622</v>
      </c>
      <c r="AX111">
        <v>160.33206123823749</v>
      </c>
      <c r="AY111">
        <v>528.17168031122719</v>
      </c>
      <c r="AZ111">
        <v>24</v>
      </c>
    </row>
    <row r="112" spans="46:52" x14ac:dyDescent="0.25">
      <c r="AT112" t="s">
        <v>922</v>
      </c>
      <c r="AU112" t="s">
        <v>644</v>
      </c>
      <c r="AV112" t="s">
        <v>645</v>
      </c>
      <c r="AW112" t="s">
        <v>748</v>
      </c>
      <c r="AX112">
        <v>0.63454953789473678</v>
      </c>
      <c r="AY112">
        <v>2.0006814283719558</v>
      </c>
      <c r="AZ112">
        <v>38</v>
      </c>
    </row>
    <row r="113" spans="46:52" x14ac:dyDescent="0.25">
      <c r="AT113" t="s">
        <v>923</v>
      </c>
      <c r="AU113" t="s">
        <v>644</v>
      </c>
      <c r="AV113" t="s">
        <v>645</v>
      </c>
      <c r="AW113" t="s">
        <v>624</v>
      </c>
      <c r="AX113">
        <v>1.91583937848875</v>
      </c>
      <c r="AY113">
        <v>3.976047679478337</v>
      </c>
      <c r="AZ113">
        <v>31</v>
      </c>
    </row>
    <row r="114" spans="46:52" x14ac:dyDescent="0.25">
      <c r="AT114" t="s">
        <v>924</v>
      </c>
      <c r="AU114" t="s">
        <v>644</v>
      </c>
      <c r="AV114" t="s">
        <v>645</v>
      </c>
      <c r="AW114" t="s">
        <v>749</v>
      </c>
      <c r="AX114">
        <v>0.34741362139326759</v>
      </c>
      <c r="AY114">
        <v>11.01302862839716</v>
      </c>
      <c r="AZ114">
        <v>9</v>
      </c>
    </row>
    <row r="115" spans="46:52" x14ac:dyDescent="0.25">
      <c r="AT115" t="s">
        <v>925</v>
      </c>
      <c r="AU115" t="s">
        <v>644</v>
      </c>
      <c r="AV115" t="s">
        <v>645</v>
      </c>
      <c r="AW115" t="s">
        <v>750</v>
      </c>
      <c r="AX115">
        <v>3167.2134274270461</v>
      </c>
      <c r="AY115">
        <v>7091.9750054174456</v>
      </c>
      <c r="AZ115">
        <v>26</v>
      </c>
    </row>
    <row r="116" spans="46:52" x14ac:dyDescent="0.25">
      <c r="AT116" t="s">
        <v>926</v>
      </c>
      <c r="AU116" t="s">
        <v>644</v>
      </c>
      <c r="AV116" t="s">
        <v>645</v>
      </c>
      <c r="AW116" t="s">
        <v>751</v>
      </c>
      <c r="AX116">
        <v>344.18490824968802</v>
      </c>
      <c r="AY116">
        <v>7288.7958633593307</v>
      </c>
      <c r="AZ116">
        <v>42</v>
      </c>
    </row>
    <row r="117" spans="46:52" x14ac:dyDescent="0.25">
      <c r="AT117" t="s">
        <v>927</v>
      </c>
      <c r="AU117" t="s">
        <v>644</v>
      </c>
      <c r="AV117" t="s">
        <v>645</v>
      </c>
      <c r="AW117" t="s">
        <v>34</v>
      </c>
      <c r="AX117">
        <v>1.505569007263923</v>
      </c>
      <c r="AY117">
        <v>2.102644334589769</v>
      </c>
      <c r="AZ117">
        <v>24</v>
      </c>
    </row>
    <row r="118" spans="46:52" x14ac:dyDescent="0.25">
      <c r="AT118" t="s">
        <v>928</v>
      </c>
      <c r="AU118" t="s">
        <v>644</v>
      </c>
      <c r="AV118" t="s">
        <v>42</v>
      </c>
      <c r="AW118" t="s">
        <v>622</v>
      </c>
      <c r="AX118">
        <v>99.714285714285708</v>
      </c>
      <c r="AY118">
        <v>244.08588697656779</v>
      </c>
      <c r="AZ118">
        <v>9</v>
      </c>
    </row>
    <row r="119" spans="46:52" x14ac:dyDescent="0.25">
      <c r="AT119" t="s">
        <v>929</v>
      </c>
      <c r="AU119" t="s">
        <v>644</v>
      </c>
      <c r="AV119" t="s">
        <v>42</v>
      </c>
      <c r="AW119" t="s">
        <v>748</v>
      </c>
      <c r="AX119">
        <v>0.25714285714285712</v>
      </c>
      <c r="AY119">
        <v>0.86641239301285711</v>
      </c>
      <c r="AZ119">
        <v>11</v>
      </c>
    </row>
    <row r="120" spans="46:52" x14ac:dyDescent="0.25">
      <c r="AT120" t="s">
        <v>930</v>
      </c>
      <c r="AU120" t="s">
        <v>644</v>
      </c>
      <c r="AV120" t="s">
        <v>42</v>
      </c>
      <c r="AW120" t="s">
        <v>624</v>
      </c>
      <c r="AX120">
        <v>0.82296650717703346</v>
      </c>
      <c r="AY120">
        <v>0.87176183917184447</v>
      </c>
      <c r="AZ120">
        <v>7</v>
      </c>
    </row>
    <row r="121" spans="46:52" x14ac:dyDescent="0.25">
      <c r="AT121" t="s">
        <v>931</v>
      </c>
      <c r="AU121" t="s">
        <v>644</v>
      </c>
      <c r="AV121" t="s">
        <v>42</v>
      </c>
      <c r="AW121" t="s">
        <v>749</v>
      </c>
      <c r="AX121">
        <v>9.0909090909090912E-2</v>
      </c>
      <c r="AY121">
        <v>6.2037212712606163E-2</v>
      </c>
      <c r="AZ121">
        <v>3</v>
      </c>
    </row>
    <row r="122" spans="46:52" x14ac:dyDescent="0.25">
      <c r="AT122" t="s">
        <v>932</v>
      </c>
      <c r="AU122" t="s">
        <v>644</v>
      </c>
      <c r="AV122" t="s">
        <v>42</v>
      </c>
      <c r="AW122" t="s">
        <v>750</v>
      </c>
      <c r="AX122">
        <v>3575.547866205306</v>
      </c>
      <c r="AY122">
        <v>40040.001693917467</v>
      </c>
      <c r="AZ122">
        <v>7</v>
      </c>
    </row>
    <row r="123" spans="46:52" x14ac:dyDescent="0.25">
      <c r="AT123" t="s">
        <v>933</v>
      </c>
      <c r="AU123" t="s">
        <v>644</v>
      </c>
      <c r="AV123" t="s">
        <v>42</v>
      </c>
      <c r="AW123" t="s">
        <v>751</v>
      </c>
      <c r="AX123">
        <v>574.28677287884398</v>
      </c>
      <c r="AY123">
        <v>4113.1365467220194</v>
      </c>
      <c r="AZ123">
        <v>9</v>
      </c>
    </row>
    <row r="124" spans="46:52" x14ac:dyDescent="0.25">
      <c r="AT124" t="s">
        <v>934</v>
      </c>
      <c r="AU124" t="s">
        <v>644</v>
      </c>
      <c r="AV124" t="s">
        <v>42</v>
      </c>
      <c r="AW124" t="s">
        <v>34</v>
      </c>
      <c r="AX124">
        <v>1.434350872483221</v>
      </c>
      <c r="AY124">
        <v>1.177889547530149</v>
      </c>
      <c r="AZ124">
        <v>9</v>
      </c>
    </row>
    <row r="125" spans="46:52" x14ac:dyDescent="0.25">
      <c r="AT125" t="s">
        <v>935</v>
      </c>
      <c r="AU125" t="s">
        <v>644</v>
      </c>
      <c r="AV125" t="s">
        <v>240</v>
      </c>
      <c r="AW125" t="s">
        <v>622</v>
      </c>
      <c r="AX125">
        <v>279.39775155219269</v>
      </c>
      <c r="AY125">
        <v>279.3977515521928</v>
      </c>
      <c r="AZ125">
        <v>2</v>
      </c>
    </row>
    <row r="126" spans="46:52" x14ac:dyDescent="0.25">
      <c r="AT126" t="s">
        <v>936</v>
      </c>
      <c r="AU126" t="s">
        <v>644</v>
      </c>
      <c r="AV126" t="s">
        <v>240</v>
      </c>
      <c r="AW126" t="s">
        <v>748</v>
      </c>
      <c r="AX126">
        <v>0.29404642185850488</v>
      </c>
      <c r="AY126" t="s">
        <v>416</v>
      </c>
      <c r="AZ126">
        <v>2</v>
      </c>
    </row>
    <row r="127" spans="46:52" x14ac:dyDescent="0.25">
      <c r="AT127" t="s">
        <v>937</v>
      </c>
      <c r="AU127" t="s">
        <v>644</v>
      </c>
      <c r="AV127" t="s">
        <v>240</v>
      </c>
      <c r="AW127" t="s">
        <v>624</v>
      </c>
      <c r="AX127">
        <v>3.2399911384850131</v>
      </c>
      <c r="AY127">
        <v>3.2399911384850131</v>
      </c>
      <c r="AZ127">
        <v>1</v>
      </c>
    </row>
    <row r="128" spans="46:52" x14ac:dyDescent="0.25">
      <c r="AT128" t="s">
        <v>938</v>
      </c>
      <c r="AU128" t="s">
        <v>644</v>
      </c>
      <c r="AV128" t="s">
        <v>240</v>
      </c>
      <c r="AW128" t="s">
        <v>749</v>
      </c>
      <c r="AX128" t="s">
        <v>416</v>
      </c>
      <c r="AY128" t="s">
        <v>416</v>
      </c>
      <c r="AZ128">
        <v>0</v>
      </c>
    </row>
    <row r="129" spans="46:52" x14ac:dyDescent="0.25">
      <c r="AT129" t="s">
        <v>939</v>
      </c>
      <c r="AU129" t="s">
        <v>644</v>
      </c>
      <c r="AV129" t="s">
        <v>240</v>
      </c>
      <c r="AW129" t="s">
        <v>750</v>
      </c>
      <c r="AX129">
        <v>5174.98909242836</v>
      </c>
      <c r="AY129">
        <v>5174.9890924283609</v>
      </c>
      <c r="AZ129">
        <v>2</v>
      </c>
    </row>
    <row r="130" spans="46:52" x14ac:dyDescent="0.25">
      <c r="AT130" t="s">
        <v>940</v>
      </c>
      <c r="AU130" t="s">
        <v>644</v>
      </c>
      <c r="AV130" t="s">
        <v>240</v>
      </c>
      <c r="AW130" t="s">
        <v>751</v>
      </c>
      <c r="AX130">
        <v>4673.3338275050437</v>
      </c>
      <c r="AY130">
        <v>4673.3338275050437</v>
      </c>
      <c r="AZ130">
        <v>1</v>
      </c>
    </row>
    <row r="131" spans="46:52" x14ac:dyDescent="0.25">
      <c r="AT131" t="s">
        <v>941</v>
      </c>
      <c r="AU131" t="s">
        <v>644</v>
      </c>
      <c r="AV131" t="s">
        <v>240</v>
      </c>
      <c r="AW131" t="s">
        <v>34</v>
      </c>
      <c r="AX131">
        <v>1.7255749716745861</v>
      </c>
      <c r="AY131">
        <v>1.7255749716745861</v>
      </c>
      <c r="AZ131">
        <v>2</v>
      </c>
    </row>
    <row r="132" spans="46:52" x14ac:dyDescent="0.25">
      <c r="AT132" t="s">
        <v>942</v>
      </c>
      <c r="AU132" t="s">
        <v>646</v>
      </c>
      <c r="AV132" t="s">
        <v>647</v>
      </c>
      <c r="AW132" t="s">
        <v>622</v>
      </c>
      <c r="AX132">
        <v>236.7130002505512</v>
      </c>
      <c r="AY132">
        <v>596.73348455321116</v>
      </c>
      <c r="AZ132">
        <v>16</v>
      </c>
    </row>
    <row r="133" spans="46:52" x14ac:dyDescent="0.25">
      <c r="AT133" t="s">
        <v>943</v>
      </c>
      <c r="AU133" t="s">
        <v>646</v>
      </c>
      <c r="AV133" t="s">
        <v>647</v>
      </c>
      <c r="AW133" t="s">
        <v>748</v>
      </c>
      <c r="AX133">
        <v>1.0392345122950819</v>
      </c>
      <c r="AY133">
        <v>2.6062321338680698</v>
      </c>
      <c r="AZ133">
        <v>28</v>
      </c>
    </row>
    <row r="134" spans="46:52" x14ac:dyDescent="0.25">
      <c r="AT134" t="s">
        <v>944</v>
      </c>
      <c r="AU134" t="s">
        <v>646</v>
      </c>
      <c r="AV134" t="s">
        <v>647</v>
      </c>
      <c r="AW134" t="s">
        <v>624</v>
      </c>
      <c r="AX134">
        <v>1.93865246449457</v>
      </c>
      <c r="AY134">
        <v>4.3746141868926038</v>
      </c>
      <c r="AZ134">
        <v>23</v>
      </c>
    </row>
    <row r="135" spans="46:52" x14ac:dyDescent="0.25">
      <c r="AT135" t="s">
        <v>945</v>
      </c>
      <c r="AU135" t="s">
        <v>646</v>
      </c>
      <c r="AV135" t="s">
        <v>647</v>
      </c>
      <c r="AW135" t="s">
        <v>749</v>
      </c>
      <c r="AX135">
        <v>0.14420347058823529</v>
      </c>
      <c r="AY135">
        <v>9.2557006112770051</v>
      </c>
      <c r="AZ135">
        <v>9</v>
      </c>
    </row>
    <row r="136" spans="46:52" x14ac:dyDescent="0.25">
      <c r="AT136" t="s">
        <v>946</v>
      </c>
      <c r="AU136" t="s">
        <v>646</v>
      </c>
      <c r="AV136" t="s">
        <v>647</v>
      </c>
      <c r="AW136" t="s">
        <v>750</v>
      </c>
      <c r="AX136">
        <v>2084.0421912215038</v>
      </c>
      <c r="AY136">
        <v>13881.18281546445</v>
      </c>
      <c r="AZ136">
        <v>31</v>
      </c>
    </row>
    <row r="137" spans="46:52" x14ac:dyDescent="0.25">
      <c r="AT137" t="s">
        <v>947</v>
      </c>
      <c r="AU137" t="s">
        <v>646</v>
      </c>
      <c r="AV137" t="s">
        <v>647</v>
      </c>
      <c r="AW137" t="s">
        <v>751</v>
      </c>
      <c r="AX137">
        <v>396.94538740123579</v>
      </c>
      <c r="AY137">
        <v>13372.144992476749</v>
      </c>
      <c r="AZ137">
        <v>24</v>
      </c>
    </row>
    <row r="138" spans="46:52" x14ac:dyDescent="0.25">
      <c r="AT138" t="s">
        <v>948</v>
      </c>
      <c r="AU138" t="s">
        <v>646</v>
      </c>
      <c r="AV138" t="s">
        <v>647</v>
      </c>
      <c r="AW138" t="s">
        <v>34</v>
      </c>
      <c r="AX138">
        <v>1.420709608054777</v>
      </c>
      <c r="AY138">
        <v>1.780430555521791</v>
      </c>
      <c r="AZ138">
        <v>16</v>
      </c>
    </row>
    <row r="139" spans="46:52" x14ac:dyDescent="0.25">
      <c r="AT139" t="s">
        <v>949</v>
      </c>
      <c r="AU139" t="s">
        <v>646</v>
      </c>
      <c r="AV139" t="s">
        <v>648</v>
      </c>
      <c r="AW139" t="s">
        <v>622</v>
      </c>
      <c r="AX139">
        <v>132.465622476475</v>
      </c>
      <c r="AY139">
        <v>440.90539466751278</v>
      </c>
      <c r="AZ139">
        <v>35</v>
      </c>
    </row>
    <row r="140" spans="46:52" x14ac:dyDescent="0.25">
      <c r="AT140" t="s">
        <v>950</v>
      </c>
      <c r="AU140" t="s">
        <v>646</v>
      </c>
      <c r="AV140" t="s">
        <v>648</v>
      </c>
      <c r="AW140" t="s">
        <v>748</v>
      </c>
      <c r="AX140">
        <v>0.70857276000000002</v>
      </c>
      <c r="AY140">
        <v>1.8564661362485719</v>
      </c>
      <c r="AZ140">
        <v>45</v>
      </c>
    </row>
    <row r="141" spans="46:52" x14ac:dyDescent="0.25">
      <c r="AT141" t="s">
        <v>951</v>
      </c>
      <c r="AU141" t="s">
        <v>646</v>
      </c>
      <c r="AV141" t="s">
        <v>648</v>
      </c>
      <c r="AW141" t="s">
        <v>624</v>
      </c>
      <c r="AX141">
        <v>1.7337664800000001</v>
      </c>
      <c r="AY141">
        <v>3.5531484797925361</v>
      </c>
      <c r="AZ141">
        <v>37</v>
      </c>
    </row>
    <row r="142" spans="46:52" x14ac:dyDescent="0.25">
      <c r="AT142" t="s">
        <v>952</v>
      </c>
      <c r="AU142" t="s">
        <v>646</v>
      </c>
      <c r="AV142" t="s">
        <v>648</v>
      </c>
      <c r="AW142" t="s">
        <v>749</v>
      </c>
      <c r="AX142">
        <v>0.16191076541575261</v>
      </c>
      <c r="AY142">
        <v>9.0193145638911929</v>
      </c>
      <c r="AZ142">
        <v>11</v>
      </c>
    </row>
    <row r="143" spans="46:52" x14ac:dyDescent="0.25">
      <c r="AT143" t="s">
        <v>953</v>
      </c>
      <c r="AU143" t="s">
        <v>646</v>
      </c>
      <c r="AV143" t="s">
        <v>648</v>
      </c>
      <c r="AW143" t="s">
        <v>750</v>
      </c>
      <c r="AX143">
        <v>2084.0421912215038</v>
      </c>
      <c r="AY143">
        <v>11746.33217285809</v>
      </c>
      <c r="AZ143">
        <v>31</v>
      </c>
    </row>
    <row r="144" spans="46:52" x14ac:dyDescent="0.25">
      <c r="AT144" t="s">
        <v>954</v>
      </c>
      <c r="AU144" t="s">
        <v>646</v>
      </c>
      <c r="AV144" t="s">
        <v>648</v>
      </c>
      <c r="AW144" t="s">
        <v>751</v>
      </c>
      <c r="AX144">
        <v>276.0084925690021</v>
      </c>
      <c r="AY144">
        <v>6994.5467331162508</v>
      </c>
      <c r="AZ144">
        <v>47</v>
      </c>
    </row>
    <row r="145" spans="46:52" x14ac:dyDescent="0.25">
      <c r="AT145" t="s">
        <v>955</v>
      </c>
      <c r="AU145" t="s">
        <v>646</v>
      </c>
      <c r="AV145" t="s">
        <v>648</v>
      </c>
      <c r="AW145" t="s">
        <v>34</v>
      </c>
      <c r="AX145">
        <v>1.485714285714286</v>
      </c>
      <c r="AY145">
        <v>1.843303425750713</v>
      </c>
      <c r="AZ145">
        <v>35</v>
      </c>
    </row>
    <row r="146" spans="46:52" x14ac:dyDescent="0.25">
      <c r="AT146" t="s">
        <v>956</v>
      </c>
      <c r="AU146" t="s">
        <v>646</v>
      </c>
      <c r="AV146" t="s">
        <v>649</v>
      </c>
      <c r="AW146" t="s">
        <v>622</v>
      </c>
      <c r="AX146">
        <v>152.41646198867301</v>
      </c>
      <c r="AY146">
        <v>534.29856125316689</v>
      </c>
      <c r="AZ146">
        <v>22</v>
      </c>
    </row>
    <row r="147" spans="46:52" x14ac:dyDescent="0.25">
      <c r="AT147" t="s">
        <v>957</v>
      </c>
      <c r="AU147" t="s">
        <v>646</v>
      </c>
      <c r="AV147" t="s">
        <v>649</v>
      </c>
      <c r="AW147" t="s">
        <v>748</v>
      </c>
      <c r="AX147">
        <v>0.45834481884057959</v>
      </c>
      <c r="AY147">
        <v>0.95245559514801181</v>
      </c>
      <c r="AZ147">
        <v>36</v>
      </c>
    </row>
    <row r="148" spans="46:52" x14ac:dyDescent="0.25">
      <c r="AT148" t="s">
        <v>958</v>
      </c>
      <c r="AU148" t="s">
        <v>646</v>
      </c>
      <c r="AV148" t="s">
        <v>649</v>
      </c>
      <c r="AW148" t="s">
        <v>624</v>
      </c>
      <c r="AX148">
        <v>1.7337664800000001</v>
      </c>
      <c r="AY148">
        <v>3.996848390541424</v>
      </c>
      <c r="AZ148">
        <v>27</v>
      </c>
    </row>
    <row r="149" spans="46:52" x14ac:dyDescent="0.25">
      <c r="AT149" t="s">
        <v>959</v>
      </c>
      <c r="AU149" t="s">
        <v>646</v>
      </c>
      <c r="AV149" t="s">
        <v>649</v>
      </c>
      <c r="AW149" t="s">
        <v>749</v>
      </c>
      <c r="AX149">
        <v>0.25402499251481558</v>
      </c>
      <c r="AY149">
        <v>12.32578199763347</v>
      </c>
      <c r="AZ149">
        <v>8</v>
      </c>
    </row>
    <row r="150" spans="46:52" x14ac:dyDescent="0.25">
      <c r="AT150" t="s">
        <v>960</v>
      </c>
      <c r="AU150" t="s">
        <v>646</v>
      </c>
      <c r="AV150" t="s">
        <v>649</v>
      </c>
      <c r="AW150" t="s">
        <v>750</v>
      </c>
      <c r="AX150">
        <v>3575.547866205306</v>
      </c>
      <c r="AY150">
        <v>8661.7178856653372</v>
      </c>
      <c r="AZ150">
        <v>21</v>
      </c>
    </row>
    <row r="151" spans="46:52" x14ac:dyDescent="0.25">
      <c r="AT151" t="s">
        <v>961</v>
      </c>
      <c r="AU151" t="s">
        <v>646</v>
      </c>
      <c r="AV151" t="s">
        <v>649</v>
      </c>
      <c r="AW151" t="s">
        <v>751</v>
      </c>
      <c r="AX151">
        <v>344.18490824968802</v>
      </c>
      <c r="AY151">
        <v>8013.5983416590543</v>
      </c>
      <c r="AZ151">
        <v>36</v>
      </c>
    </row>
    <row r="152" spans="46:52" x14ac:dyDescent="0.25">
      <c r="AT152" t="s">
        <v>962</v>
      </c>
      <c r="AU152" t="s">
        <v>646</v>
      </c>
      <c r="AV152" t="s">
        <v>649</v>
      </c>
      <c r="AW152" t="s">
        <v>34</v>
      </c>
      <c r="AX152">
        <v>1.132421130192151</v>
      </c>
      <c r="AY152">
        <v>1.597604773878782</v>
      </c>
      <c r="AZ152">
        <v>22</v>
      </c>
    </row>
    <row r="153" spans="46:52" x14ac:dyDescent="0.25">
      <c r="AT153" t="s">
        <v>963</v>
      </c>
      <c r="AU153" t="s">
        <v>646</v>
      </c>
      <c r="AV153" t="s">
        <v>801</v>
      </c>
      <c r="AW153" t="s">
        <v>622</v>
      </c>
      <c r="AX153" t="s">
        <v>416</v>
      </c>
      <c r="AY153" t="s">
        <v>416</v>
      </c>
      <c r="AZ153">
        <v>0</v>
      </c>
    </row>
    <row r="154" spans="46:52" x14ac:dyDescent="0.25">
      <c r="AT154" t="s">
        <v>964</v>
      </c>
      <c r="AU154" t="s">
        <v>646</v>
      </c>
      <c r="AV154" t="s">
        <v>801</v>
      </c>
      <c r="AW154" t="s">
        <v>748</v>
      </c>
      <c r="AX154">
        <v>0.9019098888888889</v>
      </c>
      <c r="AY154">
        <v>0.90190988888888879</v>
      </c>
      <c r="AZ154">
        <v>2</v>
      </c>
    </row>
    <row r="155" spans="46:52" x14ac:dyDescent="0.25">
      <c r="AT155" t="s">
        <v>965</v>
      </c>
      <c r="AU155" t="s">
        <v>646</v>
      </c>
      <c r="AV155" t="s">
        <v>801</v>
      </c>
      <c r="AW155" t="s">
        <v>624</v>
      </c>
      <c r="AX155" t="s">
        <v>416</v>
      </c>
      <c r="AY155" t="s">
        <v>416</v>
      </c>
      <c r="AZ155">
        <v>0</v>
      </c>
    </row>
    <row r="156" spans="46:52" x14ac:dyDescent="0.25">
      <c r="AT156" t="s">
        <v>966</v>
      </c>
      <c r="AU156" t="s">
        <v>646</v>
      </c>
      <c r="AV156" t="s">
        <v>801</v>
      </c>
      <c r="AW156" t="s">
        <v>749</v>
      </c>
      <c r="AX156" t="s">
        <v>416</v>
      </c>
      <c r="AY156" t="s">
        <v>416</v>
      </c>
      <c r="AZ156">
        <v>0</v>
      </c>
    </row>
    <row r="157" spans="46:52" x14ac:dyDescent="0.25">
      <c r="AT157" t="s">
        <v>967</v>
      </c>
      <c r="AU157" t="s">
        <v>646</v>
      </c>
      <c r="AV157" t="s">
        <v>801</v>
      </c>
      <c r="AW157" t="s">
        <v>750</v>
      </c>
      <c r="AX157">
        <v>23419.203747072599</v>
      </c>
      <c r="AY157">
        <v>23419.203747072599</v>
      </c>
      <c r="AZ157">
        <v>1</v>
      </c>
    </row>
    <row r="158" spans="46:52" x14ac:dyDescent="0.25">
      <c r="AT158" t="s">
        <v>968</v>
      </c>
      <c r="AU158" t="s">
        <v>646</v>
      </c>
      <c r="AV158" t="s">
        <v>801</v>
      </c>
      <c r="AW158" t="s">
        <v>751</v>
      </c>
      <c r="AX158">
        <v>4951.8569463548829</v>
      </c>
      <c r="AY158">
        <v>4951.8569463548829</v>
      </c>
      <c r="AZ158">
        <v>1</v>
      </c>
    </row>
    <row r="159" spans="46:52" x14ac:dyDescent="0.25">
      <c r="AT159" t="s">
        <v>969</v>
      </c>
      <c r="AU159" t="s">
        <v>646</v>
      </c>
      <c r="AV159" t="s">
        <v>801</v>
      </c>
      <c r="AW159" t="s">
        <v>34</v>
      </c>
      <c r="AX159" t="s">
        <v>416</v>
      </c>
      <c r="AY159" t="s">
        <v>416</v>
      </c>
      <c r="AZ159">
        <v>0</v>
      </c>
    </row>
  </sheetData>
  <mergeCells count="7">
    <mergeCell ref="I4:J4"/>
    <mergeCell ref="A2:O2"/>
    <mergeCell ref="I16:J16"/>
    <mergeCell ref="A1:O1"/>
    <mergeCell ref="L4:O4"/>
    <mergeCell ref="E4:G4"/>
    <mergeCell ref="A4:C4"/>
  </mergeCells>
  <dataValidations count="3">
    <dataValidation type="list" errorTitle="Invalid variable group" error="Choose a value from the dropdown list." promptTitle="Select variable group" prompt="Choose the variable group first." sqref="J6" xr:uid="{00000000-0002-0000-0900-000000000000}">
      <formula1>$AJ$2:$AJ$8</formula1>
    </dataValidation>
    <dataValidation type="list" errorTitle="Invalid indicator" error="Choose a value from the dropdown list." promptTitle="Select indicator" prompt="Choose the benchmark ratio to compare." sqref="J5" xr:uid="{00000000-0002-0000-0900-000001000000}">
      <formula1>$AI$2:$AI$8</formula1>
    </dataValidation>
    <dataValidation type="list" allowBlank="1" errorTitle="Invalid category" error="Select a category from the chosen variable group." promptTitle="Select category" prompt="Choose a variable group first, then pick a category from that group." sqref="J7" xr:uid="{00000000-0002-0000-0900-000002000000}">
      <formula1>CHOOSE(MATCH($J$6,$AJ$2:$AJ$8,0),$AL$2:$AL$2,$AM$2:$AM$3,$AN$2:$AN$4,$AO$2:$AO$4,$AP$2:$AP$5,$AQ$2:$AQ$4,$AR$2:$AR$5)</formula1>
    </dataValidation>
  </dataValidations>
  <pageMargins left="0.75" right="0.75" top="1" bottom="1" header="0.5" footer="0.5"/>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BQ270"/>
  <sheetViews>
    <sheetView workbookViewId="0">
      <selection activeCell="BA1" sqref="BA1"/>
    </sheetView>
  </sheetViews>
  <sheetFormatPr defaultRowHeight="15" x14ac:dyDescent="0.25"/>
  <cols>
    <col min="3" max="40" width="13" hidden="1" customWidth="1"/>
    <col min="41" max="41" width="9.28515625" bestFit="1" customWidth="1"/>
    <col min="43" max="43" width="9.28515625" bestFit="1" customWidth="1"/>
    <col min="45" max="45" width="9.28515625" bestFit="1" customWidth="1"/>
    <col min="47" max="67" width="9.28515625" bestFit="1" customWidth="1"/>
    <col min="68" max="68" width="10.28515625" bestFit="1" customWidth="1"/>
  </cols>
  <sheetData>
    <row r="1" spans="1:69" x14ac:dyDescent="0.25">
      <c r="A1" t="s">
        <v>970</v>
      </c>
      <c r="B1" t="s">
        <v>971</v>
      </c>
    </row>
    <row r="2" spans="1:69" x14ac:dyDescent="0.25">
      <c r="A2" t="s">
        <v>972</v>
      </c>
      <c r="B2" s="24">
        <v>46050</v>
      </c>
    </row>
    <row r="4" spans="1:69" x14ac:dyDescent="0.25">
      <c r="A4" t="s">
        <v>973</v>
      </c>
      <c r="B4" t="s">
        <v>974</v>
      </c>
      <c r="C4" t="s">
        <v>975</v>
      </c>
      <c r="D4" t="s">
        <v>976</v>
      </c>
      <c r="E4" t="s">
        <v>977</v>
      </c>
      <c r="F4" t="s">
        <v>978</v>
      </c>
      <c r="G4" t="s">
        <v>979</v>
      </c>
      <c r="H4" t="s">
        <v>980</v>
      </c>
      <c r="I4" t="s">
        <v>981</v>
      </c>
      <c r="J4" t="s">
        <v>982</v>
      </c>
      <c r="K4" t="s">
        <v>983</v>
      </c>
      <c r="L4" t="s">
        <v>984</v>
      </c>
      <c r="M4" t="s">
        <v>985</v>
      </c>
      <c r="N4" t="s">
        <v>986</v>
      </c>
      <c r="O4" t="s">
        <v>987</v>
      </c>
      <c r="P4" t="s">
        <v>988</v>
      </c>
      <c r="Q4" t="s">
        <v>989</v>
      </c>
      <c r="R4" t="s">
        <v>990</v>
      </c>
      <c r="S4" t="s">
        <v>991</v>
      </c>
      <c r="T4" t="s">
        <v>992</v>
      </c>
      <c r="U4" t="s">
        <v>993</v>
      </c>
      <c r="V4" t="s">
        <v>994</v>
      </c>
      <c r="W4" t="s">
        <v>995</v>
      </c>
      <c r="X4" t="s">
        <v>996</v>
      </c>
      <c r="Y4" t="s">
        <v>997</v>
      </c>
      <c r="Z4" t="s">
        <v>998</v>
      </c>
      <c r="AA4" t="s">
        <v>999</v>
      </c>
      <c r="AB4" t="s">
        <v>1000</v>
      </c>
      <c r="AC4" t="s">
        <v>1001</v>
      </c>
      <c r="AD4" t="s">
        <v>1002</v>
      </c>
      <c r="AE4" t="s">
        <v>1003</v>
      </c>
      <c r="AF4" t="s">
        <v>1004</v>
      </c>
      <c r="AG4" t="s">
        <v>1005</v>
      </c>
      <c r="AH4" t="s">
        <v>1006</v>
      </c>
      <c r="AI4" t="s">
        <v>1007</v>
      </c>
      <c r="AJ4" t="s">
        <v>1008</v>
      </c>
      <c r="AK4" t="s">
        <v>1009</v>
      </c>
      <c r="AL4" t="s">
        <v>1010</v>
      </c>
      <c r="AM4" t="s">
        <v>1011</v>
      </c>
      <c r="AN4" t="s">
        <v>1012</v>
      </c>
      <c r="AO4" t="s">
        <v>1013</v>
      </c>
      <c r="AP4" t="s">
        <v>1014</v>
      </c>
      <c r="AQ4" t="s">
        <v>1015</v>
      </c>
      <c r="AR4" t="s">
        <v>1016</v>
      </c>
      <c r="AS4" t="s">
        <v>1017</v>
      </c>
      <c r="AT4" t="s">
        <v>1018</v>
      </c>
      <c r="AU4" t="s">
        <v>1019</v>
      </c>
      <c r="AV4" t="s">
        <v>1020</v>
      </c>
      <c r="AW4" t="s">
        <v>1021</v>
      </c>
      <c r="AX4" t="s">
        <v>1022</v>
      </c>
      <c r="AY4" t="s">
        <v>1023</v>
      </c>
      <c r="AZ4" t="s">
        <v>1024</v>
      </c>
      <c r="BA4" t="s">
        <v>1025</v>
      </c>
      <c r="BB4" t="s">
        <v>1026</v>
      </c>
      <c r="BC4" t="s">
        <v>1027</v>
      </c>
      <c r="BD4" t="s">
        <v>1028</v>
      </c>
      <c r="BE4" t="s">
        <v>1029</v>
      </c>
      <c r="BF4" t="s">
        <v>1030</v>
      </c>
      <c r="BG4" t="s">
        <v>1031</v>
      </c>
      <c r="BH4" t="s">
        <v>1032</v>
      </c>
      <c r="BI4" t="s">
        <v>1033</v>
      </c>
      <c r="BJ4" t="s">
        <v>1034</v>
      </c>
      <c r="BK4" t="s">
        <v>1035</v>
      </c>
      <c r="BL4" t="s">
        <v>1036</v>
      </c>
      <c r="BM4" t="s">
        <v>1037</v>
      </c>
      <c r="BN4" t="s">
        <v>1038</v>
      </c>
      <c r="BO4" t="s">
        <v>1039</v>
      </c>
      <c r="BP4" t="s">
        <v>1040</v>
      </c>
      <c r="BQ4" t="s">
        <v>1041</v>
      </c>
    </row>
    <row r="5" spans="1:69" x14ac:dyDescent="0.25">
      <c r="A5" t="s">
        <v>1042</v>
      </c>
      <c r="B5" t="s">
        <v>1043</v>
      </c>
      <c r="C5" t="s">
        <v>1044</v>
      </c>
      <c r="D5" t="s">
        <v>1045</v>
      </c>
      <c r="AO5" s="25"/>
      <c r="AP5" s="25"/>
      <c r="AQ5" s="25"/>
      <c r="AR5" s="25"/>
      <c r="AS5" s="25"/>
      <c r="AT5" s="25"/>
      <c r="AU5" s="25"/>
      <c r="AV5" s="25"/>
      <c r="AW5" s="25">
        <v>0.99321818351745605</v>
      </c>
      <c r="AX5" s="25">
        <v>1.37641596794128</v>
      </c>
      <c r="AY5" s="25">
        <v>1.30346059799194</v>
      </c>
      <c r="AZ5" s="25">
        <v>1.2865685224533101</v>
      </c>
      <c r="BA5" s="25">
        <v>1.3163959980011</v>
      </c>
      <c r="BB5" s="25">
        <v>1.12155425548553</v>
      </c>
      <c r="BC5" s="25">
        <v>1.10084736347198</v>
      </c>
      <c r="BD5" s="25">
        <v>1.28573775291443</v>
      </c>
      <c r="BE5" s="25">
        <v>1.26388156414032</v>
      </c>
      <c r="BF5" s="25">
        <v>1.3122262954711901</v>
      </c>
      <c r="BG5" s="25">
        <v>1.16456782817841</v>
      </c>
      <c r="BH5" s="25">
        <v>1.21023952960968</v>
      </c>
      <c r="BI5" s="25">
        <v>1.26075851917267</v>
      </c>
      <c r="BJ5" s="25">
        <v>1.3138459920883201</v>
      </c>
      <c r="BK5" s="25">
        <v>1.3375098705291699</v>
      </c>
      <c r="BL5" s="25">
        <v>1.3358073234558101</v>
      </c>
      <c r="BM5" s="25">
        <v>1.3715912103653001</v>
      </c>
      <c r="BN5" s="25">
        <v>1.4317266941070601</v>
      </c>
      <c r="BO5" s="25">
        <v>1.4830797910690301</v>
      </c>
      <c r="BP5" s="25">
        <v>1.4325245618820199</v>
      </c>
    </row>
    <row r="6" spans="1:69" x14ac:dyDescent="0.25">
      <c r="A6" t="s">
        <v>1046</v>
      </c>
      <c r="B6" t="s">
        <v>1047</v>
      </c>
      <c r="C6" t="s">
        <v>1044</v>
      </c>
      <c r="D6" t="s">
        <v>1045</v>
      </c>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row>
    <row r="7" spans="1:69" x14ac:dyDescent="0.25">
      <c r="A7" t="s">
        <v>1048</v>
      </c>
      <c r="B7" t="s">
        <v>1049</v>
      </c>
      <c r="C7" t="s">
        <v>1044</v>
      </c>
      <c r="D7" t="s">
        <v>1045</v>
      </c>
      <c r="AO7" s="25">
        <v>-2.4173095226287802</v>
      </c>
      <c r="AP7" s="25"/>
      <c r="AQ7" s="25">
        <v>-2.4273545742034899</v>
      </c>
      <c r="AR7" s="25"/>
      <c r="AS7" s="25">
        <v>-2.4389688968658398</v>
      </c>
      <c r="AT7" s="25"/>
      <c r="AU7" s="25">
        <v>-2.03503370285034</v>
      </c>
      <c r="AV7" s="25">
        <v>-2.1983723640441899</v>
      </c>
      <c r="AW7" s="25">
        <v>-2.29568219184875</v>
      </c>
      <c r="AX7" s="25">
        <v>-2.0675098896026598</v>
      </c>
      <c r="AY7" s="25">
        <v>-2.2191345691680899</v>
      </c>
      <c r="AZ7" s="25">
        <v>-2.4133734703064</v>
      </c>
      <c r="BA7" s="25">
        <v>-2.6913609504699698</v>
      </c>
      <c r="BB7" s="25">
        <v>-2.7114214897155802</v>
      </c>
      <c r="BC7" s="25">
        <v>-2.57915186882019</v>
      </c>
      <c r="BD7" s="25">
        <v>-2.5020596981048602</v>
      </c>
      <c r="BE7" s="25">
        <v>-2.41856145858765</v>
      </c>
      <c r="BF7" s="25">
        <v>-2.51934909820557</v>
      </c>
      <c r="BG7" s="25">
        <v>-2.4110684394836399</v>
      </c>
      <c r="BH7" s="25">
        <v>-2.5626251697540301</v>
      </c>
      <c r="BI7" s="25">
        <v>-2.6621561050414999</v>
      </c>
      <c r="BJ7" s="25">
        <v>-2.7949755191803001</v>
      </c>
      <c r="BK7" s="25">
        <v>-2.7534413337707502</v>
      </c>
      <c r="BL7" s="25">
        <v>-2.6525397300720202</v>
      </c>
      <c r="BM7" s="25">
        <v>-2.7027211189270002</v>
      </c>
      <c r="BN7" s="25">
        <v>-2.51867604255676</v>
      </c>
      <c r="BO7" s="25">
        <v>-2.5449559688568102</v>
      </c>
      <c r="BP7" s="25">
        <v>-2.48408055305481</v>
      </c>
    </row>
    <row r="8" spans="1:69" x14ac:dyDescent="0.25">
      <c r="A8" t="s">
        <v>1050</v>
      </c>
      <c r="B8" t="s">
        <v>1051</v>
      </c>
      <c r="C8" t="s">
        <v>1044</v>
      </c>
      <c r="D8" t="s">
        <v>1045</v>
      </c>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row>
    <row r="9" spans="1:69" x14ac:dyDescent="0.25">
      <c r="A9" t="s">
        <v>1052</v>
      </c>
      <c r="B9" t="s">
        <v>1053</v>
      </c>
      <c r="C9" t="s">
        <v>1044</v>
      </c>
      <c r="D9" t="s">
        <v>1045</v>
      </c>
      <c r="AO9" s="25">
        <v>-2.0619173049926798</v>
      </c>
      <c r="AP9" s="25"/>
      <c r="AQ9" s="25">
        <v>-2.3180584907531698</v>
      </c>
      <c r="AR9" s="25"/>
      <c r="AS9" s="25">
        <v>-2.0381739139556898</v>
      </c>
      <c r="AT9" s="25"/>
      <c r="AU9" s="25">
        <v>-1.5761798620223999</v>
      </c>
      <c r="AV9" s="25">
        <v>-1.0073858499527</v>
      </c>
      <c r="AW9" s="25">
        <v>-1.0631206035614</v>
      </c>
      <c r="AX9" s="25">
        <v>-0.88517832756042503</v>
      </c>
      <c r="AY9" s="25">
        <v>-0.53945344686508201</v>
      </c>
      <c r="AZ9" s="25">
        <v>-0.66665875911712602</v>
      </c>
      <c r="BA9" s="25">
        <v>-0.361787378787994</v>
      </c>
      <c r="BB9" s="25">
        <v>-0.34759184718132002</v>
      </c>
      <c r="BC9" s="25">
        <v>-0.226182341575623</v>
      </c>
      <c r="BD9" s="25">
        <v>-0.369237810373306</v>
      </c>
      <c r="BE9" s="25">
        <v>-0.389322549104691</v>
      </c>
      <c r="BF9" s="25">
        <v>-0.39123347401619002</v>
      </c>
      <c r="BG9" s="25">
        <v>-0.33323204517364502</v>
      </c>
      <c r="BH9" s="25">
        <v>-0.50538581609725997</v>
      </c>
      <c r="BI9" s="25">
        <v>-0.32158008217811601</v>
      </c>
      <c r="BJ9" s="25">
        <v>-0.38789549469947798</v>
      </c>
      <c r="BK9" s="25">
        <v>-0.34720858931541398</v>
      </c>
      <c r="BL9" s="25">
        <v>-0.36841160058975198</v>
      </c>
      <c r="BM9" s="25">
        <v>-0.59991788864135698</v>
      </c>
      <c r="BN9" s="25">
        <v>-0.71048074960708596</v>
      </c>
      <c r="BO9" s="25">
        <v>-0.63010853528976396</v>
      </c>
      <c r="BP9" s="25">
        <v>-0.34150505065918002</v>
      </c>
    </row>
    <row r="10" spans="1:69" x14ac:dyDescent="0.25">
      <c r="A10" t="s">
        <v>1054</v>
      </c>
      <c r="B10" t="s">
        <v>1055</v>
      </c>
      <c r="C10" t="s">
        <v>1044</v>
      </c>
      <c r="D10" t="s">
        <v>1045</v>
      </c>
      <c r="AO10" s="25">
        <v>-0.33662512898445102</v>
      </c>
      <c r="AP10" s="25"/>
      <c r="AQ10" s="25">
        <v>-0.54400420188903797</v>
      </c>
      <c r="AR10" s="25"/>
      <c r="AS10" s="25">
        <v>-0.53998959064483598</v>
      </c>
      <c r="AT10" s="25"/>
      <c r="AU10" s="25">
        <v>-0.29771918058395402</v>
      </c>
      <c r="AV10" s="25">
        <v>-0.30978024005889898</v>
      </c>
      <c r="AW10" s="25">
        <v>-0.42725968360900901</v>
      </c>
      <c r="AX10" s="25">
        <v>-0.50504797697067305</v>
      </c>
      <c r="AY10" s="25">
        <v>-0.50815731287002597</v>
      </c>
      <c r="AZ10" s="25">
        <v>-0.203974649310112</v>
      </c>
      <c r="BA10" s="25">
        <v>-3.0500913038849799E-2</v>
      </c>
      <c r="BB10" s="25">
        <v>-4.5140512287616702E-2</v>
      </c>
      <c r="BC10" s="25">
        <v>-0.19148290157318101</v>
      </c>
      <c r="BD10" s="25">
        <v>-0.28237941861152599</v>
      </c>
      <c r="BE10" s="25">
        <v>-0.143631592392921</v>
      </c>
      <c r="BF10" s="25">
        <v>9.1929785907268496E-2</v>
      </c>
      <c r="BG10" s="25">
        <v>0.48598623275756803</v>
      </c>
      <c r="BH10" s="25">
        <v>0.34163904190063499</v>
      </c>
      <c r="BI10" s="25">
        <v>0.33744788169860801</v>
      </c>
      <c r="BJ10" s="25">
        <v>0.37377074360847501</v>
      </c>
      <c r="BK10" s="25">
        <v>0.36677926778793302</v>
      </c>
      <c r="BL10" s="25">
        <v>0.11010505259037</v>
      </c>
      <c r="BM10" s="25">
        <v>8.8612519204616505E-2</v>
      </c>
      <c r="BN10" s="25">
        <v>0.19637192785739899</v>
      </c>
      <c r="BO10" s="25">
        <v>0.10626131296157799</v>
      </c>
      <c r="BP10" s="25">
        <v>0.183348968625069</v>
      </c>
    </row>
    <row r="11" spans="1:69" x14ac:dyDescent="0.25">
      <c r="A11" t="s">
        <v>1056</v>
      </c>
      <c r="B11" t="s">
        <v>1057</v>
      </c>
      <c r="C11" t="s">
        <v>1044</v>
      </c>
      <c r="D11" t="s">
        <v>1045</v>
      </c>
      <c r="AO11" s="25">
        <v>1.16952216625214</v>
      </c>
      <c r="AP11" s="25"/>
      <c r="AQ11" s="25">
        <v>1.1828751564025899</v>
      </c>
      <c r="AR11" s="25"/>
      <c r="AS11" s="25">
        <v>1.16698145866394</v>
      </c>
      <c r="AT11" s="25"/>
      <c r="AU11" s="25">
        <v>1.2827669382095299</v>
      </c>
      <c r="AV11" s="25">
        <v>1.46513116359711</v>
      </c>
      <c r="AW11" s="25">
        <v>1.40210604667664</v>
      </c>
      <c r="AX11" s="25">
        <v>1.38492727279663</v>
      </c>
      <c r="AY11" s="25">
        <v>1.34965407848358</v>
      </c>
      <c r="AZ11" s="25">
        <v>1.3420157432556199</v>
      </c>
      <c r="BA11" s="25">
        <v>1.33847212791443</v>
      </c>
      <c r="BB11" s="25">
        <v>1.2971395254135101</v>
      </c>
      <c r="BC11" s="25">
        <v>1.2782721519470199</v>
      </c>
      <c r="BD11" s="25">
        <v>1.3024883270263701</v>
      </c>
      <c r="BE11" s="25">
        <v>1.2903511524200399</v>
      </c>
      <c r="BF11" s="25">
        <v>1.2839260101318399</v>
      </c>
      <c r="BG11" s="25">
        <v>1.28659331798553</v>
      </c>
      <c r="BH11" s="25">
        <v>1.3659853935241699</v>
      </c>
      <c r="BI11" s="25">
        <v>1.3827502727508501</v>
      </c>
      <c r="BJ11" s="25">
        <v>1.39288973808289</v>
      </c>
      <c r="BK11" s="25">
        <v>1.3912485837936399</v>
      </c>
      <c r="BL11" s="25">
        <v>1.5773667097091699</v>
      </c>
      <c r="BM11" s="25">
        <v>1.5886753797531099</v>
      </c>
      <c r="BN11" s="25">
        <v>1.58125936985016</v>
      </c>
      <c r="BO11" s="25">
        <v>1.58598840236664</v>
      </c>
      <c r="BP11" s="25">
        <v>1.5834659337997401</v>
      </c>
    </row>
    <row r="12" spans="1:69" x14ac:dyDescent="0.25">
      <c r="A12" t="s">
        <v>1058</v>
      </c>
      <c r="B12" t="s">
        <v>1059</v>
      </c>
      <c r="C12" t="s">
        <v>1044</v>
      </c>
      <c r="D12" t="s">
        <v>1045</v>
      </c>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row>
    <row r="13" spans="1:69" x14ac:dyDescent="0.25">
      <c r="A13" t="s">
        <v>1060</v>
      </c>
      <c r="B13" t="s">
        <v>1061</v>
      </c>
      <c r="C13" t="s">
        <v>1044</v>
      </c>
      <c r="D13" t="s">
        <v>1045</v>
      </c>
      <c r="AO13" s="25">
        <v>0.96401500701904297</v>
      </c>
      <c r="AP13" s="25"/>
      <c r="AQ13" s="25">
        <v>0.87130928039550803</v>
      </c>
      <c r="AR13" s="25"/>
      <c r="AS13" s="25">
        <v>0.97543442249298096</v>
      </c>
      <c r="AT13" s="25"/>
      <c r="AU13" s="25">
        <v>0.93727511167526201</v>
      </c>
      <c r="AV13" s="25">
        <v>0.99465018510818504</v>
      </c>
      <c r="AW13" s="25">
        <v>0.76875799894332897</v>
      </c>
      <c r="AX13" s="25">
        <v>0.875413298606873</v>
      </c>
      <c r="AY13" s="25">
        <v>0.92342108488082897</v>
      </c>
      <c r="AZ13" s="25">
        <v>0.97539138793945301</v>
      </c>
      <c r="BA13" s="25">
        <v>0.69601792097091697</v>
      </c>
      <c r="BB13" s="25">
        <v>0.91904145479202304</v>
      </c>
      <c r="BC13" s="25">
        <v>0.801757872104645</v>
      </c>
      <c r="BD13" s="25">
        <v>0.91217571496963501</v>
      </c>
      <c r="BE13" s="25">
        <v>0.86325144767761197</v>
      </c>
      <c r="BF13" s="25">
        <v>0.89479219913482699</v>
      </c>
      <c r="BG13" s="25">
        <v>0.76890891790390004</v>
      </c>
      <c r="BH13" s="25">
        <v>0.74804925918579102</v>
      </c>
      <c r="BI13" s="25">
        <v>0.54964613914489702</v>
      </c>
      <c r="BJ13" s="25">
        <v>0.60194975137710605</v>
      </c>
      <c r="BK13" s="25">
        <v>0.68925559520721402</v>
      </c>
      <c r="BL13" s="25">
        <v>0.66753840446472201</v>
      </c>
      <c r="BM13" s="25">
        <v>0.59260535240173295</v>
      </c>
      <c r="BN13" s="25">
        <v>0.59757214784622203</v>
      </c>
      <c r="BO13" s="25">
        <v>0.74418330192565896</v>
      </c>
      <c r="BP13" s="25">
        <v>0.67753094434738204</v>
      </c>
    </row>
    <row r="14" spans="1:69" x14ac:dyDescent="0.25">
      <c r="A14" t="s">
        <v>1062</v>
      </c>
      <c r="B14" t="s">
        <v>1063</v>
      </c>
      <c r="C14" t="s">
        <v>1044</v>
      </c>
      <c r="D14" t="s">
        <v>1045</v>
      </c>
      <c r="AO14" s="25">
        <v>0.11137688159942601</v>
      </c>
      <c r="AP14" s="25"/>
      <c r="AQ14" s="25">
        <v>-0.13464958965778401</v>
      </c>
      <c r="AR14" s="25"/>
      <c r="AS14" s="25">
        <v>9.5823876559734303E-2</v>
      </c>
      <c r="AT14" s="25"/>
      <c r="AU14" s="25">
        <v>-0.77654540538787797</v>
      </c>
      <c r="AV14" s="25">
        <v>-0.35983812808990501</v>
      </c>
      <c r="AW14" s="25">
        <v>-0.61093491315841697</v>
      </c>
      <c r="AX14" s="25">
        <v>-4.1774943470954902E-2</v>
      </c>
      <c r="AY14" s="25">
        <v>1.9677628297358799E-3</v>
      </c>
      <c r="AZ14" s="25">
        <v>9.7796633839607197E-2</v>
      </c>
      <c r="BA14" s="25">
        <v>-8.7755687534809099E-2</v>
      </c>
      <c r="BB14" s="25">
        <v>-0.23485457897186299</v>
      </c>
      <c r="BC14" s="25">
        <v>-8.47978666424751E-2</v>
      </c>
      <c r="BD14" s="25">
        <v>0.15899366140365601</v>
      </c>
      <c r="BE14" s="25">
        <v>0.103040546178818</v>
      </c>
      <c r="BF14" s="25">
        <v>6.5314263105392498E-2</v>
      </c>
      <c r="BG14" s="25">
        <v>-5.1218713633716098E-3</v>
      </c>
      <c r="BH14" s="25">
        <v>8.7641347199678404E-3</v>
      </c>
      <c r="BI14" s="25">
        <v>0.19774989783763899</v>
      </c>
      <c r="BJ14" s="25">
        <v>0.162542164325714</v>
      </c>
      <c r="BK14" s="25">
        <v>6.9098123349249398E-3</v>
      </c>
      <c r="BL14" s="25">
        <v>-9.7823090851306901E-2</v>
      </c>
      <c r="BM14" s="25">
        <v>-7.1997404098510701E-2</v>
      </c>
      <c r="BN14" s="25">
        <v>5.3005863446742296E-4</v>
      </c>
      <c r="BO14" s="25">
        <v>-9.8594330251216902E-2</v>
      </c>
      <c r="BP14" s="25">
        <v>-0.12751790881156899</v>
      </c>
    </row>
    <row r="15" spans="1:69" x14ac:dyDescent="0.25">
      <c r="A15" t="s">
        <v>1064</v>
      </c>
      <c r="B15" t="s">
        <v>1065</v>
      </c>
      <c r="C15" t="s">
        <v>1044</v>
      </c>
      <c r="D15" t="s">
        <v>1045</v>
      </c>
      <c r="AO15" s="25">
        <v>-0.364998608827591</v>
      </c>
      <c r="AP15" s="25"/>
      <c r="AQ15" s="25">
        <v>-0.66278731822967496</v>
      </c>
      <c r="AR15" s="25"/>
      <c r="AS15" s="25">
        <v>-0.68286794424056996</v>
      </c>
      <c r="AT15" s="25"/>
      <c r="AU15" s="25">
        <v>-0.25578412413597101</v>
      </c>
      <c r="AV15" s="25">
        <v>0.236966237425804</v>
      </c>
      <c r="AW15" s="25">
        <v>-0.116337485611439</v>
      </c>
      <c r="AX15" s="25">
        <v>-6.6335394978523296E-2</v>
      </c>
      <c r="AY15" s="25">
        <v>-0.261023759841919</v>
      </c>
      <c r="AZ15" s="25">
        <v>0.15090583264827701</v>
      </c>
      <c r="BA15" s="25">
        <v>-6.8530277349054796E-3</v>
      </c>
      <c r="BB15" s="25">
        <v>0.22786335647106201</v>
      </c>
      <c r="BC15" s="25">
        <v>7.1855328977108002E-2</v>
      </c>
      <c r="BD15" s="25">
        <v>-6.3868984580040006E-2</v>
      </c>
      <c r="BE15" s="25">
        <v>0.154794976115227</v>
      </c>
      <c r="BF15" s="25">
        <v>0.11038514226675</v>
      </c>
      <c r="BG15" s="25">
        <v>-0.297135800123215</v>
      </c>
      <c r="BH15" s="25">
        <v>-0.25679865479469299</v>
      </c>
      <c r="BI15" s="25">
        <v>-0.66795110702514604</v>
      </c>
      <c r="BJ15" s="25">
        <v>-0.62621116638183605</v>
      </c>
      <c r="BK15" s="25">
        <v>-0.45106691122055098</v>
      </c>
      <c r="BL15" s="25">
        <v>-0.42002499103546098</v>
      </c>
      <c r="BM15" s="25">
        <v>-0.77164489030838002</v>
      </c>
      <c r="BN15" s="25">
        <v>-0.804041028022766</v>
      </c>
      <c r="BO15" s="25">
        <v>-0.74075627326965299</v>
      </c>
      <c r="BP15" s="25">
        <v>-0.82927823066711404</v>
      </c>
    </row>
    <row r="16" spans="1:69" x14ac:dyDescent="0.25">
      <c r="A16" t="s">
        <v>1066</v>
      </c>
      <c r="B16" t="s">
        <v>1067</v>
      </c>
      <c r="C16" t="s">
        <v>1044</v>
      </c>
      <c r="D16" t="s">
        <v>1045</v>
      </c>
      <c r="AO16" s="25"/>
      <c r="AP16" s="25"/>
      <c r="AQ16" s="25"/>
      <c r="AR16" s="25"/>
      <c r="AS16" s="25"/>
      <c r="AT16" s="25"/>
      <c r="AU16" s="25"/>
      <c r="AV16" s="25"/>
      <c r="AW16" s="25">
        <v>0.73692649602890004</v>
      </c>
      <c r="AX16" s="25">
        <v>0.74628406763076804</v>
      </c>
      <c r="AY16" s="25">
        <v>0.70398765802383401</v>
      </c>
      <c r="AZ16" s="25">
        <v>0.96793115139007602</v>
      </c>
      <c r="BA16" s="25">
        <v>0.98446303606033303</v>
      </c>
      <c r="BB16" s="25">
        <v>0.94572466611862205</v>
      </c>
      <c r="BC16" s="25">
        <v>0.91914671659469604</v>
      </c>
      <c r="BD16" s="25">
        <v>0.93399018049240101</v>
      </c>
      <c r="BE16" s="25">
        <v>0.95299082994461104</v>
      </c>
      <c r="BF16" s="25">
        <v>0.92898577451705899</v>
      </c>
      <c r="BG16" s="25">
        <v>1.08068346977234</v>
      </c>
      <c r="BH16" s="25">
        <v>1.15167808532715</v>
      </c>
      <c r="BI16" s="25">
        <v>1.1585559844970701</v>
      </c>
      <c r="BJ16" s="25">
        <v>1.1843236684799201</v>
      </c>
      <c r="BK16" s="25">
        <v>1.1662973165512101</v>
      </c>
      <c r="BL16" s="25">
        <v>1.1449339389801001</v>
      </c>
      <c r="BM16" s="25">
        <v>1.0902086496353101</v>
      </c>
      <c r="BN16" s="25">
        <v>1.0668408870696999</v>
      </c>
      <c r="BO16" s="25">
        <v>1.12317395210266</v>
      </c>
      <c r="BP16" s="25">
        <v>1.1142212152481099</v>
      </c>
    </row>
    <row r="17" spans="1:68" x14ac:dyDescent="0.25">
      <c r="A17" t="s">
        <v>1068</v>
      </c>
      <c r="B17" t="s">
        <v>1069</v>
      </c>
      <c r="C17" t="s">
        <v>1044</v>
      </c>
      <c r="D17" t="s">
        <v>1045</v>
      </c>
      <c r="AO17" s="25">
        <v>0.71707689762115501</v>
      </c>
      <c r="AP17" s="25"/>
      <c r="AQ17" s="25">
        <v>0.72851198911666903</v>
      </c>
      <c r="AR17" s="25"/>
      <c r="AS17" s="25">
        <v>0.71323502063751198</v>
      </c>
      <c r="AT17" s="25"/>
      <c r="AU17" s="25">
        <v>0.79255992174148604</v>
      </c>
      <c r="AV17" s="25">
        <v>0.86569011211395297</v>
      </c>
      <c r="AW17" s="25">
        <v>1.0846356153488199</v>
      </c>
      <c r="AX17" s="25">
        <v>0.83051252365112305</v>
      </c>
      <c r="AY17" s="25">
        <v>0.79982072114944502</v>
      </c>
      <c r="AZ17" s="25">
        <v>0.80267018079757702</v>
      </c>
      <c r="BA17" s="25">
        <v>0.81389182806015004</v>
      </c>
      <c r="BB17" s="25">
        <v>0.721793532371521</v>
      </c>
      <c r="BC17" s="25">
        <v>0.90499937534332298</v>
      </c>
      <c r="BD17" s="25">
        <v>0.95758825540542603</v>
      </c>
      <c r="BE17" s="25">
        <v>0.97578805685043302</v>
      </c>
      <c r="BF17" s="25">
        <v>0.95886337757110596</v>
      </c>
      <c r="BG17" s="25">
        <v>0.98455071449279796</v>
      </c>
      <c r="BH17" s="25">
        <v>0.98756426572799705</v>
      </c>
      <c r="BI17" s="25">
        <v>0.85924965143203702</v>
      </c>
      <c r="BJ17" s="25">
        <v>0.73206090927124001</v>
      </c>
      <c r="BK17" s="25">
        <v>0.82310211658477805</v>
      </c>
      <c r="BL17" s="25">
        <v>0.93807965517044101</v>
      </c>
      <c r="BM17" s="25">
        <v>0.92957884073257402</v>
      </c>
      <c r="BN17" s="25">
        <v>0.94966989755630504</v>
      </c>
      <c r="BO17" s="25">
        <v>0.93808209896087602</v>
      </c>
      <c r="BP17" s="25">
        <v>0.92339324951171897</v>
      </c>
    </row>
    <row r="18" spans="1:68" x14ac:dyDescent="0.25">
      <c r="A18" t="s">
        <v>1070</v>
      </c>
      <c r="B18" t="s">
        <v>1071</v>
      </c>
      <c r="C18" t="s">
        <v>1044</v>
      </c>
      <c r="D18" t="s">
        <v>1045</v>
      </c>
      <c r="AO18" s="25">
        <v>1.39611268043518</v>
      </c>
      <c r="AP18" s="25"/>
      <c r="AQ18" s="25">
        <v>1.06650125980377</v>
      </c>
      <c r="AR18" s="25"/>
      <c r="AS18" s="25">
        <v>1.3339647054672199</v>
      </c>
      <c r="AT18" s="25"/>
      <c r="AU18" s="25">
        <v>1.18941462039948</v>
      </c>
      <c r="AV18" s="25">
        <v>0.87811720371246305</v>
      </c>
      <c r="AW18" s="25">
        <v>0.935463547706604</v>
      </c>
      <c r="AX18" s="25">
        <v>0.89170765876769997</v>
      </c>
      <c r="AY18" s="25">
        <v>0.93446660041809104</v>
      </c>
      <c r="AZ18" s="25">
        <v>0.92887490987777699</v>
      </c>
      <c r="BA18" s="25">
        <v>0.95470011234283403</v>
      </c>
      <c r="BB18" s="25">
        <v>0.85512059926986705</v>
      </c>
      <c r="BC18" s="25">
        <v>0.88885986804962203</v>
      </c>
      <c r="BD18" s="25">
        <v>0.93571007251739502</v>
      </c>
      <c r="BE18" s="25">
        <v>0.99799722433090199</v>
      </c>
      <c r="BF18" s="25">
        <v>1.03107297420502</v>
      </c>
      <c r="BG18" s="25">
        <v>1.0321919918060301</v>
      </c>
      <c r="BH18" s="25">
        <v>0.87318068742752097</v>
      </c>
      <c r="BI18" s="25">
        <v>1.0334244966507</v>
      </c>
      <c r="BJ18" s="25">
        <v>0.87606406211853005</v>
      </c>
      <c r="BK18" s="25">
        <v>0.97118544578552202</v>
      </c>
      <c r="BL18" s="25">
        <v>0.91797894239425704</v>
      </c>
      <c r="BM18" s="25">
        <v>0.86216187477111805</v>
      </c>
      <c r="BN18" s="25">
        <v>0.83507913351059004</v>
      </c>
      <c r="BO18" s="25">
        <v>0.98371595144271895</v>
      </c>
      <c r="BP18" s="25">
        <v>0.91705721616744995</v>
      </c>
    </row>
    <row r="19" spans="1:68" x14ac:dyDescent="0.25">
      <c r="A19" t="s">
        <v>1072</v>
      </c>
      <c r="B19" t="s">
        <v>1073</v>
      </c>
      <c r="C19" t="s">
        <v>1044</v>
      </c>
      <c r="D19" t="s">
        <v>1045</v>
      </c>
      <c r="AO19" s="25">
        <v>1.4104628562927199</v>
      </c>
      <c r="AP19" s="25"/>
      <c r="AQ19" s="25">
        <v>1.11060059070587</v>
      </c>
      <c r="AR19" s="25"/>
      <c r="AS19" s="25">
        <v>0.82205641269683805</v>
      </c>
      <c r="AT19" s="25"/>
      <c r="AU19" s="25">
        <v>1.3589553833007799</v>
      </c>
      <c r="AV19" s="25">
        <v>0.96200245618820202</v>
      </c>
      <c r="AW19" s="25">
        <v>1.08964920043945</v>
      </c>
      <c r="AX19" s="25">
        <v>1.1039500236511199</v>
      </c>
      <c r="AY19" s="25">
        <v>1.07445085048676</v>
      </c>
      <c r="AZ19" s="25">
        <v>1.284419298172</v>
      </c>
      <c r="BA19" s="25">
        <v>1.3392705917358401</v>
      </c>
      <c r="BB19" s="25">
        <v>1.19087398052216</v>
      </c>
      <c r="BC19" s="25">
        <v>1.15264821052551</v>
      </c>
      <c r="BD19" s="25">
        <v>1.1935216188430799</v>
      </c>
      <c r="BE19" s="25">
        <v>1.3405668735504199</v>
      </c>
      <c r="BF19" s="25">
        <v>1.3641005754470801</v>
      </c>
      <c r="BG19" s="25">
        <v>1.2707004547119101</v>
      </c>
      <c r="BH19" s="25">
        <v>1.1293305158615099</v>
      </c>
      <c r="BI19" s="25">
        <v>0.8921759724617</v>
      </c>
      <c r="BJ19" s="25">
        <v>1.02962481975555</v>
      </c>
      <c r="BK19" s="25">
        <v>0.88486039638519298</v>
      </c>
      <c r="BL19" s="25">
        <v>0.89218902587890603</v>
      </c>
      <c r="BM19" s="25">
        <v>0.887600898742676</v>
      </c>
      <c r="BN19" s="25">
        <v>0.89955443143844604</v>
      </c>
      <c r="BO19" s="25">
        <v>0.64871001243591297</v>
      </c>
      <c r="BP19" s="25">
        <v>0.72798919677734397</v>
      </c>
    </row>
    <row r="20" spans="1:68" x14ac:dyDescent="0.25">
      <c r="A20" t="s">
        <v>1074</v>
      </c>
      <c r="B20" t="s">
        <v>1075</v>
      </c>
      <c r="C20" t="s">
        <v>1044</v>
      </c>
      <c r="D20" t="s">
        <v>1045</v>
      </c>
      <c r="AO20" s="25">
        <v>-0.828929543495178</v>
      </c>
      <c r="AP20" s="25"/>
      <c r="AQ20" s="25">
        <v>-0.70228844881057695</v>
      </c>
      <c r="AR20" s="25"/>
      <c r="AS20" s="25">
        <v>-0.82979476451873802</v>
      </c>
      <c r="AT20" s="25"/>
      <c r="AU20" s="25">
        <v>-1.1853649616241499</v>
      </c>
      <c r="AV20" s="25">
        <v>-0.94810038805007901</v>
      </c>
      <c r="AW20" s="25">
        <v>-1.0598111152648899</v>
      </c>
      <c r="AX20" s="25">
        <v>-1.1248193979263299</v>
      </c>
      <c r="AY20" s="25">
        <v>-1.0926823616027801</v>
      </c>
      <c r="AZ20" s="25">
        <v>-0.62599641084670998</v>
      </c>
      <c r="BA20" s="25">
        <v>-0.330349981784821</v>
      </c>
      <c r="BB20" s="25">
        <v>-0.27785351872444197</v>
      </c>
      <c r="BC20" s="25">
        <v>-0.238546922802925</v>
      </c>
      <c r="BD20" s="25">
        <v>-0.53213596343994096</v>
      </c>
      <c r="BE20" s="25">
        <v>-0.71575182676315297</v>
      </c>
      <c r="BF20" s="25">
        <v>-0.412859916687012</v>
      </c>
      <c r="BG20" s="25">
        <v>-0.55990952253341697</v>
      </c>
      <c r="BH20" s="25">
        <v>-0.73391664028167702</v>
      </c>
      <c r="BI20" s="25">
        <v>-0.80890882015228305</v>
      </c>
      <c r="BJ20" s="25">
        <v>-0.75190103054046598</v>
      </c>
      <c r="BK20" s="25">
        <v>-0.71139937639236495</v>
      </c>
      <c r="BL20" s="25">
        <v>-0.69341146945953402</v>
      </c>
      <c r="BM20" s="25">
        <v>-0.85225379467010498</v>
      </c>
      <c r="BN20" s="25">
        <v>-0.83782356977462802</v>
      </c>
      <c r="BO20" s="25">
        <v>-0.922807276248932</v>
      </c>
      <c r="BP20" s="25">
        <v>-0.73075389862060502</v>
      </c>
    </row>
    <row r="21" spans="1:68" x14ac:dyDescent="0.25">
      <c r="A21" t="s">
        <v>1076</v>
      </c>
      <c r="B21" t="s">
        <v>1077</v>
      </c>
      <c r="C21" t="s">
        <v>1044</v>
      </c>
      <c r="D21" t="s">
        <v>1045</v>
      </c>
      <c r="AO21" s="25">
        <v>-2.11674880981445</v>
      </c>
      <c r="AP21" s="25"/>
      <c r="AQ21" s="25">
        <v>-2.2975323200225799</v>
      </c>
      <c r="AR21" s="25"/>
      <c r="AS21" s="25">
        <v>-2.01407074928284</v>
      </c>
      <c r="AT21" s="25"/>
      <c r="AU21" s="25">
        <v>-2.28477239608765</v>
      </c>
      <c r="AV21" s="25">
        <v>-2.2448313236236599</v>
      </c>
      <c r="AW21" s="25">
        <v>-2.5227596759796098</v>
      </c>
      <c r="AX21" s="25">
        <v>-1.5233780145645099</v>
      </c>
      <c r="AY21" s="25">
        <v>-1.42777347564697</v>
      </c>
      <c r="AZ21" s="25">
        <v>-1.377925157547</v>
      </c>
      <c r="BA21" s="25">
        <v>-1.6364983320236199</v>
      </c>
      <c r="BB21" s="25">
        <v>-1.2714426517486599</v>
      </c>
      <c r="BC21" s="25">
        <v>-1.6259593963623</v>
      </c>
      <c r="BD21" s="25">
        <v>-1.80720043182373</v>
      </c>
      <c r="BE21" s="25">
        <v>-1.7047381401062001</v>
      </c>
      <c r="BF21" s="25">
        <v>-1.3502775430679299</v>
      </c>
      <c r="BG21" s="25">
        <v>-0.784407138824463</v>
      </c>
      <c r="BH21" s="25">
        <v>-1.9374461174011199</v>
      </c>
      <c r="BI21" s="25">
        <v>-1.9643751382827801</v>
      </c>
      <c r="BJ21" s="25">
        <v>-2.00257515907288</v>
      </c>
      <c r="BK21" s="25">
        <v>-1.57027816772461</v>
      </c>
      <c r="BL21" s="25">
        <v>-1.62505626678467</v>
      </c>
      <c r="BM21" s="25">
        <v>-1.54235208034515</v>
      </c>
      <c r="BN21" s="25">
        <v>-1.2583993673324601</v>
      </c>
      <c r="BO21" s="25">
        <v>-1.1924462318420399</v>
      </c>
      <c r="BP21" s="25">
        <v>-1.17240297794342</v>
      </c>
    </row>
    <row r="22" spans="1:68" x14ac:dyDescent="0.25">
      <c r="A22" t="s">
        <v>1078</v>
      </c>
      <c r="B22" t="s">
        <v>1079</v>
      </c>
      <c r="C22" t="s">
        <v>1044</v>
      </c>
      <c r="D22" t="s">
        <v>1045</v>
      </c>
      <c r="AO22" s="25">
        <v>1.2884994745254501</v>
      </c>
      <c r="AP22" s="25"/>
      <c r="AQ22" s="25">
        <v>1.02412986755371</v>
      </c>
      <c r="AR22" s="25"/>
      <c r="AS22" s="25">
        <v>1.12981116771698</v>
      </c>
      <c r="AT22" s="25"/>
      <c r="AU22" s="25">
        <v>1.26080238819122</v>
      </c>
      <c r="AV22" s="25">
        <v>0.85823780298232999</v>
      </c>
      <c r="AW22" s="25">
        <v>0.70913672447204601</v>
      </c>
      <c r="AX22" s="25">
        <v>0.79377418756484996</v>
      </c>
      <c r="AY22" s="25">
        <v>0.85637581348419201</v>
      </c>
      <c r="AZ22" s="25">
        <v>0.75732505321502697</v>
      </c>
      <c r="BA22" s="25">
        <v>0.62057119607925404</v>
      </c>
      <c r="BB22" s="25">
        <v>0.82082468271255504</v>
      </c>
      <c r="BC22" s="25">
        <v>0.81064617633819602</v>
      </c>
      <c r="BD22" s="25">
        <v>0.95453542470931996</v>
      </c>
      <c r="BE22" s="25">
        <v>0.92359972000122104</v>
      </c>
      <c r="BF22" s="25">
        <v>0.94008272886276201</v>
      </c>
      <c r="BG22" s="25">
        <v>0.70126944780349698</v>
      </c>
      <c r="BH22" s="25">
        <v>0.57709211111068703</v>
      </c>
      <c r="BI22" s="25">
        <v>0.42960610985755898</v>
      </c>
      <c r="BJ22" s="25">
        <v>0.41760727763175998</v>
      </c>
      <c r="BK22" s="25">
        <v>0.39376944303512601</v>
      </c>
      <c r="BL22" s="25">
        <v>0.45839533209800698</v>
      </c>
      <c r="BM22" s="25">
        <v>0.52107852697372403</v>
      </c>
      <c r="BN22" s="25">
        <v>0.66268259286880504</v>
      </c>
      <c r="BO22" s="25">
        <v>0.58198159933090199</v>
      </c>
      <c r="BP22" s="25">
        <v>0.403853088617325</v>
      </c>
    </row>
    <row r="23" spans="1:68" x14ac:dyDescent="0.25">
      <c r="A23" t="s">
        <v>1080</v>
      </c>
      <c r="B23" t="s">
        <v>1081</v>
      </c>
      <c r="C23" t="s">
        <v>1044</v>
      </c>
      <c r="D23" t="s">
        <v>1045</v>
      </c>
      <c r="AO23" s="25">
        <v>1.05037176609039</v>
      </c>
      <c r="AP23" s="25"/>
      <c r="AQ23" s="25">
        <v>0.742279052734375</v>
      </c>
      <c r="AR23" s="25"/>
      <c r="AS23" s="25">
        <v>0.79965257644653298</v>
      </c>
      <c r="AT23" s="25"/>
      <c r="AU23" s="25">
        <v>0.82151585817337003</v>
      </c>
      <c r="AV23" s="25">
        <v>0.67928582429885898</v>
      </c>
      <c r="AW23" s="25">
        <v>0.26597347855567899</v>
      </c>
      <c r="AX23" s="25">
        <v>0.44974628090858498</v>
      </c>
      <c r="AY23" s="25">
        <v>0.54789257049560502</v>
      </c>
      <c r="AZ23" s="25">
        <v>0.38621762394905101</v>
      </c>
      <c r="BA23" s="25">
        <v>0.37642136216163602</v>
      </c>
      <c r="BB23" s="25">
        <v>0.40366667509079002</v>
      </c>
      <c r="BC23" s="25">
        <v>0.26126012206077598</v>
      </c>
      <c r="BD23" s="25">
        <v>0.31835636496543901</v>
      </c>
      <c r="BE23" s="25">
        <v>0.36436760425567599</v>
      </c>
      <c r="BF23" s="25">
        <v>0.30118936300277699</v>
      </c>
      <c r="BG23" s="25">
        <v>2.7139762416481999E-2</v>
      </c>
      <c r="BH23" s="25">
        <v>-2.0496422424912501E-2</v>
      </c>
      <c r="BI23" s="25">
        <v>-8.7835025042295508E-3</v>
      </c>
      <c r="BJ23" s="25">
        <v>2.6252493262291E-2</v>
      </c>
      <c r="BK23" s="25">
        <v>-0.14699041843414301</v>
      </c>
      <c r="BL23" s="25">
        <v>-0.42024025321006803</v>
      </c>
      <c r="BM23" s="25">
        <v>-0.44307166337966902</v>
      </c>
      <c r="BN23" s="25">
        <v>-0.39631867408752403</v>
      </c>
      <c r="BO23" s="25">
        <v>-0.34320268034934998</v>
      </c>
      <c r="BP23" s="25">
        <v>-0.34655943512916598</v>
      </c>
    </row>
    <row r="24" spans="1:68" x14ac:dyDescent="0.25">
      <c r="A24" t="s">
        <v>1082</v>
      </c>
      <c r="B24" t="s">
        <v>1083</v>
      </c>
      <c r="C24" t="s">
        <v>1044</v>
      </c>
      <c r="D24" t="s">
        <v>1045</v>
      </c>
      <c r="AO24" s="25">
        <v>-0.30074620246887201</v>
      </c>
      <c r="AP24" s="25"/>
      <c r="AQ24" s="25">
        <v>-0.11221124231815301</v>
      </c>
      <c r="AR24" s="25"/>
      <c r="AS24" s="25">
        <v>5.9820331633091001E-2</v>
      </c>
      <c r="AT24" s="25"/>
      <c r="AU24" s="25">
        <v>-0.30692124366760298</v>
      </c>
      <c r="AV24" s="25">
        <v>6.7120067775249495E-2</v>
      </c>
      <c r="AW24" s="25">
        <v>-8.12375172972679E-2</v>
      </c>
      <c r="AX24" s="25">
        <v>-6.2652915716171306E-2</v>
      </c>
      <c r="AY24" s="25">
        <v>0.15579955279827101</v>
      </c>
      <c r="AZ24" s="25">
        <v>0.30700868368148798</v>
      </c>
      <c r="BA24" s="25">
        <v>0.118724599480629</v>
      </c>
      <c r="BB24" s="25">
        <v>3.4040287137031597E-2</v>
      </c>
      <c r="BC24" s="25">
        <v>-0.11763714253902401</v>
      </c>
      <c r="BD24" s="25">
        <v>-0.55538147687911998</v>
      </c>
      <c r="BE24" s="25">
        <v>-0.57312923669815097</v>
      </c>
      <c r="BF24" s="25">
        <v>-0.76339012384414695</v>
      </c>
      <c r="BG24" s="25">
        <v>-0.78712856769561801</v>
      </c>
      <c r="BH24" s="25">
        <v>-0.60912734270095803</v>
      </c>
      <c r="BI24" s="25">
        <v>-0.868710696697235</v>
      </c>
      <c r="BJ24" s="25">
        <v>-0.92788583040237405</v>
      </c>
      <c r="BK24" s="25">
        <v>-1.06026446819305</v>
      </c>
      <c r="BL24" s="25">
        <v>-1.3021939992904701</v>
      </c>
      <c r="BM24" s="25">
        <v>-1.5379784107208301</v>
      </c>
      <c r="BN24" s="25">
        <v>-1.64294326305389</v>
      </c>
      <c r="BO24" s="25">
        <v>-1.81536936759949</v>
      </c>
      <c r="BP24" s="25">
        <v>-2.0352315902710001</v>
      </c>
    </row>
    <row r="25" spans="1:68" x14ac:dyDescent="0.25">
      <c r="A25" t="s">
        <v>1084</v>
      </c>
      <c r="B25" t="s">
        <v>1085</v>
      </c>
      <c r="C25" t="s">
        <v>1044</v>
      </c>
      <c r="D25" t="s">
        <v>1045</v>
      </c>
      <c r="AO25" s="25">
        <v>-0.54881525039672896</v>
      </c>
      <c r="AP25" s="25"/>
      <c r="AQ25" s="25">
        <v>-0.37074676156044001</v>
      </c>
      <c r="AR25" s="25"/>
      <c r="AS25" s="25">
        <v>-0.72626125812530495</v>
      </c>
      <c r="AT25" s="25"/>
      <c r="AU25" s="25">
        <v>-1.0325903892517101</v>
      </c>
      <c r="AV25" s="25">
        <v>-1.1155811548232999</v>
      </c>
      <c r="AW25" s="25">
        <v>-1.3604763746261599</v>
      </c>
      <c r="AX25" s="25">
        <v>-1.8638393878936801</v>
      </c>
      <c r="AY25" s="25">
        <v>-1.50709736347198</v>
      </c>
      <c r="AZ25" s="25">
        <v>-1.5430716276168801</v>
      </c>
      <c r="BA25" s="25">
        <v>-1.5083312988281199</v>
      </c>
      <c r="BB25" s="25">
        <v>-1.5467714071273799</v>
      </c>
      <c r="BC25" s="25">
        <v>-1.4257894754409799</v>
      </c>
      <c r="BD25" s="25">
        <v>-1.4047368764877299</v>
      </c>
      <c r="BE25" s="25">
        <v>-1.37908899784088</v>
      </c>
      <c r="BF25" s="25">
        <v>-1.6278588771820099</v>
      </c>
      <c r="BG25" s="25">
        <v>-0.895563185214996</v>
      </c>
      <c r="BH25" s="25">
        <v>-1.2097737789154099</v>
      </c>
      <c r="BI25" s="25">
        <v>-1.25973296165466</v>
      </c>
      <c r="BJ25" s="25">
        <v>-1.2536271810531601</v>
      </c>
      <c r="BK25" s="25">
        <v>-0.98556905984878496</v>
      </c>
      <c r="BL25" s="25">
        <v>-0.92862874269485496</v>
      </c>
      <c r="BM25" s="25">
        <v>-0.91581690311431896</v>
      </c>
      <c r="BN25" s="25">
        <v>-1.03688275814056</v>
      </c>
      <c r="BO25" s="25">
        <v>-1.0464620590210001</v>
      </c>
      <c r="BP25" s="25">
        <v>-0.90865671634674094</v>
      </c>
    </row>
    <row r="26" spans="1:68" x14ac:dyDescent="0.25">
      <c r="A26" t="s">
        <v>1086</v>
      </c>
      <c r="B26" t="s">
        <v>1087</v>
      </c>
      <c r="C26" t="s">
        <v>1044</v>
      </c>
      <c r="D26" t="s">
        <v>1045</v>
      </c>
      <c r="AO26" s="25">
        <v>-9.1028079390525804E-2</v>
      </c>
      <c r="AP26" s="25"/>
      <c r="AQ26" s="25">
        <v>0.57502526044845603</v>
      </c>
      <c r="AR26" s="25"/>
      <c r="AS26" s="25">
        <v>0.37796461582183799</v>
      </c>
      <c r="AT26" s="25"/>
      <c r="AU26" s="25">
        <v>0.46751236915588401</v>
      </c>
      <c r="AV26" s="25">
        <v>0.17352549731731401</v>
      </c>
      <c r="AW26" s="25">
        <v>3.6307335831224901E-3</v>
      </c>
      <c r="AX26" s="25">
        <v>0.14727059006691001</v>
      </c>
      <c r="AY26" s="25">
        <v>0.39442119002342202</v>
      </c>
      <c r="AZ26" s="25">
        <v>0.357635468244553</v>
      </c>
      <c r="BA26" s="25">
        <v>0.36986070871353099</v>
      </c>
      <c r="BB26" s="25">
        <v>0.35367897152900701</v>
      </c>
      <c r="BC26" s="25">
        <v>0.36009106040000899</v>
      </c>
      <c r="BD26" s="25">
        <v>0.30175030231475802</v>
      </c>
      <c r="BE26" s="25">
        <v>0.37983399629592901</v>
      </c>
      <c r="BF26" s="25">
        <v>0.170710384845734</v>
      </c>
      <c r="BG26" s="25">
        <v>7.8540898859500899E-2</v>
      </c>
      <c r="BH26" s="25">
        <v>1.0424641892314001E-2</v>
      </c>
      <c r="BI26" s="25">
        <v>6.8279370665550204E-2</v>
      </c>
      <c r="BJ26" s="25">
        <v>0.32137966156005898</v>
      </c>
      <c r="BK26" s="25">
        <v>0.44441118836402899</v>
      </c>
      <c r="BL26" s="25">
        <v>0.56128442287445102</v>
      </c>
      <c r="BM26" s="25">
        <v>0.40163102746009799</v>
      </c>
      <c r="BN26" s="25">
        <v>0.36473935842513999</v>
      </c>
      <c r="BO26" s="25">
        <v>0.31342864036560097</v>
      </c>
      <c r="BP26" s="25">
        <v>0.34186148643493702</v>
      </c>
    </row>
    <row r="27" spans="1:68" x14ac:dyDescent="0.25">
      <c r="A27" t="s">
        <v>1088</v>
      </c>
      <c r="B27" t="s">
        <v>1089</v>
      </c>
      <c r="C27" t="s">
        <v>1044</v>
      </c>
      <c r="D27" t="s">
        <v>1045</v>
      </c>
      <c r="AO27" s="25">
        <v>-0.30781790614128102</v>
      </c>
      <c r="AP27" s="25"/>
      <c r="AQ27" s="25">
        <v>-0.16236010193824801</v>
      </c>
      <c r="AR27" s="25"/>
      <c r="AS27" s="25">
        <v>5.6266963481903097E-2</v>
      </c>
      <c r="AT27" s="25"/>
      <c r="AU27" s="25">
        <v>0.29083037376403797</v>
      </c>
      <c r="AV27" s="25">
        <v>0.48391899466514599</v>
      </c>
      <c r="AW27" s="25">
        <v>0.31340256333351102</v>
      </c>
      <c r="AX27" s="25">
        <v>1.41627388074994E-2</v>
      </c>
      <c r="AY27" s="25">
        <v>-0.36505061388015703</v>
      </c>
      <c r="AZ27" s="25">
        <v>-0.247773513197899</v>
      </c>
      <c r="BA27" s="25">
        <v>-0.23736622929573101</v>
      </c>
      <c r="BB27" s="25">
        <v>-0.13723944127559701</v>
      </c>
      <c r="BC27" s="25">
        <v>-0.49347639083862299</v>
      </c>
      <c r="BD27" s="25">
        <v>-0.95084190368652299</v>
      </c>
      <c r="BE27" s="25">
        <v>-1.12995493412018</v>
      </c>
      <c r="BF27" s="25">
        <v>-1.3354177474975599</v>
      </c>
      <c r="BG27" s="25">
        <v>-0.90747487545013406</v>
      </c>
      <c r="BH27" s="25">
        <v>-1.0682626962661701</v>
      </c>
      <c r="BI27" s="25">
        <v>-0.79270023107528698</v>
      </c>
      <c r="BJ27" s="25">
        <v>-0.95874625444412198</v>
      </c>
      <c r="BK27" s="25">
        <v>-0.846294164657593</v>
      </c>
      <c r="BL27" s="25">
        <v>-0.62682998180389404</v>
      </c>
      <c r="BM27" s="25">
        <v>-0.610104620456696</v>
      </c>
      <c r="BN27" s="25">
        <v>-0.52476119995117199</v>
      </c>
      <c r="BO27" s="25">
        <v>-0.362905442714691</v>
      </c>
      <c r="BP27" s="25">
        <v>-0.37396758794784501</v>
      </c>
    </row>
    <row r="28" spans="1:68" x14ac:dyDescent="0.25">
      <c r="A28" t="s">
        <v>1090</v>
      </c>
      <c r="B28" t="s">
        <v>1091</v>
      </c>
      <c r="C28" t="s">
        <v>1044</v>
      </c>
      <c r="D28" t="s">
        <v>1045</v>
      </c>
      <c r="AO28" s="25">
        <v>1.07101774215698</v>
      </c>
      <c r="AP28" s="25"/>
      <c r="AQ28" s="25">
        <v>1.08732557296753</v>
      </c>
      <c r="AR28" s="25"/>
      <c r="AS28" s="25">
        <v>1.2795318365096999</v>
      </c>
      <c r="AT28" s="25"/>
      <c r="AU28" s="25">
        <v>0.95554190874099698</v>
      </c>
      <c r="AV28" s="25">
        <v>0.82634782791137695</v>
      </c>
      <c r="AW28" s="25">
        <v>0.89061367511749301</v>
      </c>
      <c r="AX28" s="25">
        <v>0.93814343214035001</v>
      </c>
      <c r="AY28" s="25">
        <v>0.81045371294021595</v>
      </c>
      <c r="AZ28" s="25">
        <v>0.73012244701385498</v>
      </c>
      <c r="BA28" s="25">
        <v>0.77453291416168202</v>
      </c>
      <c r="BB28" s="25">
        <v>0.85958045721054099</v>
      </c>
      <c r="BC28" s="25">
        <v>0.99369221925735496</v>
      </c>
      <c r="BD28" s="25">
        <v>1.10362148284912</v>
      </c>
      <c r="BE28" s="25">
        <v>1.18402600288391</v>
      </c>
      <c r="BF28" s="25">
        <v>1.1348246335983301</v>
      </c>
      <c r="BG28" s="25">
        <v>0.95647013187408403</v>
      </c>
      <c r="BH28" s="25">
        <v>0.89498245716095004</v>
      </c>
      <c r="BI28" s="25">
        <v>0.95994335412979104</v>
      </c>
      <c r="BJ28" s="25">
        <v>0.97676253318786599</v>
      </c>
      <c r="BK28" s="25">
        <v>0.84774553775787398</v>
      </c>
      <c r="BL28" s="25">
        <v>0.80156856775283802</v>
      </c>
      <c r="BM28" s="25">
        <v>0.83030688762664795</v>
      </c>
      <c r="BN28" s="25">
        <v>0.85096853971481301</v>
      </c>
      <c r="BO28" s="25">
        <v>0.88123923540115401</v>
      </c>
      <c r="BP28" s="25">
        <v>1.00856232643127</v>
      </c>
    </row>
    <row r="29" spans="1:68" x14ac:dyDescent="0.25">
      <c r="A29" t="s">
        <v>1092</v>
      </c>
      <c r="B29" t="s">
        <v>1093</v>
      </c>
      <c r="C29" t="s">
        <v>1044</v>
      </c>
      <c r="D29" t="s">
        <v>1045</v>
      </c>
      <c r="AO29" s="25">
        <v>-0.59442782402038596</v>
      </c>
      <c r="AP29" s="25"/>
      <c r="AQ29" s="25">
        <v>-0.58641546964645397</v>
      </c>
      <c r="AR29" s="25"/>
      <c r="AS29" s="25">
        <v>-0.52839332818984996</v>
      </c>
      <c r="AT29" s="25"/>
      <c r="AU29" s="25">
        <v>-0.16383728384971599</v>
      </c>
      <c r="AV29" s="25">
        <v>-0.40568351745605502</v>
      </c>
      <c r="AW29" s="25">
        <v>1.7319396138191199E-2</v>
      </c>
      <c r="AX29" s="25">
        <v>-0.50062435865402199</v>
      </c>
      <c r="AY29" s="25">
        <v>-0.44133675098419201</v>
      </c>
      <c r="AZ29" s="25">
        <v>-0.63141661882400502</v>
      </c>
      <c r="BA29" s="25">
        <v>-0.53965377807617199</v>
      </c>
      <c r="BB29" s="25">
        <v>-0.66591429710388195</v>
      </c>
      <c r="BC29" s="25">
        <v>-0.69373017549514804</v>
      </c>
      <c r="BD29" s="25">
        <v>-0.81979489326477095</v>
      </c>
      <c r="BE29" s="25">
        <v>-0.53814870119094804</v>
      </c>
      <c r="BF29" s="25">
        <v>-0.40494412183761602</v>
      </c>
      <c r="BG29" s="25">
        <v>-1.9179042428731901E-2</v>
      </c>
      <c r="BH29" s="25">
        <v>-0.40416762232780501</v>
      </c>
      <c r="BI29" s="25">
        <v>-0.40266400575637801</v>
      </c>
      <c r="BJ29" s="25">
        <v>-0.35146987438201899</v>
      </c>
      <c r="BK29" s="25">
        <v>-0.40085360407829301</v>
      </c>
      <c r="BL29" s="25">
        <v>-0.424811691045761</v>
      </c>
      <c r="BM29" s="25">
        <v>-0.44747713208198497</v>
      </c>
      <c r="BN29" s="25">
        <v>-0.42174008488655101</v>
      </c>
      <c r="BO29" s="25">
        <v>-0.48319369554519698</v>
      </c>
      <c r="BP29" s="25">
        <v>-0.35337331891059898</v>
      </c>
    </row>
    <row r="30" spans="1:68" x14ac:dyDescent="0.25">
      <c r="A30" t="s">
        <v>1094</v>
      </c>
      <c r="B30" t="s">
        <v>1095</v>
      </c>
      <c r="C30" t="s">
        <v>1044</v>
      </c>
      <c r="D30" t="s">
        <v>1045</v>
      </c>
      <c r="AO30" s="25">
        <v>9.3739204108715099E-2</v>
      </c>
      <c r="AP30" s="25"/>
      <c r="AQ30" s="25">
        <v>0.109475560486317</v>
      </c>
      <c r="AR30" s="25"/>
      <c r="AS30" s="25">
        <v>0.13950224220752699</v>
      </c>
      <c r="AT30" s="25"/>
      <c r="AU30" s="25">
        <v>0.30280596017837502</v>
      </c>
      <c r="AV30" s="25">
        <v>0.69302994012832597</v>
      </c>
      <c r="AW30" s="25">
        <v>0.161766871809959</v>
      </c>
      <c r="AX30" s="25">
        <v>0.36023107171058699</v>
      </c>
      <c r="AY30" s="25">
        <v>0.14846968650817899</v>
      </c>
      <c r="AZ30" s="25">
        <v>0.34100878238678001</v>
      </c>
      <c r="BA30" s="25">
        <v>0.521403908729553</v>
      </c>
      <c r="BB30" s="25">
        <v>0.48934775590896601</v>
      </c>
      <c r="BC30" s="25">
        <v>-9.4990096986293807E-2</v>
      </c>
      <c r="BD30" s="25">
        <v>-8.7769009172916398E-2</v>
      </c>
      <c r="BE30" s="25">
        <v>6.8615220487117795E-2</v>
      </c>
      <c r="BF30" s="25">
        <v>5.9591662138700503E-3</v>
      </c>
      <c r="BG30" s="25">
        <v>0.17978215217590299</v>
      </c>
      <c r="BH30" s="25">
        <v>0.110905699431896</v>
      </c>
      <c r="BI30" s="25">
        <v>0.13570626080036199</v>
      </c>
      <c r="BJ30" s="25">
        <v>-5.7208705693483401E-2</v>
      </c>
      <c r="BK30" s="25">
        <v>0.35359269380569502</v>
      </c>
      <c r="BL30" s="25">
        <v>0.34497809410095198</v>
      </c>
      <c r="BM30" s="25">
        <v>-0.88761597871780396</v>
      </c>
      <c r="BN30" s="25">
        <v>-0.75424557924270597</v>
      </c>
      <c r="BO30" s="25">
        <v>-0.80209660530090299</v>
      </c>
      <c r="BP30" s="25">
        <v>-0.72936564683914196</v>
      </c>
    </row>
    <row r="31" spans="1:68" x14ac:dyDescent="0.25">
      <c r="A31" t="s">
        <v>1096</v>
      </c>
      <c r="B31" t="s">
        <v>1097</v>
      </c>
      <c r="C31" t="s">
        <v>1044</v>
      </c>
      <c r="D31" t="s">
        <v>1045</v>
      </c>
      <c r="AO31" s="25">
        <v>0.55915212631225597</v>
      </c>
      <c r="AP31" s="25"/>
      <c r="AQ31" s="25">
        <v>0.59662997722625699</v>
      </c>
      <c r="AR31" s="25"/>
      <c r="AS31" s="25">
        <v>0.184220716357231</v>
      </c>
      <c r="AT31" s="25"/>
      <c r="AU31" s="25">
        <v>0.41799256205558799</v>
      </c>
      <c r="AV31" s="25">
        <v>0.48608204722404502</v>
      </c>
      <c r="AW31" s="25">
        <v>0.40156191587448098</v>
      </c>
      <c r="AX31" s="25">
        <v>0.104911744594574</v>
      </c>
      <c r="AY31" s="25">
        <v>8.1977039575576796E-2</v>
      </c>
      <c r="AZ31" s="25">
        <v>0.19492158293724099</v>
      </c>
      <c r="BA31" s="25">
        <v>0.19007198512554199</v>
      </c>
      <c r="BB31" s="25">
        <v>2.84302048385143E-2</v>
      </c>
      <c r="BC31" s="25">
        <v>7.0427685976028401E-2</v>
      </c>
      <c r="BD31" s="25">
        <v>0.151908859610558</v>
      </c>
      <c r="BE31" s="25">
        <v>0.180257618427277</v>
      </c>
      <c r="BF31" s="25">
        <v>0.17618925869464899</v>
      </c>
      <c r="BG31" s="25">
        <v>4.8583075404167203E-2</v>
      </c>
      <c r="BH31" s="25">
        <v>3.7259511649608598E-2</v>
      </c>
      <c r="BI31" s="25">
        <v>5.2189551293849903E-2</v>
      </c>
      <c r="BJ31" s="25">
        <v>3.0404126271605499E-2</v>
      </c>
      <c r="BK31" s="25">
        <v>-2.1232196595519798E-3</v>
      </c>
      <c r="BL31" s="25">
        <v>6.1986483633518198E-2</v>
      </c>
      <c r="BM31" s="25">
        <v>0.51866757869720503</v>
      </c>
      <c r="BN31" s="25">
        <v>0.27246606349945102</v>
      </c>
      <c r="BO31" s="25">
        <v>0.56400609016418501</v>
      </c>
      <c r="BP31" s="25">
        <v>0.58532577753067005</v>
      </c>
    </row>
    <row r="32" spans="1:68" x14ac:dyDescent="0.25">
      <c r="A32" t="s">
        <v>1098</v>
      </c>
      <c r="B32" t="s">
        <v>1099</v>
      </c>
      <c r="C32" t="s">
        <v>1044</v>
      </c>
      <c r="D32" t="s">
        <v>1045</v>
      </c>
      <c r="AO32" s="25">
        <v>0.71707689762115501</v>
      </c>
      <c r="AP32" s="25"/>
      <c r="AQ32" s="25">
        <v>0.72851198911666903</v>
      </c>
      <c r="AR32" s="25"/>
      <c r="AS32" s="25">
        <v>0.71323502063751198</v>
      </c>
      <c r="AT32" s="25"/>
      <c r="AU32" s="25">
        <v>0.79255992174148604</v>
      </c>
      <c r="AV32" s="25">
        <v>0.85172003507614102</v>
      </c>
      <c r="AW32" s="25">
        <v>0.89376592636108398</v>
      </c>
      <c r="AX32" s="25">
        <v>0.81907355785369895</v>
      </c>
      <c r="AY32" s="25">
        <v>0.77465146780014005</v>
      </c>
      <c r="AZ32" s="25">
        <v>0.77133053541183505</v>
      </c>
      <c r="BA32" s="25">
        <v>0.79597228765487704</v>
      </c>
      <c r="BB32" s="25">
        <v>0.69353222846984897</v>
      </c>
      <c r="BC32" s="25">
        <v>0.91183811426162698</v>
      </c>
      <c r="BD32" s="25">
        <v>0.96412211656570401</v>
      </c>
      <c r="BE32" s="25">
        <v>0.98025369644164995</v>
      </c>
      <c r="BF32" s="25">
        <v>0.97030305862426802</v>
      </c>
      <c r="BG32" s="25">
        <v>0.91389781236648604</v>
      </c>
      <c r="BH32" s="25">
        <v>0.96181738376617398</v>
      </c>
      <c r="BI32" s="25">
        <v>0.975613653659821</v>
      </c>
      <c r="BJ32" s="25">
        <v>0.98149091005325295</v>
      </c>
      <c r="BK32" s="25">
        <v>1.1332483291626001</v>
      </c>
      <c r="BL32" s="25">
        <v>1.05151903629303</v>
      </c>
      <c r="BM32" s="25">
        <v>1.0034422874450699</v>
      </c>
      <c r="BN32" s="25">
        <v>1.00254034996033</v>
      </c>
      <c r="BO32" s="25">
        <v>1.0240437984466599</v>
      </c>
      <c r="BP32" s="25">
        <v>1.0204062461853001</v>
      </c>
    </row>
    <row r="33" spans="1:68" x14ac:dyDescent="0.25">
      <c r="A33" t="s">
        <v>1100</v>
      </c>
      <c r="B33" t="s">
        <v>1101</v>
      </c>
      <c r="C33" t="s">
        <v>1044</v>
      </c>
      <c r="D33" t="s">
        <v>1045</v>
      </c>
      <c r="AO33" s="25">
        <v>-0.134768322110176</v>
      </c>
      <c r="AP33" s="25"/>
      <c r="AQ33" s="25">
        <v>-0.241092368960381</v>
      </c>
      <c r="AR33" s="25"/>
      <c r="AS33" s="25">
        <v>-0.23706117272377</v>
      </c>
      <c r="AT33" s="25"/>
      <c r="AU33" s="25">
        <v>-0.286515563726425</v>
      </c>
      <c r="AV33" s="25">
        <v>-0.83488517999649003</v>
      </c>
      <c r="AW33" s="25">
        <v>-0.68057084083557096</v>
      </c>
      <c r="AX33" s="25">
        <v>-0.97102987766265902</v>
      </c>
      <c r="AY33" s="25">
        <v>-0.80256295204162598</v>
      </c>
      <c r="AZ33" s="25">
        <v>-0.85207068920135498</v>
      </c>
      <c r="BA33" s="25">
        <v>-0.69656580686569203</v>
      </c>
      <c r="BB33" s="25">
        <v>-0.50611048936843905</v>
      </c>
      <c r="BC33" s="25">
        <v>-0.41540721058845498</v>
      </c>
      <c r="BD33" s="25">
        <v>-0.41712650656700101</v>
      </c>
      <c r="BE33" s="25">
        <v>-0.45806810259818997</v>
      </c>
      <c r="BF33" s="25">
        <v>-0.32859343290329002</v>
      </c>
      <c r="BG33" s="25">
        <v>-0.33311209082603499</v>
      </c>
      <c r="BH33" s="25">
        <v>-0.27049869298934898</v>
      </c>
      <c r="BI33" s="25">
        <v>-0.25367596745491</v>
      </c>
      <c r="BJ33" s="25">
        <v>-0.28011089563369801</v>
      </c>
      <c r="BK33" s="25">
        <v>-0.28662070631980902</v>
      </c>
      <c r="BL33" s="25">
        <v>-0.72834026813507102</v>
      </c>
      <c r="BM33" s="25">
        <v>-0.45346719026565602</v>
      </c>
      <c r="BN33" s="25">
        <v>-0.27877426147460899</v>
      </c>
      <c r="BO33" s="25">
        <v>-0.19190855324268299</v>
      </c>
      <c r="BP33" s="25">
        <v>-0.31318363547325101</v>
      </c>
    </row>
    <row r="34" spans="1:68" x14ac:dyDescent="0.25">
      <c r="A34" t="s">
        <v>1102</v>
      </c>
      <c r="B34" t="s">
        <v>1103</v>
      </c>
      <c r="C34" t="s">
        <v>1044</v>
      </c>
      <c r="D34" t="s">
        <v>1045</v>
      </c>
      <c r="AO34" s="25">
        <v>-0.22046013176441201</v>
      </c>
      <c r="AP34" s="25"/>
      <c r="AQ34" s="25">
        <v>-0.33950579166412398</v>
      </c>
      <c r="AR34" s="25"/>
      <c r="AS34" s="25">
        <v>0.18410162627696999</v>
      </c>
      <c r="AT34" s="25"/>
      <c r="AU34" s="25">
        <v>0.327800273895264</v>
      </c>
      <c r="AV34" s="25">
        <v>4.2139342986047303E-3</v>
      </c>
      <c r="AW34" s="25">
        <v>-0.27599281072616599</v>
      </c>
      <c r="AX34" s="25">
        <v>-0.26337975263595598</v>
      </c>
      <c r="AY34" s="25">
        <v>-0.29491111636161799</v>
      </c>
      <c r="AZ34" s="25">
        <v>-0.35794809460639998</v>
      </c>
      <c r="BA34" s="25">
        <v>-0.31342470645904502</v>
      </c>
      <c r="BB34" s="25">
        <v>0.16366422176361101</v>
      </c>
      <c r="BC34" s="25">
        <v>1.34759107604623E-2</v>
      </c>
      <c r="BD34" s="25">
        <v>-0.13257542252540599</v>
      </c>
      <c r="BE34" s="25">
        <v>4.5961640775203698E-2</v>
      </c>
      <c r="BF34" s="25">
        <v>-0.258553296327591</v>
      </c>
      <c r="BG34" s="25">
        <v>-7.0290133357048007E-2</v>
      </c>
      <c r="BH34" s="25">
        <v>-0.33186444640159601</v>
      </c>
      <c r="BI34" s="25">
        <v>-0.38103505969047502</v>
      </c>
      <c r="BJ34" s="25">
        <v>-0.47994756698608398</v>
      </c>
      <c r="BK34" s="25">
        <v>-0.45959851145744302</v>
      </c>
      <c r="BL34" s="25">
        <v>-0.71422463655471802</v>
      </c>
      <c r="BM34" s="25">
        <v>-0.44689092040062001</v>
      </c>
      <c r="BN34" s="25">
        <v>-0.41987976431846602</v>
      </c>
      <c r="BO34" s="25">
        <v>-0.39503693580627403</v>
      </c>
      <c r="BP34" s="25">
        <v>-0.40856778621673601</v>
      </c>
    </row>
    <row r="35" spans="1:68" x14ac:dyDescent="0.25">
      <c r="A35" t="s">
        <v>1104</v>
      </c>
      <c r="B35" t="s">
        <v>1105</v>
      </c>
      <c r="C35" t="s">
        <v>1044</v>
      </c>
      <c r="D35" t="s">
        <v>1045</v>
      </c>
      <c r="AO35" s="25">
        <v>1.05037176609039</v>
      </c>
      <c r="AP35" s="25"/>
      <c r="AQ35" s="25">
        <v>1.0842658281326301</v>
      </c>
      <c r="AR35" s="25"/>
      <c r="AS35" s="25">
        <v>1.15119981765747</v>
      </c>
      <c r="AT35" s="25"/>
      <c r="AU35" s="25">
        <v>1.0971990823745701</v>
      </c>
      <c r="AV35" s="25">
        <v>0.91894859075546298</v>
      </c>
      <c r="AW35" s="25">
        <v>1.0943527221679701</v>
      </c>
      <c r="AX35" s="25">
        <v>1.1129188537597701</v>
      </c>
      <c r="AY35" s="25">
        <v>0.91321188211440996</v>
      </c>
      <c r="AZ35" s="25">
        <v>1.04420638084412</v>
      </c>
      <c r="BA35" s="25">
        <v>1.06835830211639</v>
      </c>
      <c r="BB35" s="25">
        <v>1.04774069786072</v>
      </c>
      <c r="BC35" s="25">
        <v>1.06063663959503</v>
      </c>
      <c r="BD35" s="25">
        <v>1.2461301088333101</v>
      </c>
      <c r="BE35" s="25">
        <v>1.1859656572341899</v>
      </c>
      <c r="BF35" s="25">
        <v>1.26692914962769</v>
      </c>
      <c r="BG35" s="25">
        <v>1.2779198884964</v>
      </c>
      <c r="BH35" s="25">
        <v>1.11682772636414</v>
      </c>
      <c r="BI35" s="25">
        <v>0.960008144378662</v>
      </c>
      <c r="BJ35" s="25">
        <v>0.95252531766891502</v>
      </c>
      <c r="BK35" s="25">
        <v>0.90069490671157804</v>
      </c>
      <c r="BL35" s="25">
        <v>1.03293108940125</v>
      </c>
      <c r="BM35" s="25">
        <v>1.12065994739532</v>
      </c>
      <c r="BN35" s="25">
        <v>1.1185704469680799</v>
      </c>
      <c r="BO35" s="25">
        <v>1.1446454524993901</v>
      </c>
      <c r="BP35" s="25">
        <v>1.18712854385376</v>
      </c>
    </row>
    <row r="36" spans="1:68" x14ac:dyDescent="0.25">
      <c r="A36" t="s">
        <v>1106</v>
      </c>
      <c r="B36" t="s">
        <v>1107</v>
      </c>
      <c r="C36" t="s">
        <v>1044</v>
      </c>
      <c r="D36" t="s">
        <v>1045</v>
      </c>
      <c r="AO36" s="25">
        <v>1.23704397678375</v>
      </c>
      <c r="AP36" s="25"/>
      <c r="AQ36" s="25">
        <v>1.11163866519928</v>
      </c>
      <c r="AR36" s="25"/>
      <c r="AS36" s="25">
        <v>1.30202329158783</v>
      </c>
      <c r="AT36" s="25"/>
      <c r="AU36" s="25">
        <v>1.1555321216583301</v>
      </c>
      <c r="AV36" s="25">
        <v>1.14442586898804</v>
      </c>
      <c r="AW36" s="25">
        <v>1.36943471431732</v>
      </c>
      <c r="AX36" s="25">
        <v>1.2126598358154299</v>
      </c>
      <c r="AY36" s="25">
        <v>1.1233551502227801</v>
      </c>
      <c r="AZ36" s="25">
        <v>1.1071069240570099</v>
      </c>
      <c r="BA36" s="25">
        <v>1.1256190538406401</v>
      </c>
      <c r="BB36" s="25">
        <v>1.3871266841888401</v>
      </c>
      <c r="BC36" s="25">
        <v>1.2775470018386801</v>
      </c>
      <c r="BD36" s="25">
        <v>1.08519375324249</v>
      </c>
      <c r="BE36" s="25">
        <v>0.90932720899581898</v>
      </c>
      <c r="BF36" s="25">
        <v>1.0740222930908201</v>
      </c>
      <c r="BG36" s="25">
        <v>1.26150703430176</v>
      </c>
      <c r="BH36" s="25">
        <v>1.2337125539779701</v>
      </c>
      <c r="BI36" s="25">
        <v>1.14201784133911</v>
      </c>
      <c r="BJ36" s="25">
        <v>1.15342676639557</v>
      </c>
      <c r="BK36" s="25">
        <v>1.2360378503799401</v>
      </c>
      <c r="BL36" s="25">
        <v>1.1110872030258201</v>
      </c>
      <c r="BM36" s="25">
        <v>1.1880840063095099</v>
      </c>
      <c r="BN36" s="25">
        <v>1.1718099117279099</v>
      </c>
      <c r="BO36" s="25">
        <v>1.2424886226654099</v>
      </c>
      <c r="BP36" s="25">
        <v>1.36600065231323</v>
      </c>
    </row>
    <row r="37" spans="1:68" x14ac:dyDescent="0.25">
      <c r="A37" t="s">
        <v>1108</v>
      </c>
      <c r="B37" t="s">
        <v>1109</v>
      </c>
      <c r="C37" t="s">
        <v>1044</v>
      </c>
      <c r="D37" t="s">
        <v>1045</v>
      </c>
      <c r="AO37" s="25">
        <v>0.724004507064819</v>
      </c>
      <c r="AP37" s="25"/>
      <c r="AQ37" s="25">
        <v>0.53963208198547397</v>
      </c>
      <c r="AR37" s="25"/>
      <c r="AS37" s="25">
        <v>0.49193668365478499</v>
      </c>
      <c r="AT37" s="25"/>
      <c r="AU37" s="25">
        <v>0.693675577640533</v>
      </c>
      <c r="AV37" s="25">
        <v>0.91894859075546298</v>
      </c>
      <c r="AW37" s="25">
        <v>1.1720503568649301</v>
      </c>
      <c r="AX37" s="25">
        <v>1.2844873666763299</v>
      </c>
      <c r="AY37" s="25">
        <v>1.2645189762115501</v>
      </c>
      <c r="AZ37" s="25">
        <v>0.56852650642394997</v>
      </c>
      <c r="BA37" s="25">
        <v>0.72066938877105702</v>
      </c>
      <c r="BB37" s="25">
        <v>0.80349665880203203</v>
      </c>
      <c r="BC37" s="25">
        <v>0.74222165346145597</v>
      </c>
      <c r="BD37" s="25">
        <v>0.82649534940719604</v>
      </c>
      <c r="BE37" s="25">
        <v>0.77630949020385698</v>
      </c>
      <c r="BF37" s="25">
        <v>0.78462487459182695</v>
      </c>
      <c r="BG37" s="25">
        <v>1.06803858280182</v>
      </c>
      <c r="BH37" s="25">
        <v>0.96077263355255105</v>
      </c>
      <c r="BI37" s="25">
        <v>1.1060882806778001</v>
      </c>
      <c r="BJ37" s="25">
        <v>1.1027946472168</v>
      </c>
      <c r="BK37" s="25">
        <v>1.0776610374450699</v>
      </c>
      <c r="BL37" s="25">
        <v>1.0654714107513401</v>
      </c>
      <c r="BM37" s="25">
        <v>1.01348912715912</v>
      </c>
      <c r="BN37" s="25">
        <v>0.797255098819733</v>
      </c>
      <c r="BO37" s="25">
        <v>1.0093425512313801</v>
      </c>
      <c r="BP37" s="25">
        <v>0.98280042409896895</v>
      </c>
    </row>
    <row r="38" spans="1:68" x14ac:dyDescent="0.25">
      <c r="A38" t="s">
        <v>1110</v>
      </c>
      <c r="B38" t="s">
        <v>1111</v>
      </c>
      <c r="C38" t="s">
        <v>1044</v>
      </c>
      <c r="D38" t="s">
        <v>1045</v>
      </c>
      <c r="AO38" s="25">
        <v>1.0152451992034901</v>
      </c>
      <c r="AP38" s="25"/>
      <c r="AQ38" s="25">
        <v>0.95549130439758301</v>
      </c>
      <c r="AR38" s="25"/>
      <c r="AS38" s="25">
        <v>1.07435250282288</v>
      </c>
      <c r="AT38" s="25"/>
      <c r="AU38" s="25">
        <v>0.87326443195342995</v>
      </c>
      <c r="AV38" s="25">
        <v>1.1049375534057599</v>
      </c>
      <c r="AW38" s="25">
        <v>0.91668874025344804</v>
      </c>
      <c r="AX38" s="25">
        <v>1.0635725259780899</v>
      </c>
      <c r="AY38" s="25">
        <v>1.0171098709106401</v>
      </c>
      <c r="AZ38" s="25">
        <v>1.0561391115188601</v>
      </c>
      <c r="BA38" s="25">
        <v>1.0331056118011499</v>
      </c>
      <c r="BB38" s="25">
        <v>0.95386123657226596</v>
      </c>
      <c r="BC38" s="25">
        <v>0.99120980501174905</v>
      </c>
      <c r="BD38" s="25">
        <v>1.06444656848907</v>
      </c>
      <c r="BE38" s="25">
        <v>1.1040414571762101</v>
      </c>
      <c r="BF38" s="25">
        <v>1.1023470163345299</v>
      </c>
      <c r="BG38" s="25">
        <v>1.01184713840485</v>
      </c>
      <c r="BH38" s="25">
        <v>1.0313682556152299</v>
      </c>
      <c r="BI38" s="25">
        <v>0.979198038578033</v>
      </c>
      <c r="BJ38" s="25">
        <v>1.0092958211898799</v>
      </c>
      <c r="BK38" s="25">
        <v>0.95846986770629905</v>
      </c>
      <c r="BL38" s="25">
        <v>1.0953298807144201</v>
      </c>
      <c r="BM38" s="25">
        <v>1.01316809654236</v>
      </c>
      <c r="BN38" s="25">
        <v>1.0414071083068801</v>
      </c>
      <c r="BO38" s="25">
        <v>1.0739837884903001</v>
      </c>
      <c r="BP38" s="25">
        <v>1.03843998908997</v>
      </c>
    </row>
    <row r="39" spans="1:68" x14ac:dyDescent="0.25">
      <c r="A39" t="s">
        <v>1112</v>
      </c>
      <c r="B39" t="s">
        <v>1113</v>
      </c>
      <c r="C39" t="s">
        <v>1044</v>
      </c>
      <c r="D39" t="s">
        <v>1045</v>
      </c>
      <c r="AO39" s="25">
        <v>-1.2117296457290601</v>
      </c>
      <c r="AP39" s="25"/>
      <c r="AQ39" s="25">
        <v>-1.1417493820190401</v>
      </c>
      <c r="AR39" s="25"/>
      <c r="AS39" s="25">
        <v>-1.1204425096511801</v>
      </c>
      <c r="AT39" s="25"/>
      <c r="AU39" s="25">
        <v>-1.7334061861038199</v>
      </c>
      <c r="AV39" s="25">
        <v>-1.53887343406677</v>
      </c>
      <c r="AW39" s="25">
        <v>-1.42424488067627</v>
      </c>
      <c r="AX39" s="25">
        <v>-1.42799496650696</v>
      </c>
      <c r="AY39" s="25">
        <v>-1.85155153274536</v>
      </c>
      <c r="AZ39" s="25">
        <v>-1.8572640419006301</v>
      </c>
      <c r="BA39" s="25">
        <v>-1.8438141345977801</v>
      </c>
      <c r="BB39" s="25">
        <v>-1.9039899110794101</v>
      </c>
      <c r="BC39" s="25">
        <v>-2.0206253528595002</v>
      </c>
      <c r="BD39" s="25">
        <v>-1.78938913345337</v>
      </c>
      <c r="BE39" s="25">
        <v>-1.85292291641235</v>
      </c>
      <c r="BF39" s="25">
        <v>-2.15489673614502</v>
      </c>
      <c r="BG39" s="25">
        <v>-2.6991932392120401</v>
      </c>
      <c r="BH39" s="25">
        <v>-1.89358747005463</v>
      </c>
      <c r="BI39" s="25">
        <v>-1.7795487642288199</v>
      </c>
      <c r="BJ39" s="25">
        <v>-1.9935333728790301</v>
      </c>
      <c r="BK39" s="25">
        <v>-2.1722075939178498</v>
      </c>
      <c r="BL39" s="25">
        <v>-2.13587546348572</v>
      </c>
      <c r="BM39" s="25">
        <v>-2.23627758026123</v>
      </c>
      <c r="BN39" s="25">
        <v>-2.12685298919678</v>
      </c>
      <c r="BO39" s="25">
        <v>-2.2050523757934601</v>
      </c>
      <c r="BP39" s="25">
        <v>-2.20310711860657</v>
      </c>
    </row>
    <row r="40" spans="1:68" x14ac:dyDescent="0.25">
      <c r="A40" t="s">
        <v>1114</v>
      </c>
      <c r="B40" t="s">
        <v>1115</v>
      </c>
      <c r="C40" t="s">
        <v>1044</v>
      </c>
      <c r="D40" t="s">
        <v>1045</v>
      </c>
      <c r="AO40" s="25">
        <v>1.2340517044067401</v>
      </c>
      <c r="AP40" s="25"/>
      <c r="AQ40" s="25">
        <v>0.95088124275207497</v>
      </c>
      <c r="AR40" s="25"/>
      <c r="AS40" s="25">
        <v>1.1675268411636399</v>
      </c>
      <c r="AT40" s="25"/>
      <c r="AU40" s="25">
        <v>1.2180317640304601</v>
      </c>
      <c r="AV40" s="25">
        <v>1.0530767440795901</v>
      </c>
      <c r="AW40" s="25">
        <v>0.87644749879837003</v>
      </c>
      <c r="AX40" s="25">
        <v>0.82872503995895397</v>
      </c>
      <c r="AY40" s="25">
        <v>1.03495657444</v>
      </c>
      <c r="AZ40" s="25">
        <v>1.0070106983184799</v>
      </c>
      <c r="BA40" s="25">
        <v>1.0413726568221999</v>
      </c>
      <c r="BB40" s="25">
        <v>1.12707591056824</v>
      </c>
      <c r="BC40" s="25">
        <v>0.936318218708038</v>
      </c>
      <c r="BD40" s="25">
        <v>1.07717573642731</v>
      </c>
      <c r="BE40" s="25">
        <v>1.1130162477493299</v>
      </c>
      <c r="BF40" s="25">
        <v>1.0614217519760101</v>
      </c>
      <c r="BG40" s="25">
        <v>1.17550384998322</v>
      </c>
      <c r="BH40" s="25">
        <v>1.2623368501663199</v>
      </c>
      <c r="BI40" s="25">
        <v>1.24041163921356</v>
      </c>
      <c r="BJ40" s="25">
        <v>1.0896811485290501</v>
      </c>
      <c r="BK40" s="25">
        <v>0.96397107839584395</v>
      </c>
      <c r="BL40" s="25">
        <v>0.99493354558944702</v>
      </c>
      <c r="BM40" s="25">
        <v>1.0131822824478101</v>
      </c>
      <c r="BN40" s="25">
        <v>0.96233695745468095</v>
      </c>
      <c r="BO40" s="25">
        <v>0.78068155050277699</v>
      </c>
      <c r="BP40" s="25">
        <v>0.82242053747177102</v>
      </c>
    </row>
    <row r="41" spans="1:68" x14ac:dyDescent="0.25">
      <c r="A41" t="s">
        <v>1116</v>
      </c>
      <c r="B41" t="s">
        <v>1117</v>
      </c>
      <c r="C41" t="s">
        <v>1044</v>
      </c>
      <c r="D41" t="s">
        <v>1045</v>
      </c>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row>
    <row r="42" spans="1:68" x14ac:dyDescent="0.25">
      <c r="A42" t="s">
        <v>1118</v>
      </c>
      <c r="B42" t="s">
        <v>1119</v>
      </c>
      <c r="C42" t="s">
        <v>1044</v>
      </c>
      <c r="D42" t="s">
        <v>1045</v>
      </c>
      <c r="AO42" s="25">
        <v>1.45682156085968</v>
      </c>
      <c r="AP42" s="25"/>
      <c r="AQ42" s="25">
        <v>1.4396612644195601</v>
      </c>
      <c r="AR42" s="25"/>
      <c r="AS42" s="25">
        <v>1.57881200313568</v>
      </c>
      <c r="AT42" s="25"/>
      <c r="AU42" s="25">
        <v>1.5423681735992401</v>
      </c>
      <c r="AV42" s="25">
        <v>1.24610948562622</v>
      </c>
      <c r="AW42" s="25">
        <v>1.22733986377716</v>
      </c>
      <c r="AX42" s="25">
        <v>1.19678211212158</v>
      </c>
      <c r="AY42" s="25">
        <v>1.26811742782593</v>
      </c>
      <c r="AZ42" s="25">
        <v>1.23440885543823</v>
      </c>
      <c r="BA42" s="25">
        <v>1.22224521636963</v>
      </c>
      <c r="BB42" s="25">
        <v>1.3077212572097801</v>
      </c>
      <c r="BC42" s="25">
        <v>1.25859427452087</v>
      </c>
      <c r="BD42" s="25">
        <v>1.30034208297729</v>
      </c>
      <c r="BE42" s="25">
        <v>1.41833603382111</v>
      </c>
      <c r="BF42" s="25">
        <v>1.4011402130127</v>
      </c>
      <c r="BG42" s="25">
        <v>1.4026526212692301</v>
      </c>
      <c r="BH42" s="25">
        <v>1.32649421691895</v>
      </c>
      <c r="BI42" s="25">
        <v>1.2898540496826201</v>
      </c>
      <c r="BJ42" s="25">
        <v>1.2423164844512899</v>
      </c>
      <c r="BK42" s="25">
        <v>1.3194819688796999</v>
      </c>
      <c r="BL42" s="25">
        <v>1.3109754323959399</v>
      </c>
      <c r="BM42" s="25">
        <v>1.1762402057647701</v>
      </c>
      <c r="BN42" s="25">
        <v>1.1153756380081199</v>
      </c>
      <c r="BO42" s="25">
        <v>1.15974533557892</v>
      </c>
      <c r="BP42" s="25">
        <v>1.07144391536713</v>
      </c>
    </row>
    <row r="43" spans="1:68" x14ac:dyDescent="0.25">
      <c r="A43" t="s">
        <v>1120</v>
      </c>
      <c r="B43" t="s">
        <v>1121</v>
      </c>
      <c r="C43" t="s">
        <v>1044</v>
      </c>
      <c r="D43" t="s">
        <v>1045</v>
      </c>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row>
    <row r="44" spans="1:68" x14ac:dyDescent="0.25">
      <c r="A44" t="s">
        <v>1122</v>
      </c>
      <c r="B44" t="s">
        <v>1123</v>
      </c>
      <c r="C44" t="s">
        <v>1044</v>
      </c>
      <c r="D44" t="s">
        <v>1045</v>
      </c>
      <c r="AO44" s="25">
        <v>0.67645454406738303</v>
      </c>
      <c r="AP44" s="25"/>
      <c r="AQ44" s="25">
        <v>3.3281281590461703E-2</v>
      </c>
      <c r="AR44" s="25"/>
      <c r="AS44" s="25">
        <v>0.48546415567398099</v>
      </c>
      <c r="AT44" s="25"/>
      <c r="AU44" s="25">
        <v>1.0887963771820099</v>
      </c>
      <c r="AV44" s="25">
        <v>0.76161193847656194</v>
      </c>
      <c r="AW44" s="25">
        <v>0.69134169816970803</v>
      </c>
      <c r="AX44" s="25">
        <v>0.84238362312316895</v>
      </c>
      <c r="AY44" s="25">
        <v>0.61300587654113803</v>
      </c>
      <c r="AZ44" s="25">
        <v>0.40637087821960399</v>
      </c>
      <c r="BA44" s="25">
        <v>0.43191295862197898</v>
      </c>
      <c r="BB44" s="25">
        <v>0.60258442163467396</v>
      </c>
      <c r="BC44" s="25">
        <v>0.67960453033447299</v>
      </c>
      <c r="BD44" s="25">
        <v>0.452553361654282</v>
      </c>
      <c r="BE44" s="25">
        <v>0.33110210299491899</v>
      </c>
      <c r="BF44" s="25">
        <v>0.36374253034591703</v>
      </c>
      <c r="BG44" s="25">
        <v>0.44751691818237299</v>
      </c>
      <c r="BH44" s="25">
        <v>0.42487174272537198</v>
      </c>
      <c r="BI44" s="25">
        <v>0.402406215667725</v>
      </c>
      <c r="BJ44" s="25">
        <v>0.40628159046173101</v>
      </c>
      <c r="BK44" s="25">
        <v>0.412769764661789</v>
      </c>
      <c r="BL44" s="25">
        <v>-1.61215793341398E-2</v>
      </c>
      <c r="BM44" s="25">
        <v>4.4044505804777097E-2</v>
      </c>
      <c r="BN44" s="25">
        <v>0.16142718493938399</v>
      </c>
      <c r="BO44" s="25">
        <v>0.13208432495594</v>
      </c>
      <c r="BP44" s="25">
        <v>0.13615994155406999</v>
      </c>
    </row>
    <row r="45" spans="1:68" x14ac:dyDescent="0.25">
      <c r="A45" t="s">
        <v>1124</v>
      </c>
      <c r="B45" t="s">
        <v>1125</v>
      </c>
      <c r="C45" t="s">
        <v>1044</v>
      </c>
      <c r="D45" t="s">
        <v>1045</v>
      </c>
      <c r="AO45" s="25">
        <v>-9.7848825156688704E-2</v>
      </c>
      <c r="AP45" s="25"/>
      <c r="AQ45" s="25">
        <v>-0.39410522580146801</v>
      </c>
      <c r="AR45" s="25"/>
      <c r="AS45" s="25">
        <v>-0.20991687476634999</v>
      </c>
      <c r="AT45" s="25"/>
      <c r="AU45" s="25">
        <v>-0.32762718200683599</v>
      </c>
      <c r="AV45" s="25">
        <v>-0.56535792350768999</v>
      </c>
      <c r="AW45" s="25">
        <v>-0.39068067073821999</v>
      </c>
      <c r="AX45" s="25">
        <v>-0.50175660848617598</v>
      </c>
      <c r="AY45" s="25">
        <v>-0.54003012180328402</v>
      </c>
      <c r="AZ45" s="25">
        <v>-0.50055372714996305</v>
      </c>
      <c r="BA45" s="25">
        <v>-0.49308842420577997</v>
      </c>
      <c r="BB45" s="25">
        <v>-0.45178133249282798</v>
      </c>
      <c r="BC45" s="25">
        <v>-0.65706068277358998</v>
      </c>
      <c r="BD45" s="25">
        <v>-0.60205483436584495</v>
      </c>
      <c r="BE45" s="25">
        <v>-0.53878206014633201</v>
      </c>
      <c r="BF45" s="25">
        <v>-0.543789923191071</v>
      </c>
      <c r="BG45" s="25">
        <v>-0.52258402109146096</v>
      </c>
      <c r="BH45" s="25">
        <v>-0.552559673786163</v>
      </c>
      <c r="BI45" s="25">
        <v>-0.50222134590148904</v>
      </c>
      <c r="BJ45" s="25">
        <v>-0.23255810141563399</v>
      </c>
      <c r="BK45" s="25">
        <v>-0.29857248067855802</v>
      </c>
      <c r="BL45" s="25">
        <v>-0.25978067517280601</v>
      </c>
      <c r="BM45" s="25">
        <v>-0.47412785887718201</v>
      </c>
      <c r="BN45" s="25">
        <v>-0.516462862491608</v>
      </c>
      <c r="BO45" s="25">
        <v>-0.45127671957016002</v>
      </c>
      <c r="BP45" s="25">
        <v>-0.51309704780578602</v>
      </c>
    </row>
    <row r="46" spans="1:68" x14ac:dyDescent="0.25">
      <c r="A46" t="s">
        <v>1126</v>
      </c>
      <c r="B46" t="s">
        <v>1127</v>
      </c>
      <c r="C46" t="s">
        <v>1044</v>
      </c>
      <c r="D46" t="s">
        <v>1045</v>
      </c>
      <c r="AO46" s="25">
        <v>3.3416919410228701E-2</v>
      </c>
      <c r="AP46" s="25"/>
      <c r="AQ46" s="25">
        <v>-0.20381462574005099</v>
      </c>
      <c r="AR46" s="25"/>
      <c r="AS46" s="25">
        <v>-1.2408040761947601</v>
      </c>
      <c r="AT46" s="25"/>
      <c r="AU46" s="25">
        <v>-1.91973388195038</v>
      </c>
      <c r="AV46" s="25">
        <v>-1.80326271057129</v>
      </c>
      <c r="AW46" s="25">
        <v>-2.1149210929870601</v>
      </c>
      <c r="AX46" s="25">
        <v>-2.2595288753509499</v>
      </c>
      <c r="AY46" s="25">
        <v>-1.8618683815002399</v>
      </c>
      <c r="AZ46" s="25">
        <v>-1.83957278728485</v>
      </c>
      <c r="BA46" s="25">
        <v>-1.8040673732757599</v>
      </c>
      <c r="BB46" s="25">
        <v>-1.32086253166199</v>
      </c>
      <c r="BC46" s="25">
        <v>-1.5838942527771001</v>
      </c>
      <c r="BD46" s="25">
        <v>-1.4058076143264799</v>
      </c>
      <c r="BE46" s="25">
        <v>-1.26346111297607</v>
      </c>
      <c r="BF46" s="25">
        <v>-1.0487241744995099</v>
      </c>
      <c r="BG46" s="25">
        <v>-1.0371606349945099</v>
      </c>
      <c r="BH46" s="25">
        <v>-0.83507806062698398</v>
      </c>
      <c r="BI46" s="25">
        <v>-0.90923881530761697</v>
      </c>
      <c r="BJ46" s="25">
        <v>-1.0911163091659499</v>
      </c>
      <c r="BK46" s="25">
        <v>-0.89799964427947998</v>
      </c>
      <c r="BL46" s="25">
        <v>-1.0364967584610001</v>
      </c>
      <c r="BM46" s="25">
        <v>-1.03321969509125</v>
      </c>
      <c r="BN46" s="25">
        <v>-0.715015649795532</v>
      </c>
      <c r="BO46" s="25">
        <v>-0.587266504764557</v>
      </c>
      <c r="BP46" s="25">
        <v>-0.63178819417953502</v>
      </c>
    </row>
    <row r="47" spans="1:68" x14ac:dyDescent="0.25">
      <c r="A47" t="s">
        <v>1128</v>
      </c>
      <c r="B47" t="s">
        <v>1129</v>
      </c>
      <c r="C47" t="s">
        <v>1044</v>
      </c>
      <c r="D47" t="s">
        <v>1045</v>
      </c>
      <c r="AO47" s="25">
        <v>-0.95639193058013905</v>
      </c>
      <c r="AP47" s="25"/>
      <c r="AQ47" s="25">
        <v>-0.78496015071868896</v>
      </c>
      <c r="AR47" s="25"/>
      <c r="AS47" s="25">
        <v>-0.56401580572128296</v>
      </c>
      <c r="AT47" s="25"/>
      <c r="AU47" s="25">
        <v>-0.67726480960845903</v>
      </c>
      <c r="AV47" s="25">
        <v>-0.42947065830230702</v>
      </c>
      <c r="AW47" s="25">
        <v>-0.35935634374618503</v>
      </c>
      <c r="AX47" s="25">
        <v>-0.18202456831932101</v>
      </c>
      <c r="AY47" s="25">
        <v>-0.244705229997635</v>
      </c>
      <c r="AZ47" s="25">
        <v>-0.32610896229744002</v>
      </c>
      <c r="BA47" s="25">
        <v>-0.55211091041564897</v>
      </c>
      <c r="BB47" s="25">
        <v>-0.47478213906288103</v>
      </c>
      <c r="BC47" s="25">
        <v>-0.73697143793106101</v>
      </c>
      <c r="BD47" s="25">
        <v>-0.66168797016143799</v>
      </c>
      <c r="BE47" s="25">
        <v>-0.58851742744445801</v>
      </c>
      <c r="BF47" s="25">
        <v>-0.53223729133606001</v>
      </c>
      <c r="BG47" s="25">
        <v>-1.0592523813247701</v>
      </c>
      <c r="BH47" s="25">
        <v>-0.98991400003433205</v>
      </c>
      <c r="BI47" s="25">
        <v>-1.06121301651001</v>
      </c>
      <c r="BJ47" s="25">
        <v>-1.0915050506591799</v>
      </c>
      <c r="BK47" s="25">
        <v>-1.4018014669418299</v>
      </c>
      <c r="BL47" s="25">
        <v>-1.56182324886322</v>
      </c>
      <c r="BM47" s="25">
        <v>-1.5136797428131099</v>
      </c>
      <c r="BN47" s="25">
        <v>-1.3940887451171899</v>
      </c>
      <c r="BO47" s="25">
        <v>-1.3796292543411299</v>
      </c>
      <c r="BP47" s="25">
        <v>-1.4004364013671899</v>
      </c>
    </row>
    <row r="48" spans="1:68" x14ac:dyDescent="0.25">
      <c r="A48" t="s">
        <v>1130</v>
      </c>
      <c r="B48" t="s">
        <v>1131</v>
      </c>
      <c r="C48" t="s">
        <v>1044</v>
      </c>
      <c r="D48" t="s">
        <v>1045</v>
      </c>
      <c r="AO48" s="25">
        <v>-2.6828129291534402</v>
      </c>
      <c r="AP48" s="25"/>
      <c r="AQ48" s="25">
        <v>-2.8478517532348602</v>
      </c>
      <c r="AR48" s="25"/>
      <c r="AS48" s="25">
        <v>-2.4742381572723402</v>
      </c>
      <c r="AT48" s="25"/>
      <c r="AU48" s="25">
        <v>-1.9759279489517201</v>
      </c>
      <c r="AV48" s="25">
        <v>-2.0278699398040798</v>
      </c>
      <c r="AW48" s="25">
        <v>-2.3877642154693599</v>
      </c>
      <c r="AX48" s="25">
        <v>-2.12856149673462</v>
      </c>
      <c r="AY48" s="25">
        <v>-2.24673223495483</v>
      </c>
      <c r="AZ48" s="25">
        <v>-2.1784999370575</v>
      </c>
      <c r="BA48" s="25">
        <v>-2.0030763149261501</v>
      </c>
      <c r="BB48" s="25">
        <v>-2.0009827613830602</v>
      </c>
      <c r="BC48" s="25">
        <v>-2.1967420578002899</v>
      </c>
      <c r="BD48" s="25">
        <v>-2.2129893302917498</v>
      </c>
      <c r="BE48" s="25">
        <v>-2.0858929157257098</v>
      </c>
      <c r="BF48" s="25">
        <v>-2.1921906471252401</v>
      </c>
      <c r="BG48" s="25">
        <v>-2.1679213047027601</v>
      </c>
      <c r="BH48" s="25">
        <v>-2.1388533115386998</v>
      </c>
      <c r="BI48" s="25">
        <v>-2.2245893478393599</v>
      </c>
      <c r="BJ48" s="25">
        <v>-2.3394403457641602</v>
      </c>
      <c r="BK48" s="25">
        <v>-2.08051562309265</v>
      </c>
      <c r="BL48" s="25">
        <v>-1.6264235973358201</v>
      </c>
      <c r="BM48" s="25">
        <v>-1.7866855859756501</v>
      </c>
      <c r="BN48" s="25">
        <v>-1.6606246232986499</v>
      </c>
      <c r="BO48" s="25">
        <v>-1.9844896793365501</v>
      </c>
      <c r="BP48" s="25">
        <v>-2.0448620319366499</v>
      </c>
    </row>
    <row r="49" spans="1:68" x14ac:dyDescent="0.25">
      <c r="A49" t="s">
        <v>1132</v>
      </c>
      <c r="B49" t="s">
        <v>1133</v>
      </c>
      <c r="C49" t="s">
        <v>1044</v>
      </c>
      <c r="D49" t="s">
        <v>1045</v>
      </c>
      <c r="AO49" s="25">
        <v>-1.2249449491500899</v>
      </c>
      <c r="AP49" s="25"/>
      <c r="AQ49" s="25">
        <v>-1.5010839700698899</v>
      </c>
      <c r="AR49" s="25"/>
      <c r="AS49" s="25">
        <v>-0.922982037067413</v>
      </c>
      <c r="AT49" s="25"/>
      <c r="AU49" s="25">
        <v>-1.5871679782867401</v>
      </c>
      <c r="AV49" s="25">
        <v>-1.17022037506104</v>
      </c>
      <c r="AW49" s="25">
        <v>-1.1905977725982699</v>
      </c>
      <c r="AX49" s="25">
        <v>-1.1658394336700399</v>
      </c>
      <c r="AY49" s="25">
        <v>-0.92341178655624401</v>
      </c>
      <c r="AZ49" s="25">
        <v>-0.77157741785049405</v>
      </c>
      <c r="BA49" s="25">
        <v>-0.72132235765457198</v>
      </c>
      <c r="BB49" s="25">
        <v>-0.25048762559890703</v>
      </c>
      <c r="BC49" s="25">
        <v>-0.316415846347809</v>
      </c>
      <c r="BD49" s="25">
        <v>-0.35430037975311302</v>
      </c>
      <c r="BE49" s="25">
        <v>-0.48968985676765397</v>
      </c>
      <c r="BF49" s="25">
        <v>-0.47505012154579201</v>
      </c>
      <c r="BG49" s="25">
        <v>-0.35929158329963701</v>
      </c>
      <c r="BH49" s="25">
        <v>-0.52912729978561401</v>
      </c>
      <c r="BI49" s="25">
        <v>-0.52345907688140902</v>
      </c>
      <c r="BJ49" s="25">
        <v>-0.53361481428146396</v>
      </c>
      <c r="BK49" s="25">
        <v>-0.34833887219428999</v>
      </c>
      <c r="BL49" s="25">
        <v>-0.29927420616149902</v>
      </c>
      <c r="BM49" s="25">
        <v>-0.213043123483658</v>
      </c>
      <c r="BN49" s="25">
        <v>-0.22943647205829601</v>
      </c>
      <c r="BO49" s="25">
        <v>3.8993820548057598E-2</v>
      </c>
      <c r="BP49" s="25">
        <v>1.9162006676197101E-2</v>
      </c>
    </row>
    <row r="50" spans="1:68" x14ac:dyDescent="0.25">
      <c r="A50" t="s">
        <v>1134</v>
      </c>
      <c r="B50" t="s">
        <v>1135</v>
      </c>
      <c r="C50" t="s">
        <v>1044</v>
      </c>
      <c r="D50" t="s">
        <v>1045</v>
      </c>
      <c r="AO50" s="25">
        <v>-1.6478585004806501</v>
      </c>
      <c r="AP50" s="25"/>
      <c r="AQ50" s="25">
        <v>-1.7939217090606701</v>
      </c>
      <c r="AR50" s="25"/>
      <c r="AS50" s="25">
        <v>-1.6089607477188099</v>
      </c>
      <c r="AT50" s="25"/>
      <c r="AU50" s="25">
        <v>-1.95671439170837</v>
      </c>
      <c r="AV50" s="25">
        <v>-2.37602686882019</v>
      </c>
      <c r="AW50" s="25">
        <v>-2.2712264060974099</v>
      </c>
      <c r="AX50" s="25">
        <v>-2.0579428672790501</v>
      </c>
      <c r="AY50" s="25">
        <v>-1.90479671955109</v>
      </c>
      <c r="AZ50" s="25">
        <v>-1.8065272569656401</v>
      </c>
      <c r="BA50" s="25">
        <v>-1.8534623384475699</v>
      </c>
      <c r="BB50" s="25">
        <v>-1.8323458433151201</v>
      </c>
      <c r="BC50" s="25">
        <v>-1.5371848344802901</v>
      </c>
      <c r="BD50" s="25">
        <v>-1.28465557098389</v>
      </c>
      <c r="BE50" s="25">
        <v>-1.40181040763855</v>
      </c>
      <c r="BF50" s="25">
        <v>-1.2919718027114899</v>
      </c>
      <c r="BG50" s="25">
        <v>-1.1145941019058201</v>
      </c>
      <c r="BH50" s="25">
        <v>-1.0726637840271001</v>
      </c>
      <c r="BI50" s="25">
        <v>-0.88716399669647195</v>
      </c>
      <c r="BJ50" s="25">
        <v>-0.779457807540894</v>
      </c>
      <c r="BK50" s="25">
        <v>-0.80694198608398404</v>
      </c>
      <c r="BL50" s="25">
        <v>-0.97948610782623302</v>
      </c>
      <c r="BM50" s="25">
        <v>-0.70115005970001198</v>
      </c>
      <c r="BN50" s="25">
        <v>-0.95457434654235795</v>
      </c>
      <c r="BO50" s="25">
        <v>-0.62995833158492998</v>
      </c>
      <c r="BP50" s="25">
        <v>-0.71731323003768899</v>
      </c>
    </row>
    <row r="51" spans="1:68" x14ac:dyDescent="0.25">
      <c r="A51" t="s">
        <v>1136</v>
      </c>
      <c r="B51" t="s">
        <v>1137</v>
      </c>
      <c r="C51" t="s">
        <v>1044</v>
      </c>
      <c r="D51" t="s">
        <v>1045</v>
      </c>
      <c r="AO51" s="25">
        <v>0.50753891468048096</v>
      </c>
      <c r="AP51" s="25"/>
      <c r="AQ51" s="25">
        <v>0.56497645378112804</v>
      </c>
      <c r="AR51" s="25"/>
      <c r="AS51" s="25">
        <v>2.2758649662137E-2</v>
      </c>
      <c r="AT51" s="25"/>
      <c r="AU51" s="25">
        <v>0.40204930305481001</v>
      </c>
      <c r="AV51" s="25">
        <v>-0.67314052581787098</v>
      </c>
      <c r="AW51" s="25">
        <v>-0.16316178441047699</v>
      </c>
      <c r="AX51" s="25">
        <v>-0.43626394867897</v>
      </c>
      <c r="AY51" s="25">
        <v>-0.36027315258979797</v>
      </c>
      <c r="AZ51" s="25">
        <v>-1.0954577922821001</v>
      </c>
      <c r="BA51" s="25">
        <v>-1.10721170902252</v>
      </c>
      <c r="BB51" s="25">
        <v>-0.76526772975921598</v>
      </c>
      <c r="BC51" s="25">
        <v>-0.56293928623199496</v>
      </c>
      <c r="BD51" s="25">
        <v>-0.55273610353469804</v>
      </c>
      <c r="BE51" s="25">
        <v>-0.452308028936386</v>
      </c>
      <c r="BF51" s="25">
        <v>-0.25692918896675099</v>
      </c>
      <c r="BG51" s="25">
        <v>-0.18691016733646401</v>
      </c>
      <c r="BH51" s="25">
        <v>-0.24447160959243799</v>
      </c>
      <c r="BI51" s="25">
        <v>2.2001922130584699E-2</v>
      </c>
      <c r="BJ51" s="25">
        <v>2.24080048501492E-2</v>
      </c>
      <c r="BK51" s="25">
        <v>-0.36161261796951299</v>
      </c>
      <c r="BL51" s="25">
        <v>-0.17679767310619399</v>
      </c>
      <c r="BM51" s="25">
        <v>-0.28738489747047402</v>
      </c>
      <c r="BN51" s="25">
        <v>-0.22799064218998</v>
      </c>
      <c r="BO51" s="25">
        <v>-0.226411357522011</v>
      </c>
      <c r="BP51" s="25">
        <v>-0.22631676495075201</v>
      </c>
    </row>
    <row r="52" spans="1:68" x14ac:dyDescent="0.25">
      <c r="A52" t="s">
        <v>1138</v>
      </c>
      <c r="B52" t="s">
        <v>1139</v>
      </c>
      <c r="C52" t="s">
        <v>1044</v>
      </c>
      <c r="D52" t="s">
        <v>1045</v>
      </c>
      <c r="AO52" s="25">
        <v>1.03555142879486</v>
      </c>
      <c r="AP52" s="25"/>
      <c r="AQ52" s="25">
        <v>1.11396324634552</v>
      </c>
      <c r="AR52" s="25"/>
      <c r="AS52" s="25">
        <v>1.22359979152679</v>
      </c>
      <c r="AT52" s="25"/>
      <c r="AU52" s="25">
        <v>0.72962152957916304</v>
      </c>
      <c r="AV52" s="25">
        <v>0.91894859075546298</v>
      </c>
      <c r="AW52" s="25">
        <v>1.03930127620697</v>
      </c>
      <c r="AX52" s="25">
        <v>0.754638612270355</v>
      </c>
      <c r="AY52" s="25">
        <v>0.96232503652572599</v>
      </c>
      <c r="AZ52" s="25">
        <v>0.87726008892059304</v>
      </c>
      <c r="BA52" s="25">
        <v>0.81338632106780995</v>
      </c>
      <c r="BB52" s="25">
        <v>0.81844931840896595</v>
      </c>
      <c r="BC52" s="25">
        <v>0.84097278118133501</v>
      </c>
      <c r="BD52" s="25">
        <v>0.72260522842407204</v>
      </c>
      <c r="BE52" s="25">
        <v>0.80908638238906905</v>
      </c>
      <c r="BF52" s="25">
        <v>0.77799987792968806</v>
      </c>
      <c r="BG52" s="25">
        <v>0.35077914595603898</v>
      </c>
      <c r="BH52" s="25">
        <v>0.85581982135772705</v>
      </c>
      <c r="BI52" s="25">
        <v>0.87119019031524703</v>
      </c>
      <c r="BJ52" s="25">
        <v>0.76286554336547896</v>
      </c>
      <c r="BK52" s="25">
        <v>0.83326190710067705</v>
      </c>
      <c r="BL52" s="25">
        <v>0.859627425670624</v>
      </c>
      <c r="BM52" s="25">
        <v>0.87423229217529297</v>
      </c>
      <c r="BN52" s="25">
        <v>0.89436846971511796</v>
      </c>
      <c r="BO52" s="25">
        <v>0.92706936597824097</v>
      </c>
      <c r="BP52" s="25">
        <v>0.90324556827545199</v>
      </c>
    </row>
    <row r="53" spans="1:68" x14ac:dyDescent="0.25">
      <c r="A53" t="s">
        <v>1140</v>
      </c>
      <c r="B53" t="s">
        <v>1141</v>
      </c>
      <c r="C53" t="s">
        <v>1044</v>
      </c>
      <c r="D53" t="s">
        <v>1045</v>
      </c>
      <c r="AO53" s="25">
        <v>0.75305140018463101</v>
      </c>
      <c r="AP53" s="25"/>
      <c r="AQ53" s="25">
        <v>0.90372896194457997</v>
      </c>
      <c r="AR53" s="25"/>
      <c r="AS53" s="25">
        <v>0.86854231357574496</v>
      </c>
      <c r="AT53" s="25"/>
      <c r="AU53" s="25">
        <v>1.0686944723129299</v>
      </c>
      <c r="AV53" s="25">
        <v>0.59575659036636397</v>
      </c>
      <c r="AW53" s="25">
        <v>0.63157653808593806</v>
      </c>
      <c r="AX53" s="25">
        <v>0.70822817087173495</v>
      </c>
      <c r="AY53" s="25">
        <v>0.73605012893676802</v>
      </c>
      <c r="AZ53" s="25">
        <v>0.58277267217636097</v>
      </c>
      <c r="BA53" s="25">
        <v>0.35976523160934398</v>
      </c>
      <c r="BB53" s="25">
        <v>0.58706039190292403</v>
      </c>
      <c r="BC53" s="25">
        <v>0.69153720140457198</v>
      </c>
      <c r="BD53" s="25">
        <v>0.50827604532241799</v>
      </c>
      <c r="BE53" s="25">
        <v>0.63840246200561501</v>
      </c>
      <c r="BF53" s="25">
        <v>0.67791801691055298</v>
      </c>
      <c r="BG53" s="25">
        <v>0.57741820812225297</v>
      </c>
      <c r="BH53" s="25">
        <v>0.66997402906417802</v>
      </c>
      <c r="BI53" s="25">
        <v>0.64855301380157504</v>
      </c>
      <c r="BJ53" s="25">
        <v>0.59700721502304099</v>
      </c>
      <c r="BK53" s="25">
        <v>0.45338600873947099</v>
      </c>
      <c r="BL53" s="25">
        <v>0.430319964885712</v>
      </c>
      <c r="BM53" s="25">
        <v>0.74681806564331099</v>
      </c>
      <c r="BN53" s="25">
        <v>0.86042255163192705</v>
      </c>
      <c r="BO53" s="25">
        <v>0.95659643411636397</v>
      </c>
      <c r="BP53" s="25">
        <v>0.98418682813644398</v>
      </c>
    </row>
    <row r="54" spans="1:68" x14ac:dyDescent="0.25">
      <c r="A54" t="s">
        <v>1142</v>
      </c>
      <c r="B54" t="s">
        <v>1143</v>
      </c>
      <c r="C54" t="s">
        <v>1044</v>
      </c>
      <c r="D54" t="s">
        <v>1045</v>
      </c>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row>
    <row r="55" spans="1:68" x14ac:dyDescent="0.25">
      <c r="A55" t="s">
        <v>1144</v>
      </c>
      <c r="B55" t="s">
        <v>1145</v>
      </c>
      <c r="C55" t="s">
        <v>1044</v>
      </c>
      <c r="D55" t="s">
        <v>1045</v>
      </c>
      <c r="AO55" s="25">
        <v>0.231270432472229</v>
      </c>
      <c r="AP55" s="25"/>
      <c r="AQ55" s="25">
        <v>7.8753894194960594E-3</v>
      </c>
      <c r="AR55" s="25"/>
      <c r="AS55" s="25">
        <v>0.248432531952858</v>
      </c>
      <c r="AT55" s="25"/>
      <c r="AU55" s="25">
        <v>0.263644099235535</v>
      </c>
      <c r="AV55" s="25">
        <v>0.31665277481079102</v>
      </c>
      <c r="AW55" s="25">
        <v>0.35542210936546298</v>
      </c>
      <c r="AX55" s="25">
        <v>0.42478582262992898</v>
      </c>
      <c r="AY55" s="25">
        <v>0.47447726130485501</v>
      </c>
      <c r="AZ55" s="25">
        <v>0.45094159245491</v>
      </c>
      <c r="BA55" s="25">
        <v>0.52422660589218095</v>
      </c>
      <c r="BB55" s="25">
        <v>0.356679856777191</v>
      </c>
      <c r="BC55" s="25">
        <v>0.34929242730140703</v>
      </c>
      <c r="BD55" s="25">
        <v>0.28038212656974798</v>
      </c>
      <c r="BE55" s="25">
        <v>0.307248294353485</v>
      </c>
      <c r="BF55" s="25">
        <v>0.37056463956832902</v>
      </c>
      <c r="BG55" s="25">
        <v>0.544822037220001</v>
      </c>
      <c r="BH55" s="25">
        <v>0.63475000858306896</v>
      </c>
      <c r="BI55" s="25">
        <v>0.6731316447258</v>
      </c>
      <c r="BJ55" s="25">
        <v>0.638511061668396</v>
      </c>
      <c r="BK55" s="25">
        <v>0.640602827072144</v>
      </c>
      <c r="BL55" s="25">
        <v>0.61050057411193803</v>
      </c>
      <c r="BM55" s="25">
        <v>0.59614676237106301</v>
      </c>
      <c r="BN55" s="25">
        <v>0.392796009778976</v>
      </c>
      <c r="BO55" s="25">
        <v>0.49141779541969299</v>
      </c>
      <c r="BP55" s="25">
        <v>0.38421595096588101</v>
      </c>
    </row>
    <row r="56" spans="1:68" x14ac:dyDescent="0.25">
      <c r="A56" t="s">
        <v>1146</v>
      </c>
      <c r="B56" t="s">
        <v>1147</v>
      </c>
      <c r="C56" t="s">
        <v>1044</v>
      </c>
      <c r="D56" t="s">
        <v>1045</v>
      </c>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row>
    <row r="57" spans="1:68" x14ac:dyDescent="0.25">
      <c r="A57" t="s">
        <v>1148</v>
      </c>
      <c r="B57" t="s">
        <v>1149</v>
      </c>
      <c r="C57" t="s">
        <v>1044</v>
      </c>
      <c r="D57" t="s">
        <v>1045</v>
      </c>
      <c r="AO57" s="25">
        <v>0.71707689762115501</v>
      </c>
      <c r="AP57" s="25"/>
      <c r="AQ57" s="25">
        <v>0.72851198911666903</v>
      </c>
      <c r="AR57" s="25"/>
      <c r="AS57" s="25">
        <v>0.71323502063751198</v>
      </c>
      <c r="AT57" s="25"/>
      <c r="AU57" s="25">
        <v>0.79255992174148604</v>
      </c>
      <c r="AV57" s="25">
        <v>0.85172003507614102</v>
      </c>
      <c r="AW57" s="25">
        <v>1.2347493171691899</v>
      </c>
      <c r="AX57" s="25">
        <v>1.1896660327911399</v>
      </c>
      <c r="AY57" s="25">
        <v>1.1047999858856199</v>
      </c>
      <c r="AZ57" s="25">
        <v>1.08573806285858</v>
      </c>
      <c r="BA57" s="25">
        <v>1.11250960826874</v>
      </c>
      <c r="BB57" s="25">
        <v>1.0926268100738501</v>
      </c>
      <c r="BC57" s="25">
        <v>1.1496379375457799</v>
      </c>
      <c r="BD57" s="25">
        <v>1.3363608121871899</v>
      </c>
      <c r="BE57" s="25">
        <v>0.95938438177108798</v>
      </c>
      <c r="BF57" s="25">
        <v>1.0176153182983401</v>
      </c>
      <c r="BG57" s="25">
        <v>1.04634726047516</v>
      </c>
      <c r="BH57" s="25">
        <v>1.1286936998367301</v>
      </c>
      <c r="BI57" s="25">
        <v>1.14077579975128</v>
      </c>
      <c r="BJ57" s="25">
        <v>1.1626113653182999</v>
      </c>
      <c r="BK57" s="25">
        <v>1.11083495616913</v>
      </c>
      <c r="BL57" s="25">
        <v>1.4015254974365201</v>
      </c>
      <c r="BM57" s="25">
        <v>1.45647096633911</v>
      </c>
      <c r="BN57" s="25">
        <v>1.6247758865356401</v>
      </c>
      <c r="BO57" s="25">
        <v>1.6607418060302701</v>
      </c>
      <c r="BP57" s="25">
        <v>1.6256014108657799</v>
      </c>
    </row>
    <row r="58" spans="1:68" x14ac:dyDescent="0.25">
      <c r="A58" t="s">
        <v>1150</v>
      </c>
      <c r="B58" t="s">
        <v>1151</v>
      </c>
      <c r="C58" t="s">
        <v>1044</v>
      </c>
      <c r="D58" t="s">
        <v>1045</v>
      </c>
      <c r="AO58" s="25">
        <v>0.38775151968002303</v>
      </c>
      <c r="AP58" s="25"/>
      <c r="AQ58" s="25">
        <v>0.222172737121582</v>
      </c>
      <c r="AR58" s="25"/>
      <c r="AS58" s="25">
        <v>0.51749986410141002</v>
      </c>
      <c r="AT58" s="25"/>
      <c r="AU58" s="25">
        <v>0.199420601129532</v>
      </c>
      <c r="AV58" s="25">
        <v>0.53227591514587402</v>
      </c>
      <c r="AW58" s="25">
        <v>0.38017758727073703</v>
      </c>
      <c r="AX58" s="25">
        <v>0.51751923561096203</v>
      </c>
      <c r="AY58" s="25">
        <v>0.53966498374938998</v>
      </c>
      <c r="AZ58" s="25">
        <v>0.53705573081970204</v>
      </c>
      <c r="BA58" s="25">
        <v>0.63900393247604403</v>
      </c>
      <c r="BB58" s="25">
        <v>0.39028748869895902</v>
      </c>
      <c r="BC58" s="25">
        <v>0.45244482159614602</v>
      </c>
      <c r="BD58" s="25">
        <v>0.60798448324203502</v>
      </c>
      <c r="BE58" s="25">
        <v>0.63512605428695701</v>
      </c>
      <c r="BF58" s="25">
        <v>0.56334716081619296</v>
      </c>
      <c r="BG58" s="25">
        <v>0.55188208818435702</v>
      </c>
      <c r="BH58" s="25">
        <v>0.54244911670684803</v>
      </c>
      <c r="BI58" s="25">
        <v>0.59378683567047097</v>
      </c>
      <c r="BJ58" s="25">
        <v>0.53097414970397905</v>
      </c>
      <c r="BK58" s="25">
        <v>0.48454225063324002</v>
      </c>
      <c r="BL58" s="25">
        <v>0.54459822177886996</v>
      </c>
      <c r="BM58" s="25">
        <v>0.28877764940261802</v>
      </c>
      <c r="BN58" s="25">
        <v>0.42215067148208602</v>
      </c>
      <c r="BO58" s="25">
        <v>0.42381122708320601</v>
      </c>
      <c r="BP58" s="25">
        <v>0.40962716937065102</v>
      </c>
    </row>
    <row r="59" spans="1:68" x14ac:dyDescent="0.25">
      <c r="A59" t="s">
        <v>1152</v>
      </c>
      <c r="B59" t="s">
        <v>1153</v>
      </c>
      <c r="C59" t="s">
        <v>1044</v>
      </c>
      <c r="D59" t="s">
        <v>1045</v>
      </c>
      <c r="AO59" s="25">
        <v>1.1477580070495601</v>
      </c>
      <c r="AP59" s="25"/>
      <c r="AQ59" s="25">
        <v>0.89956897497177102</v>
      </c>
      <c r="AR59" s="25"/>
      <c r="AS59" s="25">
        <v>0.33273962140083302</v>
      </c>
      <c r="AT59" s="25"/>
      <c r="AU59" s="25">
        <v>1.04410064220428</v>
      </c>
      <c r="AV59" s="25">
        <v>0.88705813884735096</v>
      </c>
      <c r="AW59" s="25">
        <v>0.65387582778930697</v>
      </c>
      <c r="AX59" s="25">
        <v>0.93638408184051503</v>
      </c>
      <c r="AY59" s="25">
        <v>1.05372881889343</v>
      </c>
      <c r="AZ59" s="25">
        <v>1.0154139995575</v>
      </c>
      <c r="BA59" s="25">
        <v>1.0498795509338399</v>
      </c>
      <c r="BB59" s="25">
        <v>0.90582937002181996</v>
      </c>
      <c r="BC59" s="25">
        <v>0.98923373222351096</v>
      </c>
      <c r="BD59" s="25">
        <v>1.1091176271438601</v>
      </c>
      <c r="BE59" s="25">
        <v>1.05410611629486</v>
      </c>
      <c r="BF59" s="25">
        <v>1.08477854728699</v>
      </c>
      <c r="BG59" s="25">
        <v>0.98999047279357899</v>
      </c>
      <c r="BH59" s="25">
        <v>0.97025108337402299</v>
      </c>
      <c r="BI59" s="25">
        <v>0.96338421106338501</v>
      </c>
      <c r="BJ59" s="25">
        <v>0.99065077304840099</v>
      </c>
      <c r="BK59" s="25">
        <v>1.0264128446578999</v>
      </c>
      <c r="BL59" s="25">
        <v>0.94199568033218395</v>
      </c>
      <c r="BM59" s="25">
        <v>0.91232800483703602</v>
      </c>
      <c r="BN59" s="25">
        <v>0.94753783941268899</v>
      </c>
      <c r="BO59" s="25">
        <v>0.814114570617676</v>
      </c>
      <c r="BP59" s="25">
        <v>0.96736162900924705</v>
      </c>
    </row>
    <row r="60" spans="1:68" x14ac:dyDescent="0.25">
      <c r="A60" t="s">
        <v>1154</v>
      </c>
      <c r="B60" t="s">
        <v>1155</v>
      </c>
      <c r="C60" t="s">
        <v>1044</v>
      </c>
      <c r="D60" t="s">
        <v>1045</v>
      </c>
      <c r="AO60" s="25">
        <v>1.2884994745254501</v>
      </c>
      <c r="AP60" s="25"/>
      <c r="AQ60" s="25">
        <v>1.24214780330658</v>
      </c>
      <c r="AR60" s="25"/>
      <c r="AS60" s="25">
        <v>1.4113357067108201</v>
      </c>
      <c r="AT60" s="25"/>
      <c r="AU60" s="25">
        <v>1.0960174798965501</v>
      </c>
      <c r="AV60" s="25">
        <v>0.57785922288894698</v>
      </c>
      <c r="AW60" s="25">
        <v>0.63888436555862405</v>
      </c>
      <c r="AX60" s="25">
        <v>0.88891535997390703</v>
      </c>
      <c r="AY60" s="25">
        <v>1.02506959438324</v>
      </c>
      <c r="AZ60" s="25">
        <v>0.99582380056381203</v>
      </c>
      <c r="BA60" s="25">
        <v>0.94383078813552901</v>
      </c>
      <c r="BB60" s="25">
        <v>0.85990250110626198</v>
      </c>
      <c r="BC60" s="25">
        <v>0.79683446884155296</v>
      </c>
      <c r="BD60" s="25">
        <v>0.842218458652496</v>
      </c>
      <c r="BE60" s="25">
        <v>0.77562129497528098</v>
      </c>
      <c r="BF60" s="25">
        <v>0.92798388004303001</v>
      </c>
      <c r="BG60" s="25">
        <v>0.92518645524978604</v>
      </c>
      <c r="BH60" s="25">
        <v>0.68751496076583896</v>
      </c>
      <c r="BI60" s="25">
        <v>0.66754114627838101</v>
      </c>
      <c r="BJ60" s="25">
        <v>0.57438129186630205</v>
      </c>
      <c r="BK60" s="25">
        <v>0.57786524295806896</v>
      </c>
      <c r="BL60" s="25">
        <v>0.54853987693786599</v>
      </c>
      <c r="BM60" s="25">
        <v>0.64504915475845304</v>
      </c>
      <c r="BN60" s="25">
        <v>0.72578817605972301</v>
      </c>
      <c r="BO60" s="25">
        <v>0.62849187850952104</v>
      </c>
      <c r="BP60" s="25">
        <v>0.58698928356170699</v>
      </c>
    </row>
    <row r="61" spans="1:68" x14ac:dyDescent="0.25">
      <c r="A61" t="s">
        <v>1156</v>
      </c>
      <c r="B61" t="s">
        <v>1157</v>
      </c>
      <c r="C61" t="s">
        <v>1044</v>
      </c>
      <c r="D61" t="s">
        <v>1045</v>
      </c>
      <c r="AO61" s="25">
        <v>-0.33919200301170299</v>
      </c>
      <c r="AP61" s="25"/>
      <c r="AQ61" s="25">
        <v>-0.96444672346115101</v>
      </c>
      <c r="AR61" s="25"/>
      <c r="AS61" s="25">
        <v>-0.24112597107887301</v>
      </c>
      <c r="AT61" s="25"/>
      <c r="AU61" s="25">
        <v>-0.31310296058654802</v>
      </c>
      <c r="AV61" s="25">
        <v>-0.91280323266982999</v>
      </c>
      <c r="AW61" s="25">
        <v>-0.34411585330963101</v>
      </c>
      <c r="AX61" s="25">
        <v>-0.81222969293594405</v>
      </c>
      <c r="AY61" s="25">
        <v>-0.26257854700088501</v>
      </c>
      <c r="AZ61" s="25">
        <v>-0.123644053936005</v>
      </c>
      <c r="BA61" s="25">
        <v>0.26838922500610402</v>
      </c>
      <c r="BB61" s="25">
        <v>0.494239002466202</v>
      </c>
      <c r="BC61" s="25">
        <v>0.25348126888275102</v>
      </c>
      <c r="BD61" s="25">
        <v>0.177703246474266</v>
      </c>
      <c r="BE61" s="25">
        <v>0.16061921417713201</v>
      </c>
      <c r="BF61" s="25">
        <v>-0.102187521755695</v>
      </c>
      <c r="BG61" s="25">
        <v>-0.77023226022720304</v>
      </c>
      <c r="BH61" s="25">
        <v>-0.44767192006111101</v>
      </c>
      <c r="BI61" s="25">
        <v>-0.628553986549377</v>
      </c>
      <c r="BJ61" s="25">
        <v>-0.733945071697235</v>
      </c>
      <c r="BK61" s="25">
        <v>-0.13342666625976601</v>
      </c>
      <c r="BL61" s="25">
        <v>-0.343388050794601</v>
      </c>
      <c r="BM61" s="25">
        <v>-0.44820237159728998</v>
      </c>
      <c r="BN61" s="25">
        <v>-0.56632471084594704</v>
      </c>
      <c r="BO61" s="25">
        <v>-0.50738608837127697</v>
      </c>
      <c r="BP61" s="25">
        <v>-0.51670098304748502</v>
      </c>
    </row>
    <row r="62" spans="1:68" x14ac:dyDescent="0.25">
      <c r="A62" t="s">
        <v>1158</v>
      </c>
      <c r="B62" t="s">
        <v>1159</v>
      </c>
      <c r="C62" t="s">
        <v>1044</v>
      </c>
      <c r="D62" t="s">
        <v>1045</v>
      </c>
      <c r="AO62" s="25">
        <v>0.71707689762115501</v>
      </c>
      <c r="AP62" s="25"/>
      <c r="AQ62" s="25">
        <v>0.72851198911666903</v>
      </c>
      <c r="AR62" s="25"/>
      <c r="AS62" s="25">
        <v>0.48636171221733099</v>
      </c>
      <c r="AT62" s="25"/>
      <c r="AU62" s="25">
        <v>0.54745638370513905</v>
      </c>
      <c r="AV62" s="25">
        <v>0.67248636484146096</v>
      </c>
      <c r="AW62" s="25">
        <v>0.94515073299408003</v>
      </c>
      <c r="AX62" s="25">
        <v>0.82952940464019798</v>
      </c>
      <c r="AY62" s="25">
        <v>0.90969836711883501</v>
      </c>
      <c r="AZ62" s="25">
        <v>0.78736406564712502</v>
      </c>
      <c r="BA62" s="25">
        <v>0.91190600395202603</v>
      </c>
      <c r="BB62" s="25">
        <v>0.66555309295654297</v>
      </c>
      <c r="BC62" s="25">
        <v>0.903117775917053</v>
      </c>
      <c r="BD62" s="25">
        <v>1.1391586065292401</v>
      </c>
      <c r="BE62" s="25">
        <v>0.98058545589446999</v>
      </c>
      <c r="BF62" s="25">
        <v>1.11985623836517</v>
      </c>
      <c r="BG62" s="25">
        <v>1.05717813968658</v>
      </c>
      <c r="BH62" s="25">
        <v>1.05443203449249</v>
      </c>
      <c r="BI62" s="25">
        <v>0.97766309976577803</v>
      </c>
      <c r="BJ62" s="25">
        <v>1.1727766990661601</v>
      </c>
      <c r="BK62" s="25">
        <v>1.06905841827393</v>
      </c>
      <c r="BL62" s="25">
        <v>1.02994155883789</v>
      </c>
      <c r="BM62" s="25">
        <v>1.31708955764771</v>
      </c>
      <c r="BN62" s="25">
        <v>1.3341306447982799</v>
      </c>
      <c r="BO62" s="25">
        <v>1.30801045894623</v>
      </c>
      <c r="BP62" s="25">
        <v>1.2852642536163299</v>
      </c>
    </row>
    <row r="63" spans="1:68" x14ac:dyDescent="0.25">
      <c r="A63" t="s">
        <v>1160</v>
      </c>
      <c r="B63" t="s">
        <v>1161</v>
      </c>
      <c r="C63" t="s">
        <v>1044</v>
      </c>
      <c r="D63" t="s">
        <v>1045</v>
      </c>
      <c r="AO63" s="25">
        <v>1.4419647455215501</v>
      </c>
      <c r="AP63" s="25"/>
      <c r="AQ63" s="25">
        <v>1.4319663047790501</v>
      </c>
      <c r="AR63" s="25"/>
      <c r="AS63" s="25">
        <v>1.5010689496994001</v>
      </c>
      <c r="AT63" s="25"/>
      <c r="AU63" s="25">
        <v>1.5242440700530999</v>
      </c>
      <c r="AV63" s="25">
        <v>1.2038156986236599</v>
      </c>
      <c r="AW63" s="25">
        <v>1.0843373537063601</v>
      </c>
      <c r="AX63" s="25">
        <v>1.0734953880310101</v>
      </c>
      <c r="AY63" s="25">
        <v>1.0467928647995</v>
      </c>
      <c r="AZ63" s="25">
        <v>1.1181892156601001</v>
      </c>
      <c r="BA63" s="25">
        <v>1.0653867721557599</v>
      </c>
      <c r="BB63" s="25">
        <v>1.00118267536163</v>
      </c>
      <c r="BC63" s="25">
        <v>1.04096102714539</v>
      </c>
      <c r="BD63" s="25">
        <v>1.10029304027557</v>
      </c>
      <c r="BE63" s="25">
        <v>0.91491067409515403</v>
      </c>
      <c r="BF63" s="25">
        <v>0.95923346281051602</v>
      </c>
      <c r="BG63" s="25">
        <v>0.95177972316741899</v>
      </c>
      <c r="BH63" s="25">
        <v>0.88705927133560203</v>
      </c>
      <c r="BI63" s="25">
        <v>0.85291242599487305</v>
      </c>
      <c r="BJ63" s="25">
        <v>0.85493755340576205</v>
      </c>
      <c r="BK63" s="25">
        <v>0.93198233842849698</v>
      </c>
      <c r="BL63" s="25">
        <v>0.967598736286163</v>
      </c>
      <c r="BM63" s="25">
        <v>0.92023372650146495</v>
      </c>
      <c r="BN63" s="25">
        <v>0.92866265773773204</v>
      </c>
      <c r="BO63" s="25">
        <v>0.86891770362854004</v>
      </c>
      <c r="BP63" s="25">
        <v>0.85084795951843295</v>
      </c>
    </row>
    <row r="64" spans="1:68" x14ac:dyDescent="0.25">
      <c r="A64" t="s">
        <v>1162</v>
      </c>
      <c r="B64" t="s">
        <v>1163</v>
      </c>
      <c r="C64" t="s">
        <v>1044</v>
      </c>
      <c r="D64" t="s">
        <v>1045</v>
      </c>
      <c r="AO64" s="25">
        <v>-7.5660295784473405E-2</v>
      </c>
      <c r="AP64" s="25"/>
      <c r="AQ64" s="25">
        <v>-0.41631698608398399</v>
      </c>
      <c r="AR64" s="25"/>
      <c r="AS64" s="25">
        <v>1.29473777487874E-2</v>
      </c>
      <c r="AT64" s="25"/>
      <c r="AU64" s="25">
        <v>0.118558995425701</v>
      </c>
      <c r="AV64" s="25">
        <v>-0.41989445686340299</v>
      </c>
      <c r="AW64" s="25">
        <v>-0.344310492277145</v>
      </c>
      <c r="AX64" s="25">
        <v>-0.25876069068908703</v>
      </c>
      <c r="AY64" s="25">
        <v>-0.10980306565761599</v>
      </c>
      <c r="AZ64" s="25">
        <v>-7.8572459518909496E-2</v>
      </c>
      <c r="BA64" s="25">
        <v>-3.8007710129022598E-2</v>
      </c>
      <c r="BB64" s="25">
        <v>-2.73510301485658E-3</v>
      </c>
      <c r="BC64" s="25">
        <v>-4.4954035431146601E-2</v>
      </c>
      <c r="BD64" s="25">
        <v>-4.8185020568780601E-4</v>
      </c>
      <c r="BE64" s="25">
        <v>0.25236681103706399</v>
      </c>
      <c r="BF64" s="25">
        <v>0.207428693771362</v>
      </c>
      <c r="BG64" s="25">
        <v>0.14593449234962499</v>
      </c>
      <c r="BH64" s="25">
        <v>0.227570921182632</v>
      </c>
      <c r="BI64" s="25">
        <v>0.241259410977364</v>
      </c>
      <c r="BJ64" s="25">
        <v>0.152073904871941</v>
      </c>
      <c r="BK64" s="25">
        <v>1.2300387956202001E-2</v>
      </c>
      <c r="BL64" s="25">
        <v>-3.11226956546307E-3</v>
      </c>
      <c r="BM64" s="25">
        <v>0.16498120129108401</v>
      </c>
      <c r="BN64" s="25">
        <v>0.28738602995872498</v>
      </c>
      <c r="BO64" s="25">
        <v>0.249287635087967</v>
      </c>
      <c r="BP64" s="25">
        <v>0.23901401460170699</v>
      </c>
    </row>
    <row r="65" spans="1:68" x14ac:dyDescent="0.25">
      <c r="A65" t="s">
        <v>1164</v>
      </c>
      <c r="B65" t="s">
        <v>1165</v>
      </c>
      <c r="C65" t="s">
        <v>1044</v>
      </c>
      <c r="D65" t="s">
        <v>1045</v>
      </c>
      <c r="AO65" s="25">
        <v>-1.7833105325698899</v>
      </c>
      <c r="AP65" s="25"/>
      <c r="AQ65" s="25">
        <v>-1.8789047002792401</v>
      </c>
      <c r="AR65" s="25"/>
      <c r="AS65" s="25">
        <v>-1.43257737159729</v>
      </c>
      <c r="AT65" s="25"/>
      <c r="AU65" s="25">
        <v>-1.63456511497498</v>
      </c>
      <c r="AV65" s="25">
        <v>-1.7544090747833301</v>
      </c>
      <c r="AW65" s="25">
        <v>-1.3591884374618499</v>
      </c>
      <c r="AX65" s="25">
        <v>-0.91366600990295399</v>
      </c>
      <c r="AY65" s="25">
        <v>-1.1264134645462001</v>
      </c>
      <c r="AZ65" s="25">
        <v>-1.15058553218842</v>
      </c>
      <c r="BA65" s="25">
        <v>-1.09584629535675</v>
      </c>
      <c r="BB65" s="25">
        <v>-1.1969134807586701</v>
      </c>
      <c r="BC65" s="25">
        <v>-1.2593675851821899</v>
      </c>
      <c r="BD65" s="25">
        <v>-1.3605606555938701</v>
      </c>
      <c r="BE65" s="25">
        <v>-1.3250433206558201</v>
      </c>
      <c r="BF65" s="25">
        <v>-1.20237147808075</v>
      </c>
      <c r="BG65" s="25">
        <v>-1.19053518772125</v>
      </c>
      <c r="BH65" s="25">
        <v>-1.09078657627106</v>
      </c>
      <c r="BI65" s="25">
        <v>-1.09974193572998</v>
      </c>
      <c r="BJ65" s="25">
        <v>-0.91961431503295898</v>
      </c>
      <c r="BK65" s="25">
        <v>-0.842107713222504</v>
      </c>
      <c r="BL65" s="25">
        <v>-1.05585384368896</v>
      </c>
      <c r="BM65" s="25">
        <v>-0.84782040119171098</v>
      </c>
      <c r="BN65" s="25">
        <v>-0.99245715141296398</v>
      </c>
      <c r="BO65" s="25">
        <v>-0.65065234899520896</v>
      </c>
      <c r="BP65" s="25">
        <v>-0.57788527011871305</v>
      </c>
    </row>
    <row r="66" spans="1:68" x14ac:dyDescent="0.25">
      <c r="A66" t="s">
        <v>1166</v>
      </c>
      <c r="B66" t="s">
        <v>1167</v>
      </c>
      <c r="C66" t="s">
        <v>1044</v>
      </c>
      <c r="D66" t="s">
        <v>1045</v>
      </c>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row>
    <row r="67" spans="1:68" x14ac:dyDescent="0.25">
      <c r="A67" t="s">
        <v>1168</v>
      </c>
      <c r="B67" t="s">
        <v>1169</v>
      </c>
      <c r="C67" t="s">
        <v>1044</v>
      </c>
      <c r="D67" t="s">
        <v>1045</v>
      </c>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row>
    <row r="68" spans="1:68" x14ac:dyDescent="0.25">
      <c r="A68" t="s">
        <v>1170</v>
      </c>
      <c r="B68" t="s">
        <v>1171</v>
      </c>
      <c r="C68" t="s">
        <v>1044</v>
      </c>
      <c r="D68" t="s">
        <v>1045</v>
      </c>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row>
    <row r="69" spans="1:68" x14ac:dyDescent="0.25">
      <c r="A69" t="s">
        <v>1172</v>
      </c>
      <c r="B69" t="s">
        <v>1173</v>
      </c>
      <c r="C69" t="s">
        <v>1044</v>
      </c>
      <c r="D69" t="s">
        <v>1045</v>
      </c>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row>
    <row r="70" spans="1:68" x14ac:dyDescent="0.25">
      <c r="A70" t="s">
        <v>1174</v>
      </c>
      <c r="B70" t="s">
        <v>1175</v>
      </c>
      <c r="C70" t="s">
        <v>1044</v>
      </c>
      <c r="D70" t="s">
        <v>1045</v>
      </c>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row>
    <row r="71" spans="1:68" x14ac:dyDescent="0.25">
      <c r="A71" t="s">
        <v>1176</v>
      </c>
      <c r="B71" t="s">
        <v>1177</v>
      </c>
      <c r="C71" t="s">
        <v>1044</v>
      </c>
      <c r="D71" t="s">
        <v>1045</v>
      </c>
      <c r="AO71" s="25">
        <v>-0.77003324031829801</v>
      </c>
      <c r="AP71" s="25"/>
      <c r="AQ71" s="25">
        <v>-0.16238832473754899</v>
      </c>
      <c r="AR71" s="25"/>
      <c r="AS71" s="25">
        <v>-0.572284936904907</v>
      </c>
      <c r="AT71" s="25"/>
      <c r="AU71" s="25">
        <v>-0.75972092151641801</v>
      </c>
      <c r="AV71" s="25">
        <v>-0.96105659008026101</v>
      </c>
      <c r="AW71" s="25">
        <v>-0.84291034936904896</v>
      </c>
      <c r="AX71" s="25">
        <v>-0.79396182298660301</v>
      </c>
      <c r="AY71" s="25">
        <v>-0.85382533073425304</v>
      </c>
      <c r="AZ71" s="25">
        <v>-0.815987229347229</v>
      </c>
      <c r="BA71" s="25">
        <v>-0.72868239879608199</v>
      </c>
      <c r="BB71" s="25">
        <v>-0.67367577552795399</v>
      </c>
      <c r="BC71" s="25">
        <v>-0.58667445182800304</v>
      </c>
      <c r="BD71" s="25">
        <v>-0.68655753135681197</v>
      </c>
      <c r="BE71" s="25">
        <v>-0.57030647993087802</v>
      </c>
      <c r="BF71" s="25">
        <v>-0.178656712174416</v>
      </c>
      <c r="BG71" s="25">
        <v>-1.85332093387842E-2</v>
      </c>
      <c r="BH71" s="25">
        <v>-0.14734497666358901</v>
      </c>
      <c r="BI71" s="25">
        <v>-9.1710433363914504E-2</v>
      </c>
      <c r="BJ71" s="25">
        <v>-7.8932076692581205E-2</v>
      </c>
      <c r="BK71" s="25">
        <v>-9.4721168279647799E-2</v>
      </c>
      <c r="BL71" s="25">
        <v>-0.23821775615215299</v>
      </c>
      <c r="BM71" s="25">
        <v>-0.27024322748184199</v>
      </c>
      <c r="BN71" s="25">
        <v>-0.25738736987114003</v>
      </c>
      <c r="BO71" s="25">
        <v>-0.37122431397437999</v>
      </c>
      <c r="BP71" s="25">
        <v>-0.33813998103141801</v>
      </c>
    </row>
    <row r="72" spans="1:68" x14ac:dyDescent="0.25">
      <c r="A72" t="s">
        <v>1178</v>
      </c>
      <c r="B72" t="s">
        <v>1179</v>
      </c>
      <c r="C72" t="s">
        <v>1044</v>
      </c>
      <c r="D72" t="s">
        <v>1045</v>
      </c>
      <c r="AO72" s="25">
        <v>-0.52603197097778298</v>
      </c>
      <c r="AP72" s="25"/>
      <c r="AQ72" s="25">
        <v>-2.07697190344334E-2</v>
      </c>
      <c r="AR72" s="25"/>
      <c r="AS72" s="25">
        <v>4.9797523766756099E-2</v>
      </c>
      <c r="AT72" s="25"/>
      <c r="AU72" s="25">
        <v>-0.414172112941742</v>
      </c>
      <c r="AV72" s="25">
        <v>-0.640924513339996</v>
      </c>
      <c r="AW72" s="25">
        <v>-0.82240170240402199</v>
      </c>
      <c r="AX72" s="25">
        <v>-0.62935864925384499</v>
      </c>
      <c r="AY72" s="25">
        <v>-0.83780765533447299</v>
      </c>
      <c r="AZ72" s="25">
        <v>-0.552382111549377</v>
      </c>
      <c r="BA72" s="25">
        <v>-0.51043170690536499</v>
      </c>
      <c r="BB72" s="25">
        <v>-0.60722708702087402</v>
      </c>
      <c r="BC72" s="25">
        <v>-0.89841830730438199</v>
      </c>
      <c r="BD72" s="25">
        <v>-1.43705701828003</v>
      </c>
      <c r="BE72" s="25">
        <v>-1.43632972240448</v>
      </c>
      <c r="BF72" s="25">
        <v>-1.6388309001922601</v>
      </c>
      <c r="BG72" s="25">
        <v>-1.63117659091949</v>
      </c>
      <c r="BH72" s="25">
        <v>-1.4993321895599401</v>
      </c>
      <c r="BI72" s="25">
        <v>-1.4397268295288099</v>
      </c>
      <c r="BJ72" s="25">
        <v>-1.4296458959579501</v>
      </c>
      <c r="BK72" s="25">
        <v>-1.18812155723572</v>
      </c>
      <c r="BL72" s="25">
        <v>-1.1246308088302599</v>
      </c>
      <c r="BM72" s="25">
        <v>-1.1819328069686901</v>
      </c>
      <c r="BN72" s="25">
        <v>-1.0328643321991</v>
      </c>
      <c r="BO72" s="25">
        <v>-0.97870057821273804</v>
      </c>
      <c r="BP72" s="25">
        <v>-0.86676430702209495</v>
      </c>
    </row>
    <row r="73" spans="1:68" x14ac:dyDescent="0.25">
      <c r="A73" t="s">
        <v>1180</v>
      </c>
      <c r="B73" t="s">
        <v>1181</v>
      </c>
      <c r="C73" t="s">
        <v>1044</v>
      </c>
      <c r="D73" t="s">
        <v>1045</v>
      </c>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row>
    <row r="74" spans="1:68" x14ac:dyDescent="0.25">
      <c r="A74" t="s">
        <v>1182</v>
      </c>
      <c r="B74" t="s">
        <v>1183</v>
      </c>
      <c r="C74" t="s">
        <v>1044</v>
      </c>
      <c r="D74" t="s">
        <v>1045</v>
      </c>
      <c r="AO74" s="25">
        <v>-0.936975657939911</v>
      </c>
      <c r="AP74" s="25"/>
      <c r="AQ74" s="25">
        <v>-0.970755875110626</v>
      </c>
      <c r="AR74" s="25"/>
      <c r="AS74" s="25">
        <v>-0.76889520883560203</v>
      </c>
      <c r="AT74" s="25"/>
      <c r="AU74" s="25">
        <v>-0.26715576648712203</v>
      </c>
      <c r="AV74" s="25">
        <v>-0.71959948539733898</v>
      </c>
      <c r="AW74" s="25">
        <v>-0.63938683271408103</v>
      </c>
      <c r="AX74" s="25">
        <v>-0.79501748085021995</v>
      </c>
      <c r="AY74" s="25">
        <v>-0.90021693706512496</v>
      </c>
      <c r="AZ74" s="25">
        <v>-1.04984796047211</v>
      </c>
      <c r="BA74" s="25">
        <v>-0.71080374717712402</v>
      </c>
      <c r="BB74" s="25">
        <v>-0.68088471889495805</v>
      </c>
      <c r="BC74" s="25">
        <v>-0.87559282779693604</v>
      </c>
      <c r="BD74" s="25">
        <v>-0.76640439033508301</v>
      </c>
      <c r="BE74" s="25">
        <v>-0.70219725370407104</v>
      </c>
      <c r="BF74" s="25">
        <v>-0.772372126579285</v>
      </c>
      <c r="BG74" s="25">
        <v>-0.80587261915206898</v>
      </c>
      <c r="BH74" s="25">
        <v>-0.87845343351364102</v>
      </c>
      <c r="BI74" s="25">
        <v>-0.66228240728378296</v>
      </c>
      <c r="BJ74" s="25">
        <v>-0.73344445228576705</v>
      </c>
      <c r="BK74" s="25">
        <v>-0.60936063528060902</v>
      </c>
      <c r="BL74" s="25">
        <v>-0.705968797206879</v>
      </c>
      <c r="BM74" s="25">
        <v>-0.99274104833602905</v>
      </c>
      <c r="BN74" s="25">
        <v>-1.0556821823120099</v>
      </c>
      <c r="BO74" s="25">
        <v>-0.957195043563843</v>
      </c>
      <c r="BP74" s="25">
        <v>-0.79276776313781705</v>
      </c>
    </row>
    <row r="75" spans="1:68" x14ac:dyDescent="0.25">
      <c r="A75" t="s">
        <v>1184</v>
      </c>
      <c r="B75" t="s">
        <v>301</v>
      </c>
      <c r="C75" t="s">
        <v>1044</v>
      </c>
      <c r="D75" t="s">
        <v>1045</v>
      </c>
      <c r="AO75" s="25">
        <v>0.17475751042366</v>
      </c>
      <c r="AP75" s="25"/>
      <c r="AQ75" s="25">
        <v>0.13201883435249301</v>
      </c>
      <c r="AR75" s="25"/>
      <c r="AS75" s="25">
        <v>0.45946824550628701</v>
      </c>
      <c r="AT75" s="25"/>
      <c r="AU75" s="25">
        <v>0.43822607398033098</v>
      </c>
      <c r="AV75" s="25">
        <v>-4.7485888004302999E-2</v>
      </c>
      <c r="AW75" s="25">
        <v>-9.0546302497386905E-2</v>
      </c>
      <c r="AX75" s="25">
        <v>0.19302661716937999</v>
      </c>
      <c r="AY75" s="25">
        <v>-0.150648653507233</v>
      </c>
      <c r="AZ75" s="25">
        <v>-0.27673164010047901</v>
      </c>
      <c r="BA75" s="25">
        <v>-0.38308545947074901</v>
      </c>
      <c r="BB75" s="25">
        <v>-0.474599570035934</v>
      </c>
      <c r="BC75" s="25">
        <v>-0.31804373860359197</v>
      </c>
      <c r="BD75" s="25">
        <v>2.1104536950588199E-2</v>
      </c>
      <c r="BE75" s="25">
        <v>-2.95164491981268E-2</v>
      </c>
      <c r="BF75" s="25">
        <v>1.20177594944835E-2</v>
      </c>
      <c r="BG75" s="25">
        <v>0.243121743202209</v>
      </c>
      <c r="BH75" s="25">
        <v>0.24116013944149001</v>
      </c>
      <c r="BI75" s="25">
        <v>0.40221449732780501</v>
      </c>
      <c r="BJ75" s="25">
        <v>0.27084594964981101</v>
      </c>
      <c r="BK75" s="25">
        <v>0.27590623497963002</v>
      </c>
      <c r="BL75" s="25">
        <v>0.29276874661445601</v>
      </c>
      <c r="BM75" s="25">
        <v>0.41144844889640803</v>
      </c>
      <c r="BN75" s="25">
        <v>0.50923556089401201</v>
      </c>
      <c r="BO75" s="25">
        <v>0.318843424320221</v>
      </c>
      <c r="BP75" s="25">
        <v>0.28729155659675598</v>
      </c>
    </row>
    <row r="76" spans="1:68" x14ac:dyDescent="0.25">
      <c r="A76" t="s">
        <v>1185</v>
      </c>
      <c r="B76" t="s">
        <v>1186</v>
      </c>
      <c r="C76" t="s">
        <v>1044</v>
      </c>
      <c r="D76" t="s">
        <v>1045</v>
      </c>
      <c r="AO76" s="25">
        <v>0.76792454719543501</v>
      </c>
      <c r="AP76" s="25"/>
      <c r="AQ76" s="25">
        <v>0.65705066919326804</v>
      </c>
      <c r="AR76" s="25"/>
      <c r="AS76" s="25">
        <v>0.902080297470093</v>
      </c>
      <c r="AT76" s="25"/>
      <c r="AU76" s="25">
        <v>0.92785441875457797</v>
      </c>
      <c r="AV76" s="25">
        <v>0.89478623867034901</v>
      </c>
      <c r="AW76" s="25">
        <v>0.70392620563507102</v>
      </c>
      <c r="AX76" s="25">
        <v>0.605274677276611</v>
      </c>
      <c r="AY76" s="25">
        <v>0.73667824268341098</v>
      </c>
      <c r="AZ76" s="25">
        <v>0.63410955667495705</v>
      </c>
      <c r="BA76" s="25">
        <v>0.57197356224060103</v>
      </c>
      <c r="BB76" s="25">
        <v>0.56761902570724498</v>
      </c>
      <c r="BC76" s="25">
        <v>0.66136699914932295</v>
      </c>
      <c r="BD76" s="25">
        <v>0.61104130744934104</v>
      </c>
      <c r="BE76" s="25">
        <v>0.63646519184112504</v>
      </c>
      <c r="BF76" s="25">
        <v>0.74821543693542503</v>
      </c>
      <c r="BG76" s="25">
        <v>0.78025788068771396</v>
      </c>
      <c r="BH76" s="25">
        <v>0.61385726928710904</v>
      </c>
      <c r="BI76" s="25">
        <v>0.66279625892639205</v>
      </c>
      <c r="BJ76" s="25">
        <v>0.64237076044082597</v>
      </c>
      <c r="BK76" s="25">
        <v>0.58041554689407304</v>
      </c>
      <c r="BL76" s="25">
        <v>0.63019776344299305</v>
      </c>
      <c r="BM76" s="25">
        <v>0.70981699228286699</v>
      </c>
      <c r="BN76" s="25">
        <v>0.74858951568603505</v>
      </c>
      <c r="BO76" s="25">
        <v>0.72788089513778698</v>
      </c>
      <c r="BP76" s="25">
        <v>0.66053390502929699</v>
      </c>
    </row>
    <row r="77" spans="1:68" x14ac:dyDescent="0.25">
      <c r="A77" t="s">
        <v>1187</v>
      </c>
      <c r="B77" t="s">
        <v>1188</v>
      </c>
      <c r="C77" t="s">
        <v>1044</v>
      </c>
      <c r="D77" t="s">
        <v>1045</v>
      </c>
      <c r="AO77" s="25">
        <v>-1.05474293231964</v>
      </c>
      <c r="AP77" s="25"/>
      <c r="AQ77" s="25">
        <v>-0.63226675987243697</v>
      </c>
      <c r="AR77" s="25"/>
      <c r="AS77" s="25">
        <v>-0.94603210687637296</v>
      </c>
      <c r="AT77" s="25"/>
      <c r="AU77" s="25">
        <v>-1.22584557533264</v>
      </c>
      <c r="AV77" s="25">
        <v>-1.4096044301986701</v>
      </c>
      <c r="AW77" s="25">
        <v>-1.3124916553497299</v>
      </c>
      <c r="AX77" s="25">
        <v>-1.6903833150863601</v>
      </c>
      <c r="AY77" s="25">
        <v>-1.7401322126388501</v>
      </c>
      <c r="AZ77" s="25">
        <v>-1.8064093589782699</v>
      </c>
      <c r="BA77" s="25">
        <v>-1.7321206331253101</v>
      </c>
      <c r="BB77" s="25">
        <v>-1.6410722732543901</v>
      </c>
      <c r="BC77" s="25">
        <v>-1.6351011991500899</v>
      </c>
      <c r="BD77" s="25">
        <v>-1.5069637298584</v>
      </c>
      <c r="BE77" s="25">
        <v>-1.5642713308334399</v>
      </c>
      <c r="BF77" s="25">
        <v>-1.4073073863983201</v>
      </c>
      <c r="BG77" s="25">
        <v>-1.3393874168396001</v>
      </c>
      <c r="BH77" s="25">
        <v>-1.49694204330444</v>
      </c>
      <c r="BI77" s="25">
        <v>-1.6172451972961399</v>
      </c>
      <c r="BJ77" s="25">
        <v>-1.67723059654236</v>
      </c>
      <c r="BK77" s="25">
        <v>-1.27460920810699</v>
      </c>
      <c r="BL77" s="25">
        <v>-1.3037627935409499</v>
      </c>
      <c r="BM77" s="25">
        <v>-1.7537029981613199</v>
      </c>
      <c r="BN77" s="25">
        <v>-2.18383121490479</v>
      </c>
      <c r="BO77" s="25">
        <v>-2.07060623168945</v>
      </c>
      <c r="BP77" s="25">
        <v>-1.9695677757263199</v>
      </c>
    </row>
    <row r="78" spans="1:68" x14ac:dyDescent="0.25">
      <c r="A78" t="s">
        <v>1189</v>
      </c>
      <c r="B78" t="s">
        <v>1190</v>
      </c>
      <c r="C78" t="s">
        <v>1044</v>
      </c>
      <c r="D78" t="s">
        <v>1045</v>
      </c>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row>
    <row r="79" spans="1:68" x14ac:dyDescent="0.25">
      <c r="A79" t="s">
        <v>1191</v>
      </c>
      <c r="B79" t="s">
        <v>1192</v>
      </c>
      <c r="C79" t="s">
        <v>1044</v>
      </c>
      <c r="D79" t="s">
        <v>1045</v>
      </c>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row>
    <row r="80" spans="1:68" x14ac:dyDescent="0.25">
      <c r="A80" t="s">
        <v>1193</v>
      </c>
      <c r="B80" t="s">
        <v>1194</v>
      </c>
      <c r="C80" t="s">
        <v>1044</v>
      </c>
      <c r="D80" t="s">
        <v>1045</v>
      </c>
      <c r="AO80" s="25">
        <v>1.41271877288818</v>
      </c>
      <c r="AP80" s="25"/>
      <c r="AQ80" s="25">
        <v>1.47338783740997</v>
      </c>
      <c r="AR80" s="25"/>
      <c r="AS80" s="25">
        <v>1.7201120853424099</v>
      </c>
      <c r="AT80" s="25"/>
      <c r="AU80" s="25">
        <v>1.7531840801239</v>
      </c>
      <c r="AV80" s="25">
        <v>1.6870174407959</v>
      </c>
      <c r="AW80" s="25">
        <v>1.6196268796920801</v>
      </c>
      <c r="AX80" s="25">
        <v>1.5949468612670901</v>
      </c>
      <c r="AY80" s="25">
        <v>1.50111103057861</v>
      </c>
      <c r="AZ80" s="25">
        <v>1.48869705200195</v>
      </c>
      <c r="BA80" s="25">
        <v>1.44586837291718</v>
      </c>
      <c r="BB80" s="25">
        <v>1.45967149734497</v>
      </c>
      <c r="BC80" s="25">
        <v>1.42360687255859</v>
      </c>
      <c r="BD80" s="25">
        <v>1.39347100257874</v>
      </c>
      <c r="BE80" s="25">
        <v>1.4007651805877701</v>
      </c>
      <c r="BF80" s="25">
        <v>1.3851724863052399</v>
      </c>
      <c r="BG80" s="25">
        <v>1.2821972370147701</v>
      </c>
      <c r="BH80" s="25">
        <v>1.02799820899963</v>
      </c>
      <c r="BI80" s="25">
        <v>0.98259186744689897</v>
      </c>
      <c r="BJ80" s="25">
        <v>1.0638082027435301</v>
      </c>
      <c r="BK80" s="25">
        <v>0.89188969135284402</v>
      </c>
      <c r="BL80" s="25">
        <v>0.83525884151458696</v>
      </c>
      <c r="BM80" s="25">
        <v>0.98182511329650901</v>
      </c>
      <c r="BN80" s="25">
        <v>0.96327596902847301</v>
      </c>
      <c r="BO80" s="25">
        <v>0.89483010768890403</v>
      </c>
      <c r="BP80" s="25">
        <v>0.71398669481277499</v>
      </c>
    </row>
    <row r="81" spans="1:68" x14ac:dyDescent="0.25">
      <c r="A81" t="s">
        <v>1195</v>
      </c>
      <c r="B81" t="s">
        <v>1196</v>
      </c>
      <c r="C81" t="s">
        <v>1044</v>
      </c>
      <c r="D81" t="s">
        <v>1045</v>
      </c>
      <c r="AO81" s="25">
        <v>0.83056855201721203</v>
      </c>
      <c r="AP81" s="25"/>
      <c r="AQ81" s="25">
        <v>0.85627460479736295</v>
      </c>
      <c r="AR81" s="25"/>
      <c r="AS81" s="25">
        <v>0.30140316486358598</v>
      </c>
      <c r="AT81" s="25"/>
      <c r="AU81" s="25">
        <v>0.47394105792045599</v>
      </c>
      <c r="AV81" s="25">
        <v>0.452653437852859</v>
      </c>
      <c r="AW81" s="25">
        <v>0.38996002078056302</v>
      </c>
      <c r="AX81" s="25">
        <v>0.386921286582947</v>
      </c>
      <c r="AY81" s="25">
        <v>-3.4058049321174601E-2</v>
      </c>
      <c r="AZ81" s="25">
        <v>6.1876796185970299E-2</v>
      </c>
      <c r="BA81" s="25">
        <v>-6.6948674619197804E-2</v>
      </c>
      <c r="BB81" s="25">
        <v>-0.27288565039634699</v>
      </c>
      <c r="BC81" s="25">
        <v>-0.19082751870155301</v>
      </c>
      <c r="BD81" s="25">
        <v>-7.1288198232650798E-2</v>
      </c>
      <c r="BE81" s="25">
        <v>-6.7774832248687703E-2</v>
      </c>
      <c r="BF81" s="25">
        <v>-5.10276891291142E-2</v>
      </c>
      <c r="BG81" s="25">
        <v>0.55316460132598899</v>
      </c>
      <c r="BH81" s="25">
        <v>0.569660663604736</v>
      </c>
      <c r="BI81" s="25">
        <v>0.89702945947647095</v>
      </c>
      <c r="BJ81" s="25">
        <v>0.58538025617599498</v>
      </c>
      <c r="BK81" s="25">
        <v>0.83288252353668202</v>
      </c>
      <c r="BL81" s="25">
        <v>0.77933490276336703</v>
      </c>
      <c r="BM81" s="25">
        <v>0.66279721260070801</v>
      </c>
      <c r="BN81" s="25">
        <v>0.72510689496993996</v>
      </c>
      <c r="BO81" s="25">
        <v>0.74850863218307495</v>
      </c>
      <c r="BP81" s="25">
        <v>0.74434345960617099</v>
      </c>
    </row>
    <row r="82" spans="1:68" x14ac:dyDescent="0.25">
      <c r="A82" t="s">
        <v>1197</v>
      </c>
      <c r="B82" t="s">
        <v>1198</v>
      </c>
      <c r="C82" t="s">
        <v>1044</v>
      </c>
      <c r="D82" t="s">
        <v>1045</v>
      </c>
      <c r="AO82" s="25">
        <v>0.88749945163726796</v>
      </c>
      <c r="AP82" s="25"/>
      <c r="AQ82" s="25">
        <v>0.69888877868652299</v>
      </c>
      <c r="AR82" s="25"/>
      <c r="AS82" s="25">
        <v>0.78508907556533802</v>
      </c>
      <c r="AT82" s="25"/>
      <c r="AU82" s="25">
        <v>0.924183249473572</v>
      </c>
      <c r="AV82" s="25">
        <v>0.17955106496810899</v>
      </c>
      <c r="AW82" s="25">
        <v>0.34511530399322499</v>
      </c>
      <c r="AX82" s="25">
        <v>0.39972391724586498</v>
      </c>
      <c r="AY82" s="25">
        <v>0.59550577402114901</v>
      </c>
      <c r="AZ82" s="25">
        <v>0.56300079822540305</v>
      </c>
      <c r="BA82" s="25">
        <v>0.54375916719436601</v>
      </c>
      <c r="BB82" s="25">
        <v>0.512012898921967</v>
      </c>
      <c r="BC82" s="25">
        <v>0.68108755350112904</v>
      </c>
      <c r="BD82" s="25">
        <v>0.60299283266067505</v>
      </c>
      <c r="BE82" s="25">
        <v>0.55494153499603305</v>
      </c>
      <c r="BF82" s="25">
        <v>0.44874411821365401</v>
      </c>
      <c r="BG82" s="25">
        <v>0.30056849122047402</v>
      </c>
      <c r="BH82" s="25">
        <v>9.7759805619716603E-2</v>
      </c>
      <c r="BI82" s="25">
        <v>-0.106349594891071</v>
      </c>
      <c r="BJ82" s="25">
        <v>0.26570153236389199</v>
      </c>
      <c r="BK82" s="25">
        <v>1.3894104398787001E-2</v>
      </c>
      <c r="BL82" s="25">
        <v>0.27134123444557201</v>
      </c>
      <c r="BM82" s="25">
        <v>0.28099283576011702</v>
      </c>
      <c r="BN82" s="25">
        <v>0.32561236619949302</v>
      </c>
      <c r="BO82" s="25">
        <v>0.39333921670913702</v>
      </c>
      <c r="BP82" s="25">
        <v>0.34369796514511097</v>
      </c>
    </row>
    <row r="83" spans="1:68" x14ac:dyDescent="0.25">
      <c r="A83" t="s">
        <v>1199</v>
      </c>
      <c r="B83" t="s">
        <v>1200</v>
      </c>
      <c r="C83" t="s">
        <v>1044</v>
      </c>
      <c r="D83" t="s">
        <v>1045</v>
      </c>
    </row>
    <row r="84" spans="1:68" x14ac:dyDescent="0.25">
      <c r="A84" t="s">
        <v>1201</v>
      </c>
      <c r="B84" t="s">
        <v>1202</v>
      </c>
      <c r="C84" t="s">
        <v>1044</v>
      </c>
      <c r="D84" t="s">
        <v>1045</v>
      </c>
      <c r="AV84">
        <v>0.62958955764770497</v>
      </c>
      <c r="AW84">
        <v>1.0036598443985001</v>
      </c>
      <c r="AX84">
        <v>1.13408243656158</v>
      </c>
      <c r="AY84">
        <v>1.13184082508087</v>
      </c>
      <c r="AZ84">
        <v>1.1504654884338399</v>
      </c>
      <c r="BA84">
        <v>1.1686818599700901</v>
      </c>
      <c r="BB84">
        <v>1.28746926784515</v>
      </c>
      <c r="BC84">
        <v>1.20931696891785</v>
      </c>
      <c r="BD84">
        <v>1.10138940811157</v>
      </c>
      <c r="BE84">
        <v>1.1508698463439899</v>
      </c>
      <c r="BF84">
        <v>1.1028585433960001</v>
      </c>
      <c r="BG84">
        <v>0.98455071449279796</v>
      </c>
      <c r="BH84">
        <v>1.0171715021133401</v>
      </c>
      <c r="BI84">
        <v>1.0364564657211299</v>
      </c>
      <c r="BJ84">
        <v>1.1616343259811399</v>
      </c>
      <c r="BK84">
        <v>1.31535291671753</v>
      </c>
      <c r="BL84">
        <v>1.0327569246292101</v>
      </c>
      <c r="BM84">
        <v>1.1154639720916699</v>
      </c>
      <c r="BN84">
        <v>1.19793713092804</v>
      </c>
      <c r="BO84">
        <v>1.2092188596725499</v>
      </c>
      <c r="BP84">
        <v>1.0807785987853999</v>
      </c>
    </row>
    <row r="85" spans="1:68" x14ac:dyDescent="0.25">
      <c r="A85" t="s">
        <v>1203</v>
      </c>
      <c r="B85" t="s">
        <v>1204</v>
      </c>
      <c r="C85" t="s">
        <v>1044</v>
      </c>
      <c r="D85" t="s">
        <v>1045</v>
      </c>
      <c r="AO85">
        <v>0.12568302452564201</v>
      </c>
      <c r="AQ85">
        <v>0.32502093911170998</v>
      </c>
      <c r="AS85">
        <v>0.64021062850952104</v>
      </c>
      <c r="AU85">
        <v>0.41024869680404702</v>
      </c>
      <c r="AV85">
        <v>0.29903855919838002</v>
      </c>
      <c r="AW85">
        <v>0.40817090868949901</v>
      </c>
      <c r="AX85">
        <v>0.32562574744224498</v>
      </c>
      <c r="AY85">
        <v>0.22000622749328599</v>
      </c>
      <c r="AZ85">
        <v>0.30284458398818997</v>
      </c>
      <c r="BA85">
        <v>0.26187470555305498</v>
      </c>
      <c r="BB85">
        <v>0.14043876528739899</v>
      </c>
      <c r="BC85">
        <v>0.29927924275398299</v>
      </c>
      <c r="BD85">
        <v>0.38489091396331798</v>
      </c>
      <c r="BE85">
        <v>0.29329141974449202</v>
      </c>
      <c r="BF85">
        <v>0.33010274171829201</v>
      </c>
      <c r="BG85">
        <v>0.14954280853271501</v>
      </c>
      <c r="BH85">
        <v>1.52472918853164E-2</v>
      </c>
      <c r="BI85">
        <v>-0.110105983912945</v>
      </c>
      <c r="BJ85">
        <v>-0.105890899896622</v>
      </c>
      <c r="BK85">
        <v>-0.257340848445892</v>
      </c>
      <c r="BL85">
        <v>-7.5098618865013095E-2</v>
      </c>
      <c r="BM85">
        <v>-6.5772816538810702E-2</v>
      </c>
      <c r="BN85">
        <v>-7.5717322528362302E-2</v>
      </c>
      <c r="BO85">
        <v>6.0369402170181302E-2</v>
      </c>
      <c r="BP85">
        <v>-0.33552730083465598</v>
      </c>
    </row>
    <row r="86" spans="1:68" x14ac:dyDescent="0.25">
      <c r="A86" t="s">
        <v>1205</v>
      </c>
      <c r="B86" t="s">
        <v>1206</v>
      </c>
      <c r="C86" t="s">
        <v>1044</v>
      </c>
      <c r="D86" t="s">
        <v>1045</v>
      </c>
      <c r="AO86">
        <v>0.98136436939239502</v>
      </c>
      <c r="AQ86">
        <v>0.93006855249404896</v>
      </c>
      <c r="AS86">
        <v>1.0331057310104399</v>
      </c>
      <c r="AU86">
        <v>0.67259132862091098</v>
      </c>
      <c r="AV86">
        <v>0.27125072479248002</v>
      </c>
      <c r="AW86">
        <v>0.140847533941269</v>
      </c>
      <c r="AX86">
        <v>0.124187760055065</v>
      </c>
      <c r="AY86">
        <v>0.66708010435104403</v>
      </c>
      <c r="AZ86">
        <v>0.57465493679046598</v>
      </c>
      <c r="BA86">
        <v>0.49287986755371099</v>
      </c>
      <c r="BB86">
        <v>0.12194950133562101</v>
      </c>
      <c r="BC86">
        <v>0.41181820631027199</v>
      </c>
      <c r="BD86">
        <v>0.35170760750770602</v>
      </c>
      <c r="BE86">
        <v>0.40227073431014998</v>
      </c>
      <c r="BF86">
        <v>0.48620143532753002</v>
      </c>
      <c r="BG86">
        <v>0.41534763574600198</v>
      </c>
      <c r="BH86">
        <v>0.503706395626068</v>
      </c>
      <c r="BI86">
        <v>0.34793263673782299</v>
      </c>
      <c r="BJ86">
        <v>0.38068029284477201</v>
      </c>
      <c r="BK86">
        <v>7.7085562050342601E-2</v>
      </c>
      <c r="BL86">
        <v>0.52669429779052701</v>
      </c>
      <c r="BM86">
        <v>0.483050256967545</v>
      </c>
      <c r="BN86">
        <v>0.48999413847923301</v>
      </c>
      <c r="BO86">
        <v>0.53317606449127197</v>
      </c>
      <c r="BP86">
        <v>0.51493567228317305</v>
      </c>
    </row>
    <row r="87" spans="1:68" x14ac:dyDescent="0.25">
      <c r="A87" t="s">
        <v>1207</v>
      </c>
      <c r="B87" t="s">
        <v>1208</v>
      </c>
      <c r="C87" t="s">
        <v>1044</v>
      </c>
      <c r="D87" t="s">
        <v>1045</v>
      </c>
      <c r="AO87">
        <v>-1.57057857513428</v>
      </c>
      <c r="AQ87">
        <v>-1.6389029026031501</v>
      </c>
      <c r="AS87">
        <v>-0.81272655725479104</v>
      </c>
      <c r="AU87">
        <v>-1.1920413970947299</v>
      </c>
      <c r="AV87">
        <v>-1.29921066761017</v>
      </c>
      <c r="AW87">
        <v>-0.86411815881729104</v>
      </c>
      <c r="AX87">
        <v>-0.75590491294860795</v>
      </c>
      <c r="AY87">
        <v>-0.96609878540039096</v>
      </c>
      <c r="AZ87">
        <v>-0.645898997783661</v>
      </c>
      <c r="BA87">
        <v>-0.91967511177062999</v>
      </c>
      <c r="BB87">
        <v>-0.96552491188049305</v>
      </c>
      <c r="BC87">
        <v>-0.71832090616226196</v>
      </c>
      <c r="BD87">
        <v>-0.65695196390152</v>
      </c>
      <c r="BE87">
        <v>-0.68045395612716697</v>
      </c>
      <c r="BF87">
        <v>-0.44136616587638899</v>
      </c>
      <c r="BG87">
        <v>-0.32150754332542397</v>
      </c>
      <c r="BH87">
        <v>-0.47215375304222101</v>
      </c>
      <c r="BI87">
        <v>-0.32011508941650402</v>
      </c>
      <c r="BJ87">
        <v>-0.37521475553512601</v>
      </c>
      <c r="BK87">
        <v>-0.44756287336349498</v>
      </c>
      <c r="BL87">
        <v>-0.49817195534706099</v>
      </c>
      <c r="BM87">
        <v>-0.42961063981056202</v>
      </c>
      <c r="BN87">
        <v>-0.42962023615837103</v>
      </c>
      <c r="BO87">
        <v>-0.43653005361557001</v>
      </c>
      <c r="BP87">
        <v>-0.33555412292480502</v>
      </c>
    </row>
    <row r="88" spans="1:68" x14ac:dyDescent="0.25">
      <c r="A88" t="s">
        <v>1209</v>
      </c>
      <c r="B88" t="s">
        <v>1210</v>
      </c>
      <c r="C88" t="s">
        <v>1044</v>
      </c>
      <c r="D88" t="s">
        <v>1045</v>
      </c>
      <c r="AO88">
        <v>-0.23450383543968201</v>
      </c>
      <c r="AQ88">
        <v>-0.136477410793304</v>
      </c>
      <c r="AS88">
        <v>-0.35938173532486001</v>
      </c>
      <c r="AU88">
        <v>-0.15993432700634</v>
      </c>
      <c r="AV88">
        <v>2.9186578467488299E-2</v>
      </c>
      <c r="AW88">
        <v>4.0790971368551303E-2</v>
      </c>
      <c r="AX88">
        <v>0.16971929371357</v>
      </c>
      <c r="AY88">
        <v>6.3961860723793498E-3</v>
      </c>
      <c r="AZ88">
        <v>-7.3061265051364899E-2</v>
      </c>
      <c r="BA88">
        <v>-2.9515961185097701E-2</v>
      </c>
      <c r="BB88">
        <v>2.78358180075884E-2</v>
      </c>
      <c r="BC88">
        <v>2.6093240827321999E-2</v>
      </c>
      <c r="BD88">
        <v>0.16711214184761</v>
      </c>
      <c r="BE88">
        <v>0.130694985389709</v>
      </c>
      <c r="BF88">
        <v>6.0606084764003802E-2</v>
      </c>
      <c r="BG88">
        <v>-0.106807962059975</v>
      </c>
      <c r="BH88">
        <v>-3.8228906691074399E-2</v>
      </c>
      <c r="BI88">
        <v>-0.138907715678215</v>
      </c>
      <c r="BJ88">
        <v>8.2036986947059604E-2</v>
      </c>
      <c r="BK88">
        <v>-3.6643028259277302E-2</v>
      </c>
      <c r="BL88">
        <v>0.118526868522167</v>
      </c>
      <c r="BM88">
        <v>0.16990190744399999</v>
      </c>
      <c r="BN88">
        <v>6.5852455794811193E-2</v>
      </c>
      <c r="BO88">
        <v>-0.195024788379669</v>
      </c>
      <c r="BP88">
        <v>-2.1620703861117401E-2</v>
      </c>
    </row>
    <row r="89" spans="1:68" x14ac:dyDescent="0.25">
      <c r="A89" t="s">
        <v>1211</v>
      </c>
      <c r="B89" t="s">
        <v>1212</v>
      </c>
      <c r="C89" t="s">
        <v>1044</v>
      </c>
      <c r="D89" t="s">
        <v>1045</v>
      </c>
    </row>
    <row r="90" spans="1:68" x14ac:dyDescent="0.25">
      <c r="A90" t="s">
        <v>1213</v>
      </c>
      <c r="B90" t="s">
        <v>1214</v>
      </c>
      <c r="C90" t="s">
        <v>1044</v>
      </c>
      <c r="D90" t="s">
        <v>1045</v>
      </c>
      <c r="AO90">
        <v>-1.1509329080581701</v>
      </c>
      <c r="AQ90">
        <v>-0.58695471286773704</v>
      </c>
      <c r="AS90">
        <v>-1.9075900316238401</v>
      </c>
      <c r="AU90">
        <v>-1.42116582393646</v>
      </c>
      <c r="AV90">
        <v>-0.78889536857605003</v>
      </c>
      <c r="AW90">
        <v>-1.0333836078643801</v>
      </c>
      <c r="AX90">
        <v>-1.1539767980575599</v>
      </c>
      <c r="AY90">
        <v>-1.9089285135269201</v>
      </c>
      <c r="AZ90">
        <v>-2.40334820747375</v>
      </c>
      <c r="BA90">
        <v>-2.0973389148712198</v>
      </c>
      <c r="BB90">
        <v>-2.116455078125</v>
      </c>
      <c r="BC90">
        <v>-1.6870790719986</v>
      </c>
      <c r="BD90">
        <v>-1.3880540132522601</v>
      </c>
      <c r="BE90">
        <v>-1.2870124578476001</v>
      </c>
      <c r="BF90">
        <v>-1.22985172271729</v>
      </c>
      <c r="BG90">
        <v>-0.95524275302886996</v>
      </c>
      <c r="BH90">
        <v>-0.38647541403770402</v>
      </c>
      <c r="BI90">
        <v>-0.396070927381516</v>
      </c>
      <c r="BJ90">
        <v>-0.69907414913177501</v>
      </c>
      <c r="BK90">
        <v>-0.88059735298156705</v>
      </c>
      <c r="BL90">
        <v>-0.84260612726211503</v>
      </c>
      <c r="BM90">
        <v>-0.66928523778915405</v>
      </c>
      <c r="BN90">
        <v>-0.93990987539291404</v>
      </c>
      <c r="BO90">
        <v>-0.83868211507797197</v>
      </c>
      <c r="BP90">
        <v>-0.87787514925003096</v>
      </c>
    </row>
    <row r="91" spans="1:68" x14ac:dyDescent="0.25">
      <c r="A91" t="s">
        <v>1215</v>
      </c>
      <c r="B91" t="s">
        <v>1216</v>
      </c>
      <c r="C91" t="s">
        <v>1044</v>
      </c>
      <c r="D91" t="s">
        <v>1045</v>
      </c>
      <c r="AO91">
        <v>0.559609055519104</v>
      </c>
      <c r="AQ91">
        <v>0.67564886808395397</v>
      </c>
      <c r="AS91">
        <v>0.53381860256195102</v>
      </c>
      <c r="AU91">
        <v>0.82615977525711104</v>
      </c>
      <c r="AV91">
        <v>0.32243010401725802</v>
      </c>
      <c r="AW91">
        <v>0.16490605473518399</v>
      </c>
      <c r="AX91">
        <v>0.200640663504601</v>
      </c>
      <c r="AY91">
        <v>-3.4124113619327497E-2</v>
      </c>
      <c r="AZ91">
        <v>4.7412302345037502E-2</v>
      </c>
      <c r="BA91">
        <v>6.5151274204254206E-2</v>
      </c>
      <c r="BB91">
        <v>0.12231682240963</v>
      </c>
      <c r="BC91">
        <v>6.5416984260082203E-2</v>
      </c>
      <c r="BD91">
        <v>-2.7060540742240797E-4</v>
      </c>
      <c r="BE91">
        <v>-7.7883841004222599E-4</v>
      </c>
      <c r="BF91">
        <v>-4.8636406660079998E-2</v>
      </c>
      <c r="BG91">
        <v>-0.15140071511268599</v>
      </c>
      <c r="BH91">
        <v>1.6247631981968901E-2</v>
      </c>
      <c r="BI91">
        <v>-0.44204419851303101</v>
      </c>
      <c r="BJ91">
        <v>-9.4830937683582306E-2</v>
      </c>
      <c r="BK91">
        <v>-8.7496496737003299E-2</v>
      </c>
      <c r="BL91">
        <v>0.21449160575866699</v>
      </c>
      <c r="BM91">
        <v>0.24803547561168701</v>
      </c>
      <c r="BN91">
        <v>3.5330798476934398E-2</v>
      </c>
      <c r="BO91">
        <v>4.3973281979560901E-2</v>
      </c>
      <c r="BP91">
        <v>-1.2019929476082301E-2</v>
      </c>
    </row>
    <row r="92" spans="1:68" x14ac:dyDescent="0.25">
      <c r="A92" t="s">
        <v>1217</v>
      </c>
      <c r="B92" t="s">
        <v>1218</v>
      </c>
      <c r="C92" t="s">
        <v>1044</v>
      </c>
      <c r="D92" t="s">
        <v>1045</v>
      </c>
      <c r="AO92">
        <v>-1.54001665115356</v>
      </c>
      <c r="AQ92">
        <v>-1.86076724529266</v>
      </c>
      <c r="AS92">
        <v>-0.349449872970581</v>
      </c>
      <c r="AU92">
        <v>-0.72615730762481701</v>
      </c>
      <c r="AV92">
        <v>-0.49418449401855502</v>
      </c>
      <c r="AW92">
        <v>-0.378061443567276</v>
      </c>
      <c r="AX92">
        <v>-0.56252592802047696</v>
      </c>
      <c r="AY92">
        <v>-0.49407336115837103</v>
      </c>
      <c r="AZ92">
        <v>-0.46055370569229098</v>
      </c>
      <c r="BA92">
        <v>-0.709455966949463</v>
      </c>
      <c r="BB92">
        <v>-0.66587084531784102</v>
      </c>
      <c r="BC92">
        <v>-0.69095432758331299</v>
      </c>
      <c r="BD92">
        <v>-0.753625988960266</v>
      </c>
      <c r="BE92">
        <v>-0.965295851230621</v>
      </c>
      <c r="BF92">
        <v>-0.89992761611938499</v>
      </c>
      <c r="BG92">
        <v>-0.70645165443420399</v>
      </c>
      <c r="BH92">
        <v>-0.51657909154892001</v>
      </c>
      <c r="BI92">
        <v>-0.44527557492256198</v>
      </c>
      <c r="BJ92">
        <v>-0.497683346271515</v>
      </c>
      <c r="BK92">
        <v>-0.68482047319412198</v>
      </c>
      <c r="BL92">
        <v>-0.56156748533248901</v>
      </c>
      <c r="BM92">
        <v>-0.72167646884918202</v>
      </c>
      <c r="BN92">
        <v>-0.27998590469360402</v>
      </c>
      <c r="BO92">
        <v>-0.38594487309455899</v>
      </c>
      <c r="BP92">
        <v>-0.32766523957252502</v>
      </c>
    </row>
    <row r="93" spans="1:68" x14ac:dyDescent="0.25">
      <c r="A93" t="s">
        <v>1219</v>
      </c>
      <c r="B93" t="s">
        <v>1220</v>
      </c>
      <c r="C93" t="s">
        <v>1044</v>
      </c>
      <c r="D93" t="s">
        <v>1045</v>
      </c>
      <c r="AO93">
        <v>-0.13135226070880901</v>
      </c>
      <c r="AQ93">
        <v>-8.05978253483772E-2</v>
      </c>
      <c r="AS93">
        <v>-3.5038944333791698E-2</v>
      </c>
      <c r="AU93">
        <v>-0.51439636945724498</v>
      </c>
      <c r="AV93">
        <v>0.114630743861198</v>
      </c>
      <c r="AW93">
        <v>-5.9478025883436203E-2</v>
      </c>
      <c r="AX93">
        <v>-0.386098802089691</v>
      </c>
      <c r="AY93">
        <v>0.16879040002822901</v>
      </c>
      <c r="AZ93">
        <v>0.25665473937988298</v>
      </c>
      <c r="BA93">
        <v>0.20754437148571001</v>
      </c>
      <c r="BB93">
        <v>0.37330240011215199</v>
      </c>
      <c r="BC93">
        <v>0.23612822592258501</v>
      </c>
      <c r="BD93">
        <v>0.15034380555152899</v>
      </c>
      <c r="BE93">
        <v>0.232703447341919</v>
      </c>
      <c r="BF93">
        <v>0.120355181396008</v>
      </c>
      <c r="BG93">
        <v>-0.37414655089378401</v>
      </c>
      <c r="BH93">
        <v>-0.20779919624328599</v>
      </c>
      <c r="BI93">
        <v>-0.146742969751358</v>
      </c>
      <c r="BJ93">
        <v>-0.172019883990288</v>
      </c>
      <c r="BK93">
        <v>-9.0152285993099199E-2</v>
      </c>
      <c r="BL93">
        <v>-0.14789828658103901</v>
      </c>
      <c r="BM93">
        <v>-0.22156077623367301</v>
      </c>
      <c r="BN93">
        <v>-0.20273551344871499</v>
      </c>
      <c r="BO93">
        <v>-0.236288592219353</v>
      </c>
      <c r="BP93">
        <v>-0.23537133634090401</v>
      </c>
    </row>
    <row r="94" spans="1:68" x14ac:dyDescent="0.25">
      <c r="A94" t="s">
        <v>1221</v>
      </c>
      <c r="B94" t="s">
        <v>1222</v>
      </c>
      <c r="C94" t="s">
        <v>1044</v>
      </c>
      <c r="D94" t="s">
        <v>1045</v>
      </c>
      <c r="AO94">
        <v>0.55386388301849399</v>
      </c>
      <c r="AQ94">
        <v>0.77139681577682495</v>
      </c>
      <c r="AS94">
        <v>0.80835640430450395</v>
      </c>
      <c r="AU94">
        <v>0.872591853141785</v>
      </c>
      <c r="AV94">
        <v>0.47763636708259599</v>
      </c>
      <c r="AW94">
        <v>0.48933625221252403</v>
      </c>
      <c r="AX94">
        <v>0.50652414560318004</v>
      </c>
      <c r="AY94">
        <v>0.63043278455734297</v>
      </c>
      <c r="AZ94">
        <v>0.52350783348083496</v>
      </c>
      <c r="BA94">
        <v>0.267854154109955</v>
      </c>
      <c r="BB94">
        <v>-0.208124294877052</v>
      </c>
      <c r="BC94">
        <v>-0.12720687687397</v>
      </c>
      <c r="BD94">
        <v>-9.8695188760757405E-2</v>
      </c>
      <c r="BE94">
        <v>-0.21724869310855899</v>
      </c>
      <c r="BF94">
        <v>-0.171341717243195</v>
      </c>
      <c r="BG94">
        <v>-0.140445962548256</v>
      </c>
      <c r="BH94">
        <v>-0.235559731721878</v>
      </c>
      <c r="BI94">
        <v>-0.12970364093780501</v>
      </c>
      <c r="BJ94">
        <v>-8.1244044005870805E-2</v>
      </c>
      <c r="BK94">
        <v>0.15397906303405801</v>
      </c>
      <c r="BL94">
        <v>0.162428334355354</v>
      </c>
      <c r="BM94">
        <v>0.11518152803182601</v>
      </c>
      <c r="BN94">
        <v>0.10138326883316</v>
      </c>
      <c r="BO94">
        <v>0.106463775038719</v>
      </c>
      <c r="BP94">
        <v>0.239744067192078</v>
      </c>
    </row>
    <row r="95" spans="1:68" x14ac:dyDescent="0.25">
      <c r="A95" t="s">
        <v>1223</v>
      </c>
      <c r="B95" t="s">
        <v>1224</v>
      </c>
      <c r="C95" t="s">
        <v>1044</v>
      </c>
      <c r="D95" t="s">
        <v>1045</v>
      </c>
      <c r="AO95">
        <v>0.91466349363327004</v>
      </c>
      <c r="AQ95">
        <v>0.95444345474243197</v>
      </c>
      <c r="AS95">
        <v>1.0192576646804801</v>
      </c>
      <c r="AU95">
        <v>0.92341160774231001</v>
      </c>
      <c r="AV95">
        <v>0.88551998138427701</v>
      </c>
      <c r="AW95">
        <v>0.87942755222320601</v>
      </c>
      <c r="AX95">
        <v>0.415122240781784</v>
      </c>
      <c r="AY95">
        <v>0.39109259843826299</v>
      </c>
      <c r="AZ95">
        <v>0.38494229316711398</v>
      </c>
      <c r="BA95">
        <v>0.38772258162498502</v>
      </c>
      <c r="BB95">
        <v>0.39220854640007002</v>
      </c>
      <c r="BC95">
        <v>0.51838004589080799</v>
      </c>
      <c r="BD95">
        <v>0.36011540889740001</v>
      </c>
      <c r="BE95">
        <v>0.49264901876449602</v>
      </c>
      <c r="BF95">
        <v>0.42617434263229398</v>
      </c>
      <c r="BG95">
        <v>0.77456885576248202</v>
      </c>
      <c r="BH95">
        <v>0.77974772453308105</v>
      </c>
      <c r="BI95">
        <v>0.99859225749969505</v>
      </c>
      <c r="BJ95">
        <v>0.99237519502639804</v>
      </c>
      <c r="BK95">
        <v>0.968813717365265</v>
      </c>
      <c r="BL95">
        <v>0.93807965517044101</v>
      </c>
      <c r="BM95">
        <v>1.0326236486434901</v>
      </c>
      <c r="BN95">
        <v>1.04031097888947</v>
      </c>
      <c r="BO95">
        <v>1.0336232185363801</v>
      </c>
      <c r="BP95">
        <v>1.0180191993713399</v>
      </c>
    </row>
    <row r="96" spans="1:68" x14ac:dyDescent="0.25">
      <c r="A96" t="s">
        <v>1225</v>
      </c>
      <c r="B96" t="s">
        <v>1226</v>
      </c>
      <c r="C96" t="s">
        <v>1044</v>
      </c>
      <c r="D96" t="s">
        <v>1045</v>
      </c>
      <c r="BB96">
        <v>1.51885330677032</v>
      </c>
      <c r="BC96">
        <v>1.6452010869979901</v>
      </c>
      <c r="BD96">
        <v>1.9400064945220901</v>
      </c>
      <c r="BE96">
        <v>1.9344072341918901</v>
      </c>
      <c r="BF96">
        <v>1.9319528341293299</v>
      </c>
      <c r="BG96">
        <v>1.9245411157607999</v>
      </c>
      <c r="BH96">
        <v>1.94708216190338</v>
      </c>
      <c r="BI96">
        <v>1.9642106294632</v>
      </c>
      <c r="BJ96">
        <v>1.92758369445801</v>
      </c>
      <c r="BK96">
        <v>1.9368035793304399</v>
      </c>
      <c r="BL96">
        <v>1.88736295700073</v>
      </c>
      <c r="BM96">
        <v>1.91059458255768</v>
      </c>
      <c r="BN96">
        <v>1.87758672237396</v>
      </c>
      <c r="BO96">
        <v>1.56980299949646</v>
      </c>
      <c r="BP96">
        <v>1.4953697919845601</v>
      </c>
    </row>
    <row r="97" spans="1:68" x14ac:dyDescent="0.25">
      <c r="A97" t="s">
        <v>1227</v>
      </c>
      <c r="B97" t="s">
        <v>1228</v>
      </c>
      <c r="C97" t="s">
        <v>1044</v>
      </c>
      <c r="D97" t="s">
        <v>1045</v>
      </c>
      <c r="AO97">
        <v>-1.0134141445159901</v>
      </c>
      <c r="AQ97">
        <v>-0.66971981525421098</v>
      </c>
      <c r="AS97">
        <v>-0.76833391189575195</v>
      </c>
      <c r="AU97">
        <v>-0.83429312705993697</v>
      </c>
      <c r="AV97">
        <v>-0.77479660511016801</v>
      </c>
      <c r="AW97">
        <v>-0.80803483724594105</v>
      </c>
      <c r="AX97">
        <v>-0.83561819791793801</v>
      </c>
      <c r="AY97">
        <v>-0.73523879051208496</v>
      </c>
      <c r="AZ97">
        <v>-0.75342494249343905</v>
      </c>
      <c r="BA97">
        <v>-0.71397155523300204</v>
      </c>
      <c r="BB97">
        <v>-0.92567259073257402</v>
      </c>
      <c r="BC97">
        <v>-0.85292446613311801</v>
      </c>
      <c r="BD97">
        <v>-0.74414139986038197</v>
      </c>
      <c r="BE97">
        <v>-0.63382017612457298</v>
      </c>
      <c r="BF97">
        <v>-0.67415624856948897</v>
      </c>
      <c r="BG97">
        <v>-0.65556353330612205</v>
      </c>
      <c r="BH97">
        <v>-0.65443789958953902</v>
      </c>
      <c r="BI97">
        <v>-0.54500371217727706</v>
      </c>
      <c r="BJ97">
        <v>-0.65136545896530196</v>
      </c>
      <c r="BK97">
        <v>-0.53814744949340798</v>
      </c>
      <c r="BL97">
        <v>-0.57734084129333496</v>
      </c>
      <c r="BM97">
        <v>-0.41582930088043202</v>
      </c>
      <c r="BN97">
        <v>-0.39551791548728898</v>
      </c>
      <c r="BO97">
        <v>-0.26285088062286399</v>
      </c>
      <c r="BP97">
        <v>-0.24436493217945099</v>
      </c>
    </row>
    <row r="98" spans="1:68" x14ac:dyDescent="0.25">
      <c r="A98" t="s">
        <v>1229</v>
      </c>
      <c r="B98" t="s">
        <v>1230</v>
      </c>
      <c r="C98" t="s">
        <v>1044</v>
      </c>
      <c r="D98" t="s">
        <v>1045</v>
      </c>
      <c r="AW98">
        <v>0.63440984487533603</v>
      </c>
      <c r="AX98">
        <v>0.74628406763076804</v>
      </c>
      <c r="AY98">
        <v>0.70398765802383401</v>
      </c>
      <c r="AZ98">
        <v>0.43109723925590498</v>
      </c>
      <c r="BA98">
        <v>0.44160616397857699</v>
      </c>
      <c r="BB98">
        <v>0.40125155448913602</v>
      </c>
      <c r="BC98">
        <v>0.39587107300758401</v>
      </c>
      <c r="BD98">
        <v>0.79154598712921098</v>
      </c>
      <c r="BE98">
        <v>0.78091764450073198</v>
      </c>
      <c r="BF98">
        <v>0.79848551750183105</v>
      </c>
      <c r="BG98">
        <v>0.750133275985718</v>
      </c>
      <c r="BH98">
        <v>0.786707043647766</v>
      </c>
      <c r="BI98">
        <v>0.65209513902664196</v>
      </c>
      <c r="BJ98">
        <v>0.67846047878265403</v>
      </c>
      <c r="BK98">
        <v>0.69740498065948497</v>
      </c>
      <c r="BL98">
        <v>0.88653087615966797</v>
      </c>
      <c r="BM98">
        <v>0.88936096429824796</v>
      </c>
      <c r="BN98">
        <v>0.87854206562042203</v>
      </c>
      <c r="BO98">
        <v>0.81611311435699496</v>
      </c>
      <c r="BP98">
        <v>0.89340466260910001</v>
      </c>
    </row>
    <row r="99" spans="1:68" x14ac:dyDescent="0.25">
      <c r="A99" t="s">
        <v>1231</v>
      </c>
      <c r="B99" t="s">
        <v>1232</v>
      </c>
      <c r="C99" t="s">
        <v>1044</v>
      </c>
      <c r="D99" t="s">
        <v>1045</v>
      </c>
      <c r="AO99">
        <v>-0.26641353964805597</v>
      </c>
      <c r="AQ99">
        <v>0.123369120061398</v>
      </c>
      <c r="AS99">
        <v>-0.48681977391242998</v>
      </c>
      <c r="AU99">
        <v>-0.56152033805847201</v>
      </c>
      <c r="AV99">
        <v>-0.43631932139396701</v>
      </c>
      <c r="AW99">
        <v>-0.55489617586135898</v>
      </c>
      <c r="AX99">
        <v>-0.45496594905853299</v>
      </c>
      <c r="AY99">
        <v>-0.73411846160888705</v>
      </c>
      <c r="AZ99">
        <v>-0.559686779975891</v>
      </c>
      <c r="BA99">
        <v>-0.63393193483352706</v>
      </c>
      <c r="BB99">
        <v>-0.62998104095458995</v>
      </c>
      <c r="BC99">
        <v>-0.45896574854850802</v>
      </c>
      <c r="BD99">
        <v>-0.43428251147270203</v>
      </c>
      <c r="BE99">
        <v>-0.49961405992507901</v>
      </c>
      <c r="BF99">
        <v>-0.45660674571991</v>
      </c>
      <c r="BG99">
        <v>-0.13609759509563399</v>
      </c>
      <c r="BH99">
        <v>-0.13964134454727201</v>
      </c>
      <c r="BI99">
        <v>-3.4218925982713699E-2</v>
      </c>
      <c r="BJ99">
        <v>-4.9440186470747001E-2</v>
      </c>
      <c r="BK99">
        <v>-0.19183790683746299</v>
      </c>
      <c r="BL99">
        <v>-0.25407382845878601</v>
      </c>
      <c r="BM99">
        <v>-0.13755472004413599</v>
      </c>
      <c r="BN99">
        <v>-0.13711319863796201</v>
      </c>
      <c r="BO99">
        <v>2.07335669547319E-2</v>
      </c>
      <c r="BP99">
        <v>-5.5172037333249997E-2</v>
      </c>
    </row>
    <row r="100" spans="1:68" x14ac:dyDescent="0.25">
      <c r="A100" t="s">
        <v>1233</v>
      </c>
      <c r="B100" t="s">
        <v>1234</v>
      </c>
      <c r="C100" t="s">
        <v>1044</v>
      </c>
      <c r="D100" t="s">
        <v>1045</v>
      </c>
    </row>
    <row r="101" spans="1:68" x14ac:dyDescent="0.25">
      <c r="A101" t="s">
        <v>1235</v>
      </c>
      <c r="B101" t="s">
        <v>1236</v>
      </c>
      <c r="C101" t="s">
        <v>1044</v>
      </c>
      <c r="D101" t="s">
        <v>1045</v>
      </c>
      <c r="AO101">
        <v>0.57656508684158303</v>
      </c>
      <c r="AQ101">
        <v>0.70106017589569103</v>
      </c>
      <c r="AS101">
        <v>0.93515717983245805</v>
      </c>
      <c r="AU101">
        <v>0.90892022848129295</v>
      </c>
      <c r="AV101">
        <v>0.94788044691085804</v>
      </c>
      <c r="AW101">
        <v>1.1449780464172401</v>
      </c>
      <c r="AX101">
        <v>1.3362904787063601</v>
      </c>
      <c r="AY101">
        <v>1.1909122467041</v>
      </c>
      <c r="AZ101">
        <v>1.10401487350464</v>
      </c>
      <c r="BA101">
        <v>1.13101947307587</v>
      </c>
      <c r="BB101">
        <v>0.96570169925689697</v>
      </c>
      <c r="BC101">
        <v>0.935810565948486</v>
      </c>
      <c r="BD101">
        <v>0.94859611988067605</v>
      </c>
      <c r="BE101">
        <v>1.0062894821167001</v>
      </c>
      <c r="BF101">
        <v>0.922868311405182</v>
      </c>
      <c r="BG101">
        <v>1.1532285213470499</v>
      </c>
      <c r="BH101">
        <v>1.03520536422729</v>
      </c>
      <c r="BI101">
        <v>0.73615837097168002</v>
      </c>
      <c r="BJ101">
        <v>0.81820350885391202</v>
      </c>
      <c r="BK101">
        <v>0.77662825584411599</v>
      </c>
      <c r="BL101">
        <v>-0.22703735530376401</v>
      </c>
      <c r="BM101">
        <v>5.6606668978929499E-2</v>
      </c>
      <c r="BN101">
        <v>0.263934075832367</v>
      </c>
      <c r="BO101">
        <v>0.57492721080779996</v>
      </c>
      <c r="BP101">
        <v>0.67306053638458296</v>
      </c>
    </row>
    <row r="102" spans="1:68" x14ac:dyDescent="0.25">
      <c r="A102" t="s">
        <v>1237</v>
      </c>
      <c r="B102" t="s">
        <v>1238</v>
      </c>
      <c r="C102" t="s">
        <v>1044</v>
      </c>
      <c r="D102" t="s">
        <v>1045</v>
      </c>
      <c r="AO102">
        <v>-0.470392346382141</v>
      </c>
      <c r="AQ102">
        <v>2.96584647148848E-2</v>
      </c>
      <c r="AS102">
        <v>-7.8596383333206205E-2</v>
      </c>
      <c r="AU102">
        <v>-0.252441436052322</v>
      </c>
      <c r="AV102">
        <v>-0.37985807657241799</v>
      </c>
      <c r="AW102">
        <v>-0.391061931848526</v>
      </c>
      <c r="AX102">
        <v>-0.62326419353485096</v>
      </c>
      <c r="AY102">
        <v>-0.66790372133255005</v>
      </c>
      <c r="AZ102">
        <v>-0.43703019618987998</v>
      </c>
      <c r="BA102">
        <v>-0.52711552381515503</v>
      </c>
      <c r="BB102">
        <v>-0.30819210410118097</v>
      </c>
      <c r="BC102">
        <v>-0.49690958857536299</v>
      </c>
      <c r="BD102">
        <v>-0.39043536782264698</v>
      </c>
      <c r="BE102">
        <v>-0.350115597248077</v>
      </c>
      <c r="BF102">
        <v>-0.43861159682273898</v>
      </c>
      <c r="BG102">
        <v>-0.53408396244049094</v>
      </c>
      <c r="BH102">
        <v>-0.47275790572166398</v>
      </c>
      <c r="BI102">
        <v>-0.43745616078376798</v>
      </c>
      <c r="BJ102">
        <v>-0.56563711166381803</v>
      </c>
      <c r="BK102">
        <v>-0.53182095289230302</v>
      </c>
      <c r="BL102">
        <v>-0.56905704736709595</v>
      </c>
      <c r="BM102">
        <v>-0.44850772619247398</v>
      </c>
      <c r="BN102">
        <v>-0.62781399488449097</v>
      </c>
      <c r="BO102">
        <v>-0.56836181879043601</v>
      </c>
      <c r="BP102">
        <v>-0.45921716094017001</v>
      </c>
    </row>
    <row r="103" spans="1:68" x14ac:dyDescent="0.25">
      <c r="A103" t="s">
        <v>1239</v>
      </c>
      <c r="B103" t="s">
        <v>1240</v>
      </c>
      <c r="C103" t="s">
        <v>1044</v>
      </c>
      <c r="D103" t="s">
        <v>1045</v>
      </c>
    </row>
    <row r="104" spans="1:68" x14ac:dyDescent="0.25">
      <c r="A104" t="s">
        <v>1241</v>
      </c>
      <c r="B104" t="s">
        <v>1242</v>
      </c>
      <c r="C104" t="s">
        <v>1044</v>
      </c>
      <c r="D104" t="s">
        <v>1045</v>
      </c>
      <c r="AO104">
        <v>-3.8359049707651097E-2</v>
      </c>
      <c r="AQ104">
        <v>6.7885965108871502E-2</v>
      </c>
      <c r="AS104">
        <v>0.28022488951683</v>
      </c>
      <c r="AU104">
        <v>0.62880772352218595</v>
      </c>
      <c r="AV104">
        <v>0.55849587917327903</v>
      </c>
      <c r="AW104">
        <v>0.68675440549850497</v>
      </c>
      <c r="AX104">
        <v>0.43447408080101002</v>
      </c>
      <c r="AY104">
        <v>0.56082928180694602</v>
      </c>
      <c r="AZ104">
        <v>0.60539698600768999</v>
      </c>
      <c r="BA104">
        <v>0.57365190982818604</v>
      </c>
      <c r="BB104">
        <v>0.61292695999145497</v>
      </c>
      <c r="BC104">
        <v>0.60846364498138406</v>
      </c>
      <c r="BD104">
        <v>0.62374711036682096</v>
      </c>
      <c r="BE104">
        <v>0.60689145326614402</v>
      </c>
      <c r="BF104">
        <v>0.64266788959503196</v>
      </c>
      <c r="BG104">
        <v>0.61911237239837602</v>
      </c>
      <c r="BH104">
        <v>0.58651363849639904</v>
      </c>
      <c r="BI104">
        <v>0.65419113636016801</v>
      </c>
      <c r="BJ104">
        <v>0.68190568685531605</v>
      </c>
      <c r="BK104">
        <v>0.79367828369140603</v>
      </c>
      <c r="BL104">
        <v>0.685510694980621</v>
      </c>
      <c r="BM104">
        <v>0.607283234596252</v>
      </c>
      <c r="BN104">
        <v>0.62159568071365401</v>
      </c>
      <c r="BO104">
        <v>0.67256325483322099</v>
      </c>
      <c r="BP104">
        <v>0.59771203994750999</v>
      </c>
    </row>
    <row r="105" spans="1:68" x14ac:dyDescent="0.25">
      <c r="A105" t="s">
        <v>1243</v>
      </c>
      <c r="B105" t="s">
        <v>1244</v>
      </c>
      <c r="C105" t="s">
        <v>1044</v>
      </c>
      <c r="D105" t="s">
        <v>1045</v>
      </c>
      <c r="AO105">
        <v>-0.75669884681701705</v>
      </c>
      <c r="AQ105">
        <v>-0.94244128465652499</v>
      </c>
      <c r="AS105">
        <v>-0.62862449884414695</v>
      </c>
      <c r="AU105">
        <v>-1.2558579444885301</v>
      </c>
      <c r="AV105">
        <v>-1.31542313098907</v>
      </c>
      <c r="AW105">
        <v>-1.9845430850982699</v>
      </c>
      <c r="AX105">
        <v>-1.80439794063568</v>
      </c>
      <c r="AY105">
        <v>-1.3915435075759901</v>
      </c>
      <c r="AZ105">
        <v>-1.3197280168533301</v>
      </c>
      <c r="BA105">
        <v>-1.3831032514572099</v>
      </c>
      <c r="BB105">
        <v>-0.95743012428283703</v>
      </c>
      <c r="BC105">
        <v>-0.94031542539596602</v>
      </c>
      <c r="BD105">
        <v>-0.99016755819320701</v>
      </c>
      <c r="BE105">
        <v>-0.78809267282485995</v>
      </c>
      <c r="BF105">
        <v>-0.63101536035537698</v>
      </c>
      <c r="BG105">
        <v>-0.64362728595733598</v>
      </c>
      <c r="BH105">
        <v>-0.67156505584716797</v>
      </c>
      <c r="BI105">
        <v>-0.74554747343063399</v>
      </c>
      <c r="BJ105">
        <v>-0.67607730627059903</v>
      </c>
      <c r="BK105">
        <v>-0.64014166593551602</v>
      </c>
      <c r="BL105">
        <v>-0.88763731718063399</v>
      </c>
      <c r="BM105">
        <v>-1.02749288082123</v>
      </c>
      <c r="BN105">
        <v>-1.12813055515289</v>
      </c>
      <c r="BO105">
        <v>-1.4191986322403001</v>
      </c>
      <c r="BP105">
        <v>-1.4345217943191499</v>
      </c>
    </row>
    <row r="106" spans="1:68" x14ac:dyDescent="0.25">
      <c r="A106" t="s">
        <v>1245</v>
      </c>
      <c r="B106" t="s">
        <v>1246</v>
      </c>
      <c r="C106" t="s">
        <v>1044</v>
      </c>
      <c r="D106" t="s">
        <v>1045</v>
      </c>
      <c r="AO106">
        <v>1.0066889524459799</v>
      </c>
      <c r="AQ106">
        <v>1.21940362453461</v>
      </c>
      <c r="AS106">
        <v>0.91844290494918801</v>
      </c>
      <c r="AU106">
        <v>1.2606722116470299</v>
      </c>
      <c r="AV106">
        <v>1.13186395168304</v>
      </c>
      <c r="AW106">
        <v>0.82829761505126998</v>
      </c>
      <c r="AX106">
        <v>1.00310039520264</v>
      </c>
      <c r="AY106">
        <v>0.985676109790802</v>
      </c>
      <c r="AZ106">
        <v>0.74709671735763505</v>
      </c>
      <c r="BA106">
        <v>0.75026386976242099</v>
      </c>
      <c r="BB106">
        <v>0.53681629896163896</v>
      </c>
      <c r="BC106">
        <v>0.68578374385833696</v>
      </c>
      <c r="BD106">
        <v>0.74325406551361095</v>
      </c>
      <c r="BE106">
        <v>0.67579478025436401</v>
      </c>
      <c r="BF106">
        <v>0.79664611816406194</v>
      </c>
      <c r="BG106">
        <v>0.66990482807159402</v>
      </c>
      <c r="BH106">
        <v>0.73779249191284202</v>
      </c>
      <c r="BI106">
        <v>0.64338093996047996</v>
      </c>
      <c r="BJ106">
        <v>0.79620051383972201</v>
      </c>
      <c r="BK106">
        <v>0.73759144544601396</v>
      </c>
      <c r="BL106">
        <v>0.761921286582947</v>
      </c>
      <c r="BM106">
        <v>0.83704686164856001</v>
      </c>
      <c r="BN106">
        <v>0.79859125614166304</v>
      </c>
      <c r="BO106">
        <v>0.67867630720138505</v>
      </c>
      <c r="BP106">
        <v>0.73189181089401201</v>
      </c>
    </row>
    <row r="107" spans="1:68" x14ac:dyDescent="0.25">
      <c r="A107" t="s">
        <v>1247</v>
      </c>
      <c r="B107" t="s">
        <v>1248</v>
      </c>
      <c r="C107" t="s">
        <v>1044</v>
      </c>
      <c r="D107" t="s">
        <v>1045</v>
      </c>
    </row>
    <row r="108" spans="1:68" x14ac:dyDescent="0.25">
      <c r="A108" t="s">
        <v>1249</v>
      </c>
      <c r="B108" t="s">
        <v>1250</v>
      </c>
      <c r="C108" t="s">
        <v>1044</v>
      </c>
      <c r="D108" t="s">
        <v>1045</v>
      </c>
    </row>
    <row r="109" spans="1:68" x14ac:dyDescent="0.25">
      <c r="A109" t="s">
        <v>1251</v>
      </c>
      <c r="B109" t="s">
        <v>1252</v>
      </c>
      <c r="C109" t="s">
        <v>1044</v>
      </c>
      <c r="D109" t="s">
        <v>1045</v>
      </c>
    </row>
    <row r="110" spans="1:68" x14ac:dyDescent="0.25">
      <c r="A110" t="s">
        <v>1253</v>
      </c>
      <c r="B110" t="s">
        <v>1254</v>
      </c>
      <c r="C110" t="s">
        <v>1044</v>
      </c>
      <c r="D110" t="s">
        <v>1045</v>
      </c>
    </row>
    <row r="111" spans="1:68" x14ac:dyDescent="0.25">
      <c r="A111" t="s">
        <v>1255</v>
      </c>
      <c r="B111" t="s">
        <v>1256</v>
      </c>
      <c r="C111" t="s">
        <v>1044</v>
      </c>
      <c r="D111" t="s">
        <v>1045</v>
      </c>
      <c r="AO111">
        <v>-1.1313791275024401</v>
      </c>
      <c r="AQ111">
        <v>-1.7316706180572501</v>
      </c>
      <c r="AS111">
        <v>-1.99520063400269</v>
      </c>
      <c r="AU111">
        <v>-1.5832442045211801</v>
      </c>
      <c r="AV111">
        <v>-2.0953948497772199</v>
      </c>
      <c r="AW111">
        <v>-1.9086055755615201</v>
      </c>
      <c r="AX111">
        <v>-1.5181759595871001</v>
      </c>
      <c r="AY111">
        <v>-1.4176669120788601</v>
      </c>
      <c r="AZ111">
        <v>-1.19806575775146</v>
      </c>
      <c r="BA111">
        <v>-1.05679154396057</v>
      </c>
      <c r="BB111">
        <v>-0.75115364789962802</v>
      </c>
      <c r="BC111">
        <v>-0.85391616821289096</v>
      </c>
      <c r="BD111">
        <v>-0.77011418342590299</v>
      </c>
      <c r="BE111">
        <v>-0.59326279163360596</v>
      </c>
      <c r="BF111">
        <v>-0.51926463842392001</v>
      </c>
      <c r="BG111">
        <v>-0.41682404279708901</v>
      </c>
      <c r="BH111">
        <v>-0.619956314563751</v>
      </c>
      <c r="BI111">
        <v>-0.379699736833572</v>
      </c>
      <c r="BJ111">
        <v>-0.50493872165679898</v>
      </c>
      <c r="BK111">
        <v>-0.55203402042388905</v>
      </c>
      <c r="BL111">
        <v>-0.50214302539825395</v>
      </c>
      <c r="BM111">
        <v>-0.46231138706207298</v>
      </c>
      <c r="BN111">
        <v>-0.53144919872283902</v>
      </c>
      <c r="BO111">
        <v>-0.55389422178268399</v>
      </c>
      <c r="BP111">
        <v>-0.40437531471252403</v>
      </c>
    </row>
    <row r="112" spans="1:68" x14ac:dyDescent="0.25">
      <c r="A112" t="s">
        <v>1257</v>
      </c>
      <c r="B112" t="s">
        <v>1258</v>
      </c>
      <c r="C112" t="s">
        <v>1044</v>
      </c>
      <c r="D112" t="s">
        <v>1045</v>
      </c>
    </row>
    <row r="113" spans="1:68" x14ac:dyDescent="0.25">
      <c r="A113" t="s">
        <v>1259</v>
      </c>
      <c r="B113" t="s">
        <v>1260</v>
      </c>
      <c r="C113" t="s">
        <v>1044</v>
      </c>
      <c r="D113" t="s">
        <v>1045</v>
      </c>
    </row>
    <row r="114" spans="1:68" x14ac:dyDescent="0.25">
      <c r="A114" t="s">
        <v>1261</v>
      </c>
      <c r="B114" t="s">
        <v>1262</v>
      </c>
      <c r="C114" t="s">
        <v>1044</v>
      </c>
      <c r="D114" t="s">
        <v>1045</v>
      </c>
      <c r="AO114">
        <v>-0.972584128379822</v>
      </c>
      <c r="AQ114">
        <v>-1.20082128047943</v>
      </c>
      <c r="AS114">
        <v>-1.0012075901031501</v>
      </c>
      <c r="AU114">
        <v>-1.21066498756409</v>
      </c>
      <c r="AV114">
        <v>-1.5099970102310201</v>
      </c>
      <c r="AW114">
        <v>-1.2804329395294201</v>
      </c>
      <c r="AX114">
        <v>-1.0138804912567101</v>
      </c>
      <c r="AY114">
        <v>-1.0651842355728101</v>
      </c>
      <c r="AZ114">
        <v>-1.15429580211639</v>
      </c>
      <c r="BA114">
        <v>-1.10970735549927</v>
      </c>
      <c r="BB114">
        <v>-1.3555479049682599</v>
      </c>
      <c r="BC114">
        <v>-1.2779844999313399</v>
      </c>
      <c r="BD114">
        <v>-1.3267953395843499</v>
      </c>
      <c r="BE114">
        <v>-1.2893098592758201</v>
      </c>
      <c r="BF114">
        <v>-1.2291741371154801</v>
      </c>
      <c r="BG114">
        <v>-0.99791198968887296</v>
      </c>
      <c r="BH114">
        <v>-0.95477354526519798</v>
      </c>
      <c r="BI114">
        <v>-0.96042650938034102</v>
      </c>
      <c r="BJ114">
        <v>-0.77409911155700695</v>
      </c>
      <c r="BK114">
        <v>-0.99770677089691195</v>
      </c>
      <c r="BL114">
        <v>-0.79684698581695601</v>
      </c>
      <c r="BM114">
        <v>-0.84141921997070301</v>
      </c>
      <c r="BN114">
        <v>-0.69107675552368197</v>
      </c>
      <c r="BO114">
        <v>-0.61502736806869496</v>
      </c>
      <c r="BP114">
        <v>-0.63507694005966198</v>
      </c>
    </row>
    <row r="115" spans="1:68" x14ac:dyDescent="0.25">
      <c r="A115" t="s">
        <v>1263</v>
      </c>
      <c r="B115" t="s">
        <v>1264</v>
      </c>
      <c r="C115" t="s">
        <v>1044</v>
      </c>
      <c r="D115" t="s">
        <v>1045</v>
      </c>
    </row>
    <row r="116" spans="1:68" x14ac:dyDescent="0.25">
      <c r="A116" t="s">
        <v>1265</v>
      </c>
      <c r="B116" t="s">
        <v>1266</v>
      </c>
      <c r="C116" t="s">
        <v>1044</v>
      </c>
      <c r="D116" t="s">
        <v>1045</v>
      </c>
      <c r="AO116">
        <v>1.3434536457061801</v>
      </c>
      <c r="AQ116">
        <v>1.5129100084304801</v>
      </c>
      <c r="AS116">
        <v>1.58410012722015</v>
      </c>
      <c r="AU116">
        <v>1.50421679019928</v>
      </c>
      <c r="AV116">
        <v>1.3484576940536499</v>
      </c>
      <c r="AW116">
        <v>1.17082571983337</v>
      </c>
      <c r="AX116">
        <v>1.29866683483124</v>
      </c>
      <c r="AY116">
        <v>1.19241058826447</v>
      </c>
      <c r="AZ116">
        <v>1.21519267559052</v>
      </c>
      <c r="BA116">
        <v>1.1868743896484399</v>
      </c>
      <c r="BB116">
        <v>1.0573660135269201</v>
      </c>
      <c r="BC116">
        <v>1.0201653242111199</v>
      </c>
      <c r="BD116">
        <v>0.94899892807006803</v>
      </c>
      <c r="BE116">
        <v>0.94107270240783703</v>
      </c>
      <c r="BF116">
        <v>0.90107572078704801</v>
      </c>
      <c r="BG116">
        <v>1.0529911518096899</v>
      </c>
      <c r="BH116">
        <v>0.89533257484436002</v>
      </c>
      <c r="BI116">
        <v>0.83384966850280795</v>
      </c>
      <c r="BJ116">
        <v>0.99341011047363303</v>
      </c>
      <c r="BK116">
        <v>1.01136958599091</v>
      </c>
      <c r="BL116">
        <v>0.95941644906997703</v>
      </c>
      <c r="BM116">
        <v>0.96552157402038596</v>
      </c>
      <c r="BN116">
        <v>0.84366261959075906</v>
      </c>
      <c r="BO116">
        <v>0.88466739654541005</v>
      </c>
      <c r="BP116">
        <v>0.90191155672073398</v>
      </c>
    </row>
    <row r="117" spans="1:68" x14ac:dyDescent="0.25">
      <c r="A117" t="s">
        <v>1267</v>
      </c>
      <c r="B117" t="s">
        <v>1268</v>
      </c>
      <c r="C117" t="s">
        <v>1044</v>
      </c>
      <c r="D117" t="s">
        <v>1045</v>
      </c>
      <c r="AO117">
        <v>-0.324623703956604</v>
      </c>
      <c r="AQ117">
        <v>-0.69339108467102095</v>
      </c>
      <c r="AS117">
        <v>-0.72754836082458496</v>
      </c>
      <c r="AU117">
        <v>-0.77344059944152799</v>
      </c>
      <c r="AV117">
        <v>-0.77973318099975597</v>
      </c>
      <c r="AW117">
        <v>-0.76182430982589699</v>
      </c>
      <c r="AX117">
        <v>-0.78273886442184404</v>
      </c>
      <c r="AY117">
        <v>-1.0408400297164899</v>
      </c>
      <c r="AZ117">
        <v>-0.93164044618606601</v>
      </c>
      <c r="BA117">
        <v>-0.939874708652496</v>
      </c>
      <c r="BB117">
        <v>-1.56424200534821</v>
      </c>
      <c r="BC117">
        <v>-1.63059186935425</v>
      </c>
      <c r="BD117">
        <v>-1.4217677116394001</v>
      </c>
      <c r="BE117">
        <v>-1.3239260911941499</v>
      </c>
      <c r="BF117">
        <v>-1.2496865987777701</v>
      </c>
      <c r="BG117">
        <v>-0.87498766183853105</v>
      </c>
      <c r="BH117">
        <v>-0.92484688758850098</v>
      </c>
      <c r="BI117">
        <v>-0.81402063369750999</v>
      </c>
      <c r="BJ117">
        <v>-0.93382889032363903</v>
      </c>
      <c r="BK117">
        <v>-1.34218072891235</v>
      </c>
      <c r="BL117">
        <v>-1.7115340232849101</v>
      </c>
      <c r="BM117">
        <v>-1.69920635223389</v>
      </c>
      <c r="BN117">
        <v>-1.5844532251357999</v>
      </c>
      <c r="BO117">
        <v>-1.6256123781204199</v>
      </c>
      <c r="BP117">
        <v>-1.6941009759903001</v>
      </c>
    </row>
    <row r="118" spans="1:68" x14ac:dyDescent="0.25">
      <c r="A118" t="s">
        <v>1269</v>
      </c>
      <c r="B118" t="s">
        <v>1270</v>
      </c>
      <c r="C118" t="s">
        <v>1044</v>
      </c>
      <c r="D118" t="s">
        <v>1045</v>
      </c>
      <c r="AO118">
        <v>-1.81737661361694</v>
      </c>
      <c r="AQ118">
        <v>-1.5338000059127801</v>
      </c>
      <c r="AS118">
        <v>-1.73264276981354</v>
      </c>
      <c r="AU118">
        <v>-1.6012867689132699</v>
      </c>
      <c r="AV118">
        <v>-2.3932452201843302</v>
      </c>
      <c r="AW118">
        <v>-3.1803517341613801</v>
      </c>
      <c r="AX118">
        <v>-2.68864846229553</v>
      </c>
      <c r="AY118">
        <v>-2.8264021873474099</v>
      </c>
      <c r="AZ118">
        <v>-2.7710506916046098</v>
      </c>
      <c r="BA118">
        <v>-2.46689653396606</v>
      </c>
      <c r="BB118">
        <v>-2.1747078895568799</v>
      </c>
      <c r="BC118">
        <v>-2.2392671108245801</v>
      </c>
      <c r="BD118">
        <v>-1.8469835519790601</v>
      </c>
      <c r="BE118">
        <v>-1.9340502023696899</v>
      </c>
      <c r="BF118">
        <v>-2.0113904476165798</v>
      </c>
      <c r="BG118">
        <v>-2.4803378582000701</v>
      </c>
      <c r="BH118">
        <v>-2.2507796287536599</v>
      </c>
      <c r="BI118">
        <v>-2.30333304405212</v>
      </c>
      <c r="BJ118">
        <v>-2.2959496974945099</v>
      </c>
      <c r="BK118">
        <v>-2.5211138725280802</v>
      </c>
      <c r="BL118">
        <v>-2.6092777252197301</v>
      </c>
      <c r="BM118">
        <v>-2.4747695922851598</v>
      </c>
      <c r="BN118">
        <v>-2.38469409942627</v>
      </c>
      <c r="BO118">
        <v>-2.4093091487884499</v>
      </c>
      <c r="BP118">
        <v>-2.4130980968475302</v>
      </c>
    </row>
    <row r="119" spans="1:68" x14ac:dyDescent="0.25">
      <c r="A119" t="s">
        <v>1271</v>
      </c>
      <c r="B119" t="s">
        <v>1272</v>
      </c>
      <c r="C119" t="s">
        <v>1044</v>
      </c>
      <c r="D119" t="s">
        <v>1045</v>
      </c>
      <c r="AO119">
        <v>1.32520198822021</v>
      </c>
      <c r="AQ119">
        <v>1.3771053552627599</v>
      </c>
      <c r="AS119">
        <v>1.5753306150436399</v>
      </c>
      <c r="AU119">
        <v>1.6202925443649301</v>
      </c>
      <c r="AV119">
        <v>1.5172321796417201</v>
      </c>
      <c r="AW119">
        <v>1.45700466632843</v>
      </c>
      <c r="AX119">
        <v>1.44469714164734</v>
      </c>
      <c r="AY119">
        <v>1.4538265466690099</v>
      </c>
      <c r="AZ119">
        <v>1.4855941534042401</v>
      </c>
      <c r="BA119">
        <v>1.2150238752365099</v>
      </c>
      <c r="BB119">
        <v>1.1908872127532999</v>
      </c>
      <c r="BC119">
        <v>1.0222536325454701</v>
      </c>
      <c r="BD119">
        <v>1.2440097332000699</v>
      </c>
      <c r="BE119">
        <v>1.2450320720672601</v>
      </c>
      <c r="BF119">
        <v>1.2871336936950699</v>
      </c>
      <c r="BG119">
        <v>1.2469745874404901</v>
      </c>
      <c r="BH119">
        <v>1.2984809875488299</v>
      </c>
      <c r="BI119">
        <v>1.3465887308120701</v>
      </c>
      <c r="BJ119">
        <v>1.3376867771148699</v>
      </c>
      <c r="BK119">
        <v>1.3948173522949201</v>
      </c>
      <c r="BL119">
        <v>1.61980617046356</v>
      </c>
      <c r="BM119">
        <v>1.3750315904617301</v>
      </c>
      <c r="BN119">
        <v>1.37235331535339</v>
      </c>
      <c r="BO119">
        <v>1.24969923496246</v>
      </c>
      <c r="BP119">
        <v>1.2144037485122701</v>
      </c>
    </row>
    <row r="120" spans="1:68" x14ac:dyDescent="0.25">
      <c r="A120" t="s">
        <v>1273</v>
      </c>
      <c r="B120" t="s">
        <v>1274</v>
      </c>
      <c r="C120" t="s">
        <v>1044</v>
      </c>
      <c r="D120" t="s">
        <v>1045</v>
      </c>
      <c r="AO120">
        <v>-1.1511862277984599</v>
      </c>
      <c r="AQ120">
        <v>-1.12271451950073</v>
      </c>
      <c r="AS120">
        <v>-1.04199123382568</v>
      </c>
      <c r="AU120">
        <v>-1.4621382951736499</v>
      </c>
      <c r="AV120">
        <v>-1.5187844038009599</v>
      </c>
      <c r="AW120">
        <v>-1.32268130779266</v>
      </c>
      <c r="AX120">
        <v>-1.2475227117538501</v>
      </c>
      <c r="AY120">
        <v>-1.2592887878418</v>
      </c>
      <c r="AZ120">
        <v>-1.2520328760147099</v>
      </c>
      <c r="BA120">
        <v>-1.3231019973754901</v>
      </c>
      <c r="BB120">
        <v>-1.62521064281464</v>
      </c>
      <c r="BC120">
        <v>-1.3411517143249501</v>
      </c>
      <c r="BD120">
        <v>-1.2013180255889899</v>
      </c>
      <c r="BE120">
        <v>-1.0789043903350799</v>
      </c>
      <c r="BF120">
        <v>-1.10128474235535</v>
      </c>
      <c r="BG120">
        <v>-1.0397353172302199</v>
      </c>
      <c r="BH120">
        <v>-1.09781730175018</v>
      </c>
      <c r="BI120">
        <v>-0.79936724901199296</v>
      </c>
      <c r="BJ120">
        <v>-0.894905745983124</v>
      </c>
      <c r="BK120">
        <v>-0.91810023784637496</v>
      </c>
      <c r="BL120">
        <v>-0.81556802988052401</v>
      </c>
      <c r="BM120">
        <v>-0.88781851530075095</v>
      </c>
      <c r="BN120">
        <v>-1.1223131418228101</v>
      </c>
      <c r="BO120">
        <v>-1.22896540164948</v>
      </c>
      <c r="BP120">
        <v>-1.46484839916229</v>
      </c>
    </row>
    <row r="121" spans="1:68" x14ac:dyDescent="0.25">
      <c r="A121" t="s">
        <v>1275</v>
      </c>
      <c r="B121" t="s">
        <v>1276</v>
      </c>
      <c r="C121" t="s">
        <v>1044</v>
      </c>
      <c r="D121" t="s">
        <v>1045</v>
      </c>
      <c r="AO121">
        <v>1.11038541793823</v>
      </c>
      <c r="AQ121">
        <v>1.1927022933960001</v>
      </c>
      <c r="AS121">
        <v>0.91666942834854104</v>
      </c>
      <c r="AU121">
        <v>0.83842980861663796</v>
      </c>
      <c r="AV121">
        <v>0.43148833513259899</v>
      </c>
      <c r="AW121">
        <v>0.26925769448280301</v>
      </c>
      <c r="AX121">
        <v>0.48911553621292098</v>
      </c>
      <c r="AY121">
        <v>0.53073376417160001</v>
      </c>
      <c r="AZ121">
        <v>0.446970045566559</v>
      </c>
      <c r="BA121">
        <v>0.54754424095153797</v>
      </c>
      <c r="BB121">
        <v>0.346905887126923</v>
      </c>
      <c r="BC121">
        <v>0.47392368316650402</v>
      </c>
      <c r="BD121">
        <v>0.50120741128921498</v>
      </c>
      <c r="BE121">
        <v>0.508217513561249</v>
      </c>
      <c r="BF121">
        <v>0.49549919366836498</v>
      </c>
      <c r="BG121">
        <v>0.45816540718078602</v>
      </c>
      <c r="BH121">
        <v>0.36325719952583302</v>
      </c>
      <c r="BI121">
        <v>0.355933427810669</v>
      </c>
      <c r="BJ121">
        <v>0.292910486459732</v>
      </c>
      <c r="BK121">
        <v>0.326271682977676</v>
      </c>
      <c r="BL121">
        <v>0.38111427426338201</v>
      </c>
      <c r="BM121">
        <v>0.39934539794921903</v>
      </c>
      <c r="BN121">
        <v>0.55052095651626598</v>
      </c>
      <c r="BO121">
        <v>0.46629822254180903</v>
      </c>
      <c r="BP121">
        <v>0.58332073688507102</v>
      </c>
    </row>
    <row r="122" spans="1:68" x14ac:dyDescent="0.25">
      <c r="A122" t="s">
        <v>1277</v>
      </c>
      <c r="B122" t="s">
        <v>1278</v>
      </c>
      <c r="C122" t="s">
        <v>1044</v>
      </c>
      <c r="D122" t="s">
        <v>1045</v>
      </c>
      <c r="AO122">
        <v>0.110229268670082</v>
      </c>
      <c r="AQ122">
        <v>8.3308145403862E-2</v>
      </c>
      <c r="AS122">
        <v>0.186396479606628</v>
      </c>
      <c r="AU122">
        <v>-0.20822952687740301</v>
      </c>
      <c r="AV122">
        <v>-0.38452479243278498</v>
      </c>
      <c r="AW122">
        <v>-0.34566855430603</v>
      </c>
      <c r="AX122">
        <v>-0.29873734712600702</v>
      </c>
      <c r="AY122">
        <v>-0.32016366720199602</v>
      </c>
      <c r="AZ122">
        <v>-0.25603708624839799</v>
      </c>
      <c r="BA122">
        <v>-0.30729973316192599</v>
      </c>
      <c r="BB122">
        <v>-0.36381769180297902</v>
      </c>
      <c r="BC122">
        <v>-0.42954146862030002</v>
      </c>
      <c r="BD122">
        <v>-6.2983334064483601E-2</v>
      </c>
      <c r="BE122">
        <v>0.12050811201334</v>
      </c>
      <c r="BF122">
        <v>0.182374373078346</v>
      </c>
      <c r="BG122">
        <v>2.4492532014846798E-2</v>
      </c>
      <c r="BH122">
        <v>8.5965722799301106E-2</v>
      </c>
      <c r="BI122">
        <v>0.295468419790268</v>
      </c>
      <c r="BJ122">
        <v>0.29830336570739702</v>
      </c>
      <c r="BK122">
        <v>0.42399379611015298</v>
      </c>
      <c r="BL122">
        <v>0.388309866189957</v>
      </c>
      <c r="BM122">
        <v>0.258682191371918</v>
      </c>
      <c r="BN122">
        <v>0.21799433231353799</v>
      </c>
      <c r="BO122">
        <v>0.36424279212951699</v>
      </c>
      <c r="BP122">
        <v>0.38483732938766502</v>
      </c>
    </row>
    <row r="123" spans="1:68" x14ac:dyDescent="0.25">
      <c r="A123" t="s">
        <v>1279</v>
      </c>
      <c r="B123" t="s">
        <v>1280</v>
      </c>
      <c r="C123" t="s">
        <v>1044</v>
      </c>
      <c r="D123" t="s">
        <v>1045</v>
      </c>
      <c r="AO123">
        <v>-4.4978514313697801E-2</v>
      </c>
      <c r="AQ123">
        <v>7.5212620198726696E-2</v>
      </c>
      <c r="AS123">
        <v>2.0970062178093899E-4</v>
      </c>
      <c r="AU123">
        <v>-0.45677444338798501</v>
      </c>
      <c r="AV123">
        <v>-7.3701381683349595E-2</v>
      </c>
      <c r="AW123">
        <v>-0.23475888371467599</v>
      </c>
      <c r="AX123">
        <v>-0.13292938470840501</v>
      </c>
      <c r="AY123">
        <v>-0.76231753826141402</v>
      </c>
      <c r="AZ123">
        <v>-0.30074179172515902</v>
      </c>
      <c r="BA123">
        <v>-0.37071400880813599</v>
      </c>
      <c r="BB123">
        <v>-0.35645705461502097</v>
      </c>
      <c r="BC123">
        <v>-0.31249251961708102</v>
      </c>
      <c r="BD123">
        <v>-0.51356226205825795</v>
      </c>
      <c r="BE123">
        <v>-0.52397763729095503</v>
      </c>
      <c r="BF123">
        <v>-0.60631525516509999</v>
      </c>
      <c r="BG123">
        <v>-0.54002553224563599</v>
      </c>
      <c r="BH123">
        <v>-0.60686486959457397</v>
      </c>
      <c r="BI123">
        <v>-0.496246248483658</v>
      </c>
      <c r="BJ123">
        <v>-0.43458667397499101</v>
      </c>
      <c r="BK123">
        <v>-0.37985455989837602</v>
      </c>
      <c r="BL123">
        <v>-0.27688515186309798</v>
      </c>
      <c r="BM123">
        <v>-0.26840183138847401</v>
      </c>
      <c r="BN123">
        <v>-0.312566459178925</v>
      </c>
      <c r="BO123">
        <v>-0.23443095386028301</v>
      </c>
      <c r="BP123">
        <v>-0.20273420214653001</v>
      </c>
    </row>
    <row r="124" spans="1:68" x14ac:dyDescent="0.25">
      <c r="A124" t="s">
        <v>1281</v>
      </c>
      <c r="B124" t="s">
        <v>1282</v>
      </c>
      <c r="C124" t="s">
        <v>1044</v>
      </c>
      <c r="D124" t="s">
        <v>1045</v>
      </c>
      <c r="AO124">
        <v>1.1618897914886499</v>
      </c>
      <c r="AQ124">
        <v>1.24767482280731</v>
      </c>
      <c r="AS124">
        <v>1.1975526809692401</v>
      </c>
      <c r="AU124">
        <v>1.1760225296020499</v>
      </c>
      <c r="AV124">
        <v>1.0271201133728001</v>
      </c>
      <c r="AW124">
        <v>1.02831530570984</v>
      </c>
      <c r="AX124">
        <v>1.0357694625854501</v>
      </c>
      <c r="AY124">
        <v>1.13833451271057</v>
      </c>
      <c r="AZ124">
        <v>1.0103745460510301</v>
      </c>
      <c r="BA124">
        <v>0.89462524652481101</v>
      </c>
      <c r="BB124">
        <v>0.976251900196075</v>
      </c>
      <c r="BC124">
        <v>0.87935316562652599</v>
      </c>
      <c r="BD124">
        <v>0.99509197473526001</v>
      </c>
      <c r="BE124">
        <v>0.94844287633895896</v>
      </c>
      <c r="BF124">
        <v>1.01914191246033</v>
      </c>
      <c r="BG124">
        <v>0.96859735250473</v>
      </c>
      <c r="BH124">
        <v>1.05422055721283</v>
      </c>
      <c r="BI124">
        <v>0.96818900108337402</v>
      </c>
      <c r="BJ124">
        <v>1.1001280546188399</v>
      </c>
      <c r="BK124">
        <v>1.0375627279281601</v>
      </c>
      <c r="BL124">
        <v>1.0198123455047601</v>
      </c>
      <c r="BM124">
        <v>1.02614521980286</v>
      </c>
      <c r="BN124">
        <v>1.0155017375946001</v>
      </c>
      <c r="BO124">
        <v>1.0326372385025</v>
      </c>
      <c r="BP124">
        <v>0.95113623142242398</v>
      </c>
    </row>
    <row r="125" spans="1:68" x14ac:dyDescent="0.25">
      <c r="A125" t="s">
        <v>1283</v>
      </c>
      <c r="B125" t="s">
        <v>1284</v>
      </c>
      <c r="C125" t="s">
        <v>1044</v>
      </c>
      <c r="D125" t="s">
        <v>1045</v>
      </c>
      <c r="AO125">
        <v>-0.36746120452880898</v>
      </c>
      <c r="AQ125">
        <v>0.194383829832077</v>
      </c>
      <c r="AS125">
        <v>9.0090341866016402E-2</v>
      </c>
      <c r="AU125">
        <v>0.35854917764663702</v>
      </c>
      <c r="AV125">
        <v>0.35625991225242598</v>
      </c>
      <c r="AW125">
        <v>7.0387974381446797E-2</v>
      </c>
      <c r="AX125">
        <v>0.19063183665275599</v>
      </c>
      <c r="AY125">
        <v>0.207937806844711</v>
      </c>
      <c r="AZ125">
        <v>0.64799678325653098</v>
      </c>
      <c r="BA125">
        <v>0.62663847208023105</v>
      </c>
      <c r="BB125">
        <v>0.77681624889373802</v>
      </c>
      <c r="BC125">
        <v>0.52297180891036998</v>
      </c>
      <c r="BD125">
        <v>-0.33857056498527499</v>
      </c>
      <c r="BE125">
        <v>-0.40845501422882102</v>
      </c>
      <c r="BF125">
        <v>-0.40247389674186701</v>
      </c>
      <c r="BG125">
        <v>3.6018155515193898E-2</v>
      </c>
      <c r="BH125">
        <v>-3.8353074342012398E-2</v>
      </c>
      <c r="BI125">
        <v>1.46297342143953E-3</v>
      </c>
      <c r="BJ125">
        <v>2.4349680170416801E-2</v>
      </c>
      <c r="BK125">
        <v>-5.2402257919311503E-2</v>
      </c>
      <c r="BL125">
        <v>-0.168037340044975</v>
      </c>
      <c r="BM125">
        <v>-0.25756683945655801</v>
      </c>
      <c r="BN125">
        <v>-0.23223072290420499</v>
      </c>
      <c r="BO125">
        <v>-0.46835383772849998</v>
      </c>
      <c r="BP125">
        <v>-0.27334600687027</v>
      </c>
    </row>
    <row r="126" spans="1:68" x14ac:dyDescent="0.25">
      <c r="A126" t="s">
        <v>1285</v>
      </c>
      <c r="B126" t="s">
        <v>1286</v>
      </c>
      <c r="C126" t="s">
        <v>1044</v>
      </c>
      <c r="D126" t="s">
        <v>1045</v>
      </c>
      <c r="AO126">
        <v>-0.65642863512039196</v>
      </c>
      <c r="AQ126">
        <v>-0.90769386291503895</v>
      </c>
      <c r="AS126">
        <v>-1.06835269927979</v>
      </c>
      <c r="AU126">
        <v>-1.1880140304565401</v>
      </c>
      <c r="AV126">
        <v>-1.2638689279556301</v>
      </c>
      <c r="AW126">
        <v>-1.0873547792434699</v>
      </c>
      <c r="AX126">
        <v>-1.25050592422485</v>
      </c>
      <c r="AY126">
        <v>-1.1269832849502599</v>
      </c>
      <c r="AZ126">
        <v>-1.30544221401215</v>
      </c>
      <c r="BA126">
        <v>-1.39361536502838</v>
      </c>
      <c r="BB126">
        <v>-1.42558062076569</v>
      </c>
      <c r="BC126">
        <v>-1.1655235290527299</v>
      </c>
      <c r="BD126">
        <v>-1.24479079246521</v>
      </c>
      <c r="BE126">
        <v>-1.32344126701355</v>
      </c>
      <c r="BF126">
        <v>-1.16693091392517</v>
      </c>
      <c r="BG126">
        <v>-1.2822471857070901</v>
      </c>
      <c r="BH126">
        <v>-1.2413479089736901</v>
      </c>
      <c r="BI126">
        <v>-1.3544565439224201</v>
      </c>
      <c r="BJ126">
        <v>-1.1284388303756701</v>
      </c>
      <c r="BK126">
        <v>-1.1797122955322299</v>
      </c>
      <c r="BL126">
        <v>-1.10576343536377</v>
      </c>
      <c r="BM126">
        <v>-1.00724005699158</v>
      </c>
      <c r="BN126">
        <v>-1.03243744373322</v>
      </c>
      <c r="BO126">
        <v>-0.94728088378906194</v>
      </c>
      <c r="BP126">
        <v>-0.937771916389465</v>
      </c>
    </row>
    <row r="127" spans="1:68" x14ac:dyDescent="0.25">
      <c r="A127" t="s">
        <v>1287</v>
      </c>
      <c r="B127" t="s">
        <v>1288</v>
      </c>
      <c r="C127" t="s">
        <v>1044</v>
      </c>
      <c r="D127" t="s">
        <v>1045</v>
      </c>
      <c r="AO127">
        <v>-0.17433962225913999</v>
      </c>
      <c r="AQ127">
        <v>-0.166477471590042</v>
      </c>
      <c r="AS127">
        <v>-0.182534769177437</v>
      </c>
      <c r="AU127">
        <v>-0.61473059654235795</v>
      </c>
      <c r="AV127">
        <v>-1.09949171543121</v>
      </c>
      <c r="AW127">
        <v>-1.18346691131592</v>
      </c>
      <c r="AX127">
        <v>-1.1744259595871001</v>
      </c>
      <c r="AY127">
        <v>-1.38557076454163</v>
      </c>
      <c r="AZ127">
        <v>-0.99026048183441195</v>
      </c>
      <c r="BA127">
        <v>-0.567302405834198</v>
      </c>
      <c r="BB127">
        <v>-0.62296938896179199</v>
      </c>
      <c r="BC127">
        <v>-1.0396523475646999</v>
      </c>
      <c r="BD127">
        <v>-1.0980306863784799</v>
      </c>
      <c r="BE127">
        <v>-0.91125136613845803</v>
      </c>
      <c r="BF127">
        <v>-0.91177380084991499</v>
      </c>
      <c r="BG127">
        <v>-0.80461567640304599</v>
      </c>
      <c r="BH127">
        <v>-0.882429659366608</v>
      </c>
      <c r="BI127">
        <v>-0.65201967954635598</v>
      </c>
      <c r="BJ127">
        <v>-0.362505912780762</v>
      </c>
      <c r="BK127">
        <v>-0.52971208095550504</v>
      </c>
      <c r="BL127">
        <v>-0.26556807756424</v>
      </c>
      <c r="BM127">
        <v>-0.4557925760746</v>
      </c>
      <c r="BN127">
        <v>-0.46646723151206998</v>
      </c>
      <c r="BO127">
        <v>-0.471610426902771</v>
      </c>
      <c r="BP127">
        <v>-0.48121976852416998</v>
      </c>
    </row>
    <row r="128" spans="1:68" x14ac:dyDescent="0.25">
      <c r="A128" t="s">
        <v>1289</v>
      </c>
      <c r="B128" t="s">
        <v>1290</v>
      </c>
      <c r="C128" t="s">
        <v>1044</v>
      </c>
      <c r="D128" t="s">
        <v>1045</v>
      </c>
      <c r="AO128">
        <v>-1.10455310344696</v>
      </c>
      <c r="AQ128">
        <v>-1.2649291753768901</v>
      </c>
      <c r="AS128">
        <v>-0.77603065967559803</v>
      </c>
      <c r="AU128">
        <v>-0.72216534614562999</v>
      </c>
      <c r="AV128">
        <v>-0.65200853347778298</v>
      </c>
      <c r="AW128">
        <v>-0.40774828195571899</v>
      </c>
      <c r="AX128">
        <v>-0.393915474414825</v>
      </c>
      <c r="AY128">
        <v>-0.345979183912277</v>
      </c>
      <c r="AZ128">
        <v>-0.36360630393028298</v>
      </c>
      <c r="BA128">
        <v>-0.298690915107727</v>
      </c>
      <c r="BB128">
        <v>-0.56037384271621704</v>
      </c>
      <c r="BC128">
        <v>-0.50098443031311002</v>
      </c>
      <c r="BD128">
        <v>-0.304419666528702</v>
      </c>
      <c r="BE128">
        <v>-0.10357720404863401</v>
      </c>
      <c r="BF128">
        <v>-0.13643614947795901</v>
      </c>
      <c r="BG128">
        <v>2.3174801841378202E-2</v>
      </c>
      <c r="BH128">
        <v>6.3348144292831393E-2</v>
      </c>
      <c r="BI128">
        <v>0.20619080960750599</v>
      </c>
      <c r="BJ128">
        <v>9.3509651720523806E-2</v>
      </c>
      <c r="BK128">
        <v>0.110921673476696</v>
      </c>
      <c r="BL128">
        <v>-7.5488649308681502E-2</v>
      </c>
      <c r="BM128">
        <v>-0.20906595885753601</v>
      </c>
      <c r="BN128">
        <v>-0.13152225315570801</v>
      </c>
      <c r="BO128">
        <v>-9.8023042082786602E-2</v>
      </c>
      <c r="BP128">
        <v>4.4493820518255199E-2</v>
      </c>
    </row>
    <row r="129" spans="1:68" x14ac:dyDescent="0.25">
      <c r="A129" t="s">
        <v>1291</v>
      </c>
      <c r="B129" t="s">
        <v>1292</v>
      </c>
      <c r="C129" t="s">
        <v>1044</v>
      </c>
      <c r="D129" t="s">
        <v>1045</v>
      </c>
      <c r="AV129">
        <v>1.1697852611541699</v>
      </c>
      <c r="AW129">
        <v>1.1569436788559</v>
      </c>
      <c r="AX129">
        <v>1.38492727279663</v>
      </c>
      <c r="AY129">
        <v>1.34965407848358</v>
      </c>
      <c r="AZ129">
        <v>1.3420157432556199</v>
      </c>
      <c r="BA129">
        <v>1.33847212791443</v>
      </c>
      <c r="BB129">
        <v>1.4026106595993</v>
      </c>
      <c r="BC129">
        <v>1.4227316379547099</v>
      </c>
      <c r="BD129">
        <v>1.3024883270263701</v>
      </c>
      <c r="BE129">
        <v>1.2903511524200399</v>
      </c>
      <c r="BF129">
        <v>1.2839260101318399</v>
      </c>
      <c r="BG129">
        <v>0.80186581611633301</v>
      </c>
      <c r="BH129">
        <v>0.82148623466491699</v>
      </c>
      <c r="BI129">
        <v>0.84692633152008101</v>
      </c>
      <c r="BJ129">
        <v>0.85543632507324197</v>
      </c>
      <c r="BK129">
        <v>0.998790442943573</v>
      </c>
      <c r="BL129">
        <v>1.1214336156845099</v>
      </c>
      <c r="BM129">
        <v>1.15759241580963</v>
      </c>
      <c r="BN129">
        <v>1.13722455501556</v>
      </c>
      <c r="BO129">
        <v>1.10384833812714</v>
      </c>
      <c r="BP129">
        <v>1.0998893976211499</v>
      </c>
    </row>
    <row r="130" spans="1:68" x14ac:dyDescent="0.25">
      <c r="A130" t="s">
        <v>1293</v>
      </c>
      <c r="B130" t="s">
        <v>1294</v>
      </c>
      <c r="C130" t="s">
        <v>1044</v>
      </c>
      <c r="D130" t="s">
        <v>1045</v>
      </c>
      <c r="AV130">
        <v>1.1697852611541699</v>
      </c>
      <c r="AW130">
        <v>1.36335968971252</v>
      </c>
      <c r="AX130">
        <v>1.2821244001388501</v>
      </c>
      <c r="AY130">
        <v>1.2083866596221899</v>
      </c>
      <c r="AZ130">
        <v>0.80267018079757702</v>
      </c>
      <c r="BA130">
        <v>0.92043179273605302</v>
      </c>
      <c r="BB130">
        <v>1.09165251255035</v>
      </c>
      <c r="BC130">
        <v>1.0361121892929099</v>
      </c>
      <c r="BD130">
        <v>0.95758825540542603</v>
      </c>
      <c r="BE130">
        <v>0.97578805685043302</v>
      </c>
      <c r="BF130">
        <v>0.95886337757110596</v>
      </c>
      <c r="BG130">
        <v>0.57248818874359098</v>
      </c>
      <c r="BH130">
        <v>0.56471753120422397</v>
      </c>
      <c r="BI130">
        <v>0.60680544376373302</v>
      </c>
      <c r="BJ130">
        <v>0.62854975461959794</v>
      </c>
      <c r="BK130">
        <v>0.67739051580429099</v>
      </c>
      <c r="BL130">
        <v>0.70089352130889904</v>
      </c>
      <c r="BM130">
        <v>0.92957884073257402</v>
      </c>
      <c r="BN130">
        <v>0.94966989755630504</v>
      </c>
      <c r="BO130">
        <v>0.93808209896087602</v>
      </c>
      <c r="BP130">
        <v>0.92339324951171897</v>
      </c>
    </row>
    <row r="131" spans="1:68" x14ac:dyDescent="0.25">
      <c r="A131" t="s">
        <v>1295</v>
      </c>
      <c r="B131" t="s">
        <v>1296</v>
      </c>
      <c r="C131" t="s">
        <v>1044</v>
      </c>
      <c r="D131" t="s">
        <v>1045</v>
      </c>
      <c r="AO131">
        <v>0.56677144765853904</v>
      </c>
      <c r="AQ131">
        <v>0.51387274265289296</v>
      </c>
      <c r="AS131">
        <v>0.398045033216476</v>
      </c>
      <c r="AU131">
        <v>0.24177360534667999</v>
      </c>
      <c r="AV131">
        <v>0.24854309856891599</v>
      </c>
      <c r="AW131">
        <v>0.42884257435798601</v>
      </c>
      <c r="AX131">
        <v>0.48512858152389499</v>
      </c>
      <c r="AY131">
        <v>0.42385545372963002</v>
      </c>
      <c r="AZ131">
        <v>0.56625473499298096</v>
      </c>
      <c r="BA131">
        <v>0.42096868157386802</v>
      </c>
      <c r="BB131">
        <v>0.40962797403335599</v>
      </c>
      <c r="BC131">
        <v>0.325895816087723</v>
      </c>
      <c r="BD131">
        <v>0.41249564290046697</v>
      </c>
      <c r="BE131">
        <v>0.26710331439971902</v>
      </c>
      <c r="BF131">
        <v>0.27857863903045699</v>
      </c>
      <c r="BG131">
        <v>0.108568802475929</v>
      </c>
      <c r="BH131">
        <v>0.156361043453217</v>
      </c>
      <c r="BI131">
        <v>0.15357650816440599</v>
      </c>
      <c r="BJ131">
        <v>0.38183072209358199</v>
      </c>
      <c r="BK131">
        <v>0.63812375068664595</v>
      </c>
      <c r="BL131">
        <v>0.54719793796539296</v>
      </c>
      <c r="BM131">
        <v>0.60833787918090798</v>
      </c>
      <c r="BN131">
        <v>0.62904572486877397</v>
      </c>
      <c r="BO131">
        <v>0.57997673749923695</v>
      </c>
      <c r="BP131">
        <v>0.60983473062515303</v>
      </c>
    </row>
    <row r="132" spans="1:68" x14ac:dyDescent="0.25">
      <c r="A132" t="s">
        <v>1297</v>
      </c>
      <c r="B132" t="s">
        <v>1298</v>
      </c>
      <c r="C132" t="s">
        <v>1044</v>
      </c>
      <c r="D132" t="s">
        <v>1045</v>
      </c>
      <c r="AO132">
        <v>0.170835971832275</v>
      </c>
      <c r="AQ132">
        <v>0.45511338114738498</v>
      </c>
      <c r="AS132">
        <v>0.75223267078399703</v>
      </c>
      <c r="AU132">
        <v>-0.14674431085586501</v>
      </c>
      <c r="AV132">
        <v>0.29428690671920799</v>
      </c>
      <c r="AW132">
        <v>0.34524002671241799</v>
      </c>
      <c r="AX132">
        <v>0.25369027256965598</v>
      </c>
      <c r="AY132">
        <v>0.41273310780525202</v>
      </c>
      <c r="AZ132">
        <v>0.62064391374588002</v>
      </c>
      <c r="BA132">
        <v>0.50176799297332797</v>
      </c>
      <c r="BB132">
        <v>0.353407442569733</v>
      </c>
      <c r="BC132">
        <v>0.451988816261292</v>
      </c>
      <c r="BD132">
        <v>0.31110271811485302</v>
      </c>
      <c r="BE132">
        <v>0.20360621809959401</v>
      </c>
      <c r="BF132">
        <v>0.16605558991432201</v>
      </c>
      <c r="BG132">
        <v>0.14900654554367099</v>
      </c>
      <c r="BH132">
        <v>-0.21954929828643799</v>
      </c>
      <c r="BI132">
        <v>-5.6500710546970402E-2</v>
      </c>
      <c r="BJ132">
        <v>-5.1229096949100501E-2</v>
      </c>
      <c r="BK132">
        <v>9.0642102062702207E-2</v>
      </c>
      <c r="BL132">
        <v>0.17517338693141901</v>
      </c>
      <c r="BM132">
        <v>0.225232258439064</v>
      </c>
      <c r="BN132">
        <v>0.26306590437889099</v>
      </c>
      <c r="BO132">
        <v>0.29189202189445501</v>
      </c>
      <c r="BP132">
        <v>0.40817919373512301</v>
      </c>
    </row>
    <row r="133" spans="1:68" x14ac:dyDescent="0.25">
      <c r="A133" t="s">
        <v>1299</v>
      </c>
      <c r="B133" t="s">
        <v>1300</v>
      </c>
      <c r="C133" t="s">
        <v>1044</v>
      </c>
      <c r="D133" t="s">
        <v>1045</v>
      </c>
    </row>
    <row r="134" spans="1:68" x14ac:dyDescent="0.25">
      <c r="A134" t="s">
        <v>1301</v>
      </c>
      <c r="B134" t="s">
        <v>1302</v>
      </c>
      <c r="C134" t="s">
        <v>1044</v>
      </c>
      <c r="D134" t="s">
        <v>1045</v>
      </c>
      <c r="AO134">
        <v>0.37183076143264798</v>
      </c>
      <c r="AQ134">
        <v>-0.191821798682213</v>
      </c>
      <c r="AS134">
        <v>-0.57791340351104703</v>
      </c>
      <c r="AU134">
        <v>-0.103369668126106</v>
      </c>
      <c r="AV134">
        <v>-1.2323535680770901</v>
      </c>
      <c r="AW134">
        <v>-0.61115795373916604</v>
      </c>
      <c r="AX134">
        <v>-0.49144771695137002</v>
      </c>
      <c r="AY134">
        <v>-8.5298560559749603E-2</v>
      </c>
      <c r="AZ134">
        <v>-0.17647679150104501</v>
      </c>
      <c r="BA134">
        <v>1.7276132479310001E-2</v>
      </c>
      <c r="BB134">
        <v>-0.15804822742939001</v>
      </c>
      <c r="BC134">
        <v>-0.282062977552414</v>
      </c>
      <c r="BD134">
        <v>-5.8007225394248997E-2</v>
      </c>
      <c r="BE134">
        <v>3.3739030361175502E-2</v>
      </c>
      <c r="BF134">
        <v>6.7443899810314206E-2</v>
      </c>
      <c r="BG134">
        <v>0.49869298934936501</v>
      </c>
      <c r="BH134">
        <v>0.53887152671813998</v>
      </c>
      <c r="BI134">
        <v>0.52490651607513406</v>
      </c>
      <c r="BJ134">
        <v>0.39401277899742099</v>
      </c>
      <c r="BK134">
        <v>0.40796974301338201</v>
      </c>
      <c r="BL134">
        <v>0.53035223484039296</v>
      </c>
      <c r="BM134">
        <v>0.69394868612289395</v>
      </c>
      <c r="BN134">
        <v>0.71253842115402199</v>
      </c>
      <c r="BO134">
        <v>0.78945136070251498</v>
      </c>
      <c r="BP134">
        <v>0.81446176767349199</v>
      </c>
    </row>
    <row r="135" spans="1:68" x14ac:dyDescent="0.25">
      <c r="A135" t="s">
        <v>1303</v>
      </c>
      <c r="B135" t="s">
        <v>1304</v>
      </c>
      <c r="C135" t="s">
        <v>1044</v>
      </c>
      <c r="D135" t="s">
        <v>1045</v>
      </c>
      <c r="AO135">
        <v>-0.66895264387130704</v>
      </c>
      <c r="AQ135">
        <v>-0.75231528282165505</v>
      </c>
      <c r="AS135">
        <v>-0.43904453516006497</v>
      </c>
      <c r="AU135">
        <v>-0.35481521487236001</v>
      </c>
      <c r="AV135">
        <v>-0.45964258909225503</v>
      </c>
      <c r="AW135">
        <v>-0.71336096525192305</v>
      </c>
      <c r="AX135">
        <v>-0.99974083900451705</v>
      </c>
      <c r="AY135">
        <v>-1.8038626909255999</v>
      </c>
      <c r="AZ135">
        <v>-2.1190953254699698</v>
      </c>
      <c r="BA135">
        <v>-1.87660884857178</v>
      </c>
      <c r="BB135">
        <v>-1.5616968870162999</v>
      </c>
      <c r="BC135">
        <v>-1.6250150203704801</v>
      </c>
      <c r="BD135">
        <v>-1.55828750133514</v>
      </c>
      <c r="BE135">
        <v>-1.66481232643127</v>
      </c>
      <c r="BF135">
        <v>-1.6903533935546899</v>
      </c>
      <c r="BG135">
        <v>-1.6979413032531701</v>
      </c>
      <c r="BH135">
        <v>-1.69836449623108</v>
      </c>
      <c r="BI135">
        <v>-1.61568403244019</v>
      </c>
      <c r="BJ135">
        <v>-1.6222276687622099</v>
      </c>
      <c r="BK135">
        <v>-1.6216005086898799</v>
      </c>
      <c r="BL135">
        <v>-1.67235708236694</v>
      </c>
      <c r="BM135">
        <v>-1.6211754083633401</v>
      </c>
      <c r="BN135">
        <v>-1.48200488090515</v>
      </c>
      <c r="BO135">
        <v>-1.4225754737853999</v>
      </c>
      <c r="BP135">
        <v>-1.5190391540527299</v>
      </c>
    </row>
    <row r="136" spans="1:68" x14ac:dyDescent="0.25">
      <c r="A136" t="s">
        <v>1305</v>
      </c>
      <c r="B136" t="s">
        <v>1306</v>
      </c>
      <c r="C136" t="s">
        <v>1044</v>
      </c>
      <c r="D136" t="s">
        <v>1045</v>
      </c>
      <c r="AO136">
        <v>-2.4394629001617401</v>
      </c>
      <c r="AQ136">
        <v>-1.7555508613586399</v>
      </c>
      <c r="AS136">
        <v>-1.95288050174713</v>
      </c>
      <c r="AU136">
        <v>-2.1896195411682098</v>
      </c>
      <c r="AV136">
        <v>-2.1593928337097199</v>
      </c>
      <c r="AW136">
        <v>-1.3653857707977299</v>
      </c>
      <c r="AX136">
        <v>-1.3579087257385301</v>
      </c>
      <c r="AY136">
        <v>-1.3268412351608301</v>
      </c>
      <c r="AZ136">
        <v>-1.24483954906464</v>
      </c>
      <c r="BA136">
        <v>-1.2831223011016799</v>
      </c>
      <c r="BB136">
        <v>-1.05055463314056</v>
      </c>
      <c r="BC136">
        <v>-0.468525290489197</v>
      </c>
      <c r="BD136">
        <v>-0.42737025022506703</v>
      </c>
      <c r="BE136">
        <v>-0.48447650671005199</v>
      </c>
      <c r="BF136">
        <v>-0.47550708055496199</v>
      </c>
      <c r="BG136">
        <v>-0.61544960737228405</v>
      </c>
      <c r="BH136">
        <v>-0.81783330440521196</v>
      </c>
      <c r="BI136">
        <v>-0.441768199205399</v>
      </c>
      <c r="BJ136">
        <v>-0.31972271203994801</v>
      </c>
      <c r="BK136">
        <v>-0.20410536229610399</v>
      </c>
      <c r="BL136">
        <v>-0.341008901596069</v>
      </c>
      <c r="BM136">
        <v>-0.309115260839462</v>
      </c>
      <c r="BN136">
        <v>-0.28600347042083701</v>
      </c>
      <c r="BO136">
        <v>-0.26727125048637401</v>
      </c>
      <c r="BP136">
        <v>-0.1162094399333</v>
      </c>
    </row>
    <row r="137" spans="1:68" x14ac:dyDescent="0.25">
      <c r="A137" t="s">
        <v>1307</v>
      </c>
      <c r="B137" t="s">
        <v>1308</v>
      </c>
      <c r="C137" t="s">
        <v>1044</v>
      </c>
      <c r="D137" t="s">
        <v>1045</v>
      </c>
      <c r="AO137">
        <v>-0.98805892467498802</v>
      </c>
      <c r="AQ137">
        <v>-0.80974036455154397</v>
      </c>
      <c r="AS137">
        <v>-0.29428681731224099</v>
      </c>
      <c r="AU137">
        <v>-9.5380805432796506E-2</v>
      </c>
      <c r="AV137">
        <v>0.120704226195812</v>
      </c>
      <c r="AW137">
        <v>0.35568061470985401</v>
      </c>
      <c r="AX137">
        <v>0.448557078838348</v>
      </c>
      <c r="AY137">
        <v>0.35812887549400302</v>
      </c>
      <c r="AZ137">
        <v>0.74705761671066295</v>
      </c>
      <c r="BA137">
        <v>0.80888116359710704</v>
      </c>
      <c r="BB137">
        <v>0.83189672231674205</v>
      </c>
      <c r="BC137">
        <v>2.8088446706533401E-2</v>
      </c>
      <c r="BD137">
        <v>-1.2873792648315401</v>
      </c>
      <c r="BE137">
        <v>-1.5869597196578999</v>
      </c>
      <c r="BF137">
        <v>-1.84407651424408</v>
      </c>
      <c r="BG137">
        <v>-2.3534071445465101</v>
      </c>
      <c r="BH137">
        <v>-2.1896512508392298</v>
      </c>
      <c r="BI137">
        <v>-2.2747378349304199</v>
      </c>
      <c r="BJ137">
        <v>-2.35357618331909</v>
      </c>
      <c r="BK137">
        <v>-2.4351158142089799</v>
      </c>
      <c r="BL137">
        <v>-2.5658981800079301</v>
      </c>
      <c r="BM137">
        <v>-2.4623572826385498</v>
      </c>
      <c r="BN137">
        <v>-2.3084740638732901</v>
      </c>
      <c r="BO137">
        <v>-2.1937017440795898</v>
      </c>
      <c r="BP137">
        <v>-2.1680154800414999</v>
      </c>
    </row>
    <row r="138" spans="1:68" x14ac:dyDescent="0.25">
      <c r="A138" t="s">
        <v>1309</v>
      </c>
      <c r="B138" t="s">
        <v>1310</v>
      </c>
      <c r="C138" t="s">
        <v>1044</v>
      </c>
      <c r="D138" t="s">
        <v>1045</v>
      </c>
      <c r="AO138">
        <v>1.03555142879486</v>
      </c>
      <c r="AQ138">
        <v>0.3500617146492</v>
      </c>
      <c r="AS138">
        <v>1.22359979152679</v>
      </c>
      <c r="AU138">
        <v>0.36293163895607</v>
      </c>
      <c r="AV138">
        <v>1.1697852611541699</v>
      </c>
      <c r="AW138">
        <v>1.2183393239975</v>
      </c>
      <c r="AX138">
        <v>1.0001149177551301</v>
      </c>
      <c r="AY138">
        <v>0.86010622978210405</v>
      </c>
      <c r="AZ138">
        <v>0.61798626184463501</v>
      </c>
      <c r="BA138">
        <v>0.64076435565948497</v>
      </c>
      <c r="BB138">
        <v>0.68575364351272605</v>
      </c>
      <c r="BC138">
        <v>0.79027551412582397</v>
      </c>
      <c r="BD138">
        <v>0.84907835721969604</v>
      </c>
      <c r="BE138">
        <v>0.89370566606521595</v>
      </c>
      <c r="BF138">
        <v>0.85335773229598999</v>
      </c>
      <c r="BG138">
        <v>0.81645041704177901</v>
      </c>
      <c r="BH138">
        <v>0.83773475885391202</v>
      </c>
      <c r="BI138">
        <v>0.99859225749969505</v>
      </c>
      <c r="BJ138">
        <v>0.97461122274398804</v>
      </c>
      <c r="BK138">
        <v>0.99346274137496904</v>
      </c>
      <c r="BL138">
        <v>0.90660393238067605</v>
      </c>
      <c r="BM138">
        <v>0.86473113298416104</v>
      </c>
      <c r="BN138">
        <v>0.83201485872268699</v>
      </c>
      <c r="BO138">
        <v>1.0336232185363801</v>
      </c>
      <c r="BP138">
        <v>1.0180191993713399</v>
      </c>
    </row>
    <row r="139" spans="1:68" x14ac:dyDescent="0.25">
      <c r="A139" t="s">
        <v>1311</v>
      </c>
      <c r="B139" t="s">
        <v>1312</v>
      </c>
      <c r="C139" t="s">
        <v>1044</v>
      </c>
      <c r="D139" t="s">
        <v>1045</v>
      </c>
    </row>
    <row r="140" spans="1:68" x14ac:dyDescent="0.25">
      <c r="A140" t="s">
        <v>1313</v>
      </c>
      <c r="B140" t="s">
        <v>1314</v>
      </c>
      <c r="C140" t="s">
        <v>1044</v>
      </c>
      <c r="D140" t="s">
        <v>1045</v>
      </c>
    </row>
    <row r="141" spans="1:68" x14ac:dyDescent="0.25">
      <c r="A141" t="s">
        <v>1315</v>
      </c>
      <c r="B141" t="s">
        <v>1316</v>
      </c>
      <c r="C141" t="s">
        <v>1044</v>
      </c>
      <c r="D141" t="s">
        <v>1045</v>
      </c>
    </row>
    <row r="142" spans="1:68" x14ac:dyDescent="0.25">
      <c r="A142" t="s">
        <v>1317</v>
      </c>
      <c r="B142" t="s">
        <v>1318</v>
      </c>
      <c r="C142" t="s">
        <v>1044</v>
      </c>
      <c r="D142" t="s">
        <v>1045</v>
      </c>
      <c r="AO142">
        <v>1.16952216625214</v>
      </c>
      <c r="AQ142">
        <v>1.1828751564025899</v>
      </c>
      <c r="AS142">
        <v>1.16698145866394</v>
      </c>
      <c r="AU142">
        <v>1.2827669382095299</v>
      </c>
      <c r="AV142">
        <v>1.46513116359711</v>
      </c>
      <c r="AW142">
        <v>1.51525795459747</v>
      </c>
      <c r="AX142">
        <v>1.38492727279663</v>
      </c>
      <c r="AY142">
        <v>1.34965407848358</v>
      </c>
      <c r="AZ142">
        <v>1.3420157432556199</v>
      </c>
      <c r="BA142">
        <v>1.33847212791443</v>
      </c>
      <c r="BB142">
        <v>1.5531637668609599</v>
      </c>
      <c r="BC142">
        <v>1.5440874099731401</v>
      </c>
      <c r="BD142">
        <v>1.49057960510254</v>
      </c>
      <c r="BE142">
        <v>1.38919961452484</v>
      </c>
      <c r="BF142">
        <v>1.39717161655426</v>
      </c>
      <c r="BG142">
        <v>1.45886182785034</v>
      </c>
      <c r="BH142">
        <v>1.4377751350402801</v>
      </c>
      <c r="BI142">
        <v>1.45326995849609</v>
      </c>
      <c r="BJ142">
        <v>1.45908486843109</v>
      </c>
      <c r="BK142">
        <v>1.4538316726684599</v>
      </c>
      <c r="BL142">
        <v>1.59764981269836</v>
      </c>
      <c r="BM142">
        <v>1.66921818256378</v>
      </c>
      <c r="BN142">
        <v>1.5956846475601201</v>
      </c>
      <c r="BO142">
        <v>1.6427530050277701</v>
      </c>
      <c r="BP142">
        <v>1.6127581596374501</v>
      </c>
    </row>
    <row r="143" spans="1:68" x14ac:dyDescent="0.25">
      <c r="A143" t="s">
        <v>1319</v>
      </c>
      <c r="B143" t="s">
        <v>1320</v>
      </c>
      <c r="C143" t="s">
        <v>1044</v>
      </c>
      <c r="D143" t="s">
        <v>1045</v>
      </c>
      <c r="AO143">
        <v>-1.77829897403717</v>
      </c>
      <c r="AQ143">
        <v>-1.4828401803970299</v>
      </c>
      <c r="AS143">
        <v>-1.90411269664764</v>
      </c>
      <c r="AU143">
        <v>-0.77762889862060502</v>
      </c>
      <c r="AV143">
        <v>-0.83315843343734697</v>
      </c>
      <c r="AW143">
        <v>-1.0104405879974401</v>
      </c>
      <c r="AX143">
        <v>-1.1522368192672701</v>
      </c>
      <c r="AY143">
        <v>-1.4215507507324201</v>
      </c>
      <c r="AZ143">
        <v>-1.7512836456298799</v>
      </c>
      <c r="BA143">
        <v>-1.79859554767609</v>
      </c>
      <c r="BB143">
        <v>-1.34090304374695</v>
      </c>
      <c r="BC143">
        <v>-0.94294685125350997</v>
      </c>
      <c r="BD143">
        <v>-0.72477144002914395</v>
      </c>
      <c r="BE143">
        <v>-0.71707922220230103</v>
      </c>
      <c r="BF143">
        <v>-0.61289542913436901</v>
      </c>
      <c r="BG143">
        <v>-0.33046403527259799</v>
      </c>
      <c r="BH143">
        <v>8.3182662725448595E-2</v>
      </c>
      <c r="BI143">
        <v>-1.1340050026774399E-2</v>
      </c>
      <c r="BJ143">
        <v>-7.5448006391525296E-2</v>
      </c>
      <c r="BK143">
        <v>-0.13930460810661299</v>
      </c>
      <c r="BL143">
        <v>-0.21553660929203</v>
      </c>
      <c r="BM143">
        <v>-8.9128851890564006E-2</v>
      </c>
      <c r="BN143">
        <v>-0.37677302956581099</v>
      </c>
      <c r="BO143">
        <v>-0.80430680513382002</v>
      </c>
      <c r="BP143">
        <v>-0.50854128599166903</v>
      </c>
    </row>
    <row r="144" spans="1:68" x14ac:dyDescent="0.25">
      <c r="A144" t="s">
        <v>1321</v>
      </c>
      <c r="B144" t="s">
        <v>1322</v>
      </c>
      <c r="C144" t="s">
        <v>1044</v>
      </c>
      <c r="D144" t="s">
        <v>1045</v>
      </c>
    </row>
    <row r="145" spans="1:68" x14ac:dyDescent="0.25">
      <c r="A145" t="s">
        <v>1323</v>
      </c>
      <c r="B145" t="s">
        <v>1324</v>
      </c>
      <c r="C145" t="s">
        <v>1044</v>
      </c>
      <c r="D145" t="s">
        <v>1045</v>
      </c>
    </row>
    <row r="146" spans="1:68" x14ac:dyDescent="0.25">
      <c r="A146" t="s">
        <v>1325</v>
      </c>
      <c r="B146" t="s">
        <v>1326</v>
      </c>
      <c r="C146" t="s">
        <v>1044</v>
      </c>
      <c r="D146" t="s">
        <v>1045</v>
      </c>
      <c r="AO146">
        <v>0.23278498649597201</v>
      </c>
      <c r="AQ146">
        <v>-0.11899724602699301</v>
      </c>
      <c r="AS146">
        <v>9.6109747886657701E-2</v>
      </c>
      <c r="AU146">
        <v>-4.7421190887689597E-2</v>
      </c>
      <c r="AV146">
        <v>9.9674545228481307E-2</v>
      </c>
      <c r="AW146">
        <v>0.358144611120224</v>
      </c>
      <c r="AX146">
        <v>-2.8113410808146E-3</v>
      </c>
      <c r="AY146">
        <v>-0.12470535933971399</v>
      </c>
      <c r="AZ146">
        <v>-0.39131420850753801</v>
      </c>
      <c r="BA146">
        <v>-0.20475609600544001</v>
      </c>
      <c r="BB146">
        <v>0.32615590095519997</v>
      </c>
      <c r="BC146">
        <v>0.45677539706230202</v>
      </c>
      <c r="BD146">
        <v>0.38394075632095298</v>
      </c>
      <c r="BE146">
        <v>0.274199098348618</v>
      </c>
      <c r="BF146">
        <v>0.33807429671287498</v>
      </c>
      <c r="BG146">
        <v>-0.33281204104423501</v>
      </c>
      <c r="BH146">
        <v>-0.3187076151371</v>
      </c>
      <c r="BI146">
        <v>-0.24485586583614299</v>
      </c>
      <c r="BJ146">
        <v>-0.19412481784820601</v>
      </c>
      <c r="BK146">
        <v>-0.18860641121864299</v>
      </c>
      <c r="BL146">
        <v>-0.42798033356666598</v>
      </c>
      <c r="BM146">
        <v>-0.25351294875144997</v>
      </c>
      <c r="BN146">
        <v>-0.213224932551384</v>
      </c>
      <c r="BO146">
        <v>-0.29273691773414601</v>
      </c>
      <c r="BP146">
        <v>-0.30576080083847001</v>
      </c>
    </row>
    <row r="147" spans="1:68" x14ac:dyDescent="0.25">
      <c r="A147" t="s">
        <v>1327</v>
      </c>
      <c r="B147" t="s">
        <v>1328</v>
      </c>
      <c r="C147" t="s">
        <v>1044</v>
      </c>
      <c r="D147" t="s">
        <v>1045</v>
      </c>
    </row>
    <row r="148" spans="1:68" x14ac:dyDescent="0.25">
      <c r="A148" t="s">
        <v>1329</v>
      </c>
      <c r="B148" t="s">
        <v>1330</v>
      </c>
      <c r="C148" t="s">
        <v>1044</v>
      </c>
      <c r="D148" t="s">
        <v>1045</v>
      </c>
      <c r="AO148">
        <v>0.52463185787200906</v>
      </c>
      <c r="AQ148">
        <v>0.42965859174728399</v>
      </c>
      <c r="AS148">
        <v>0.42878547310829201</v>
      </c>
      <c r="AU148">
        <v>0.893210649490356</v>
      </c>
      <c r="AV148">
        <v>1.0501854419708301</v>
      </c>
      <c r="AW148">
        <v>0.76600486040115401</v>
      </c>
      <c r="AX148">
        <v>0.77910029888153098</v>
      </c>
      <c r="AY148">
        <v>0.87099599838256803</v>
      </c>
      <c r="AZ148">
        <v>0.817851543426514</v>
      </c>
      <c r="BA148">
        <v>0.746765077114105</v>
      </c>
      <c r="BB148">
        <v>0.63158124685287498</v>
      </c>
      <c r="BC148">
        <v>0.71526062488555897</v>
      </c>
      <c r="BD148">
        <v>0.67120033502578702</v>
      </c>
      <c r="BE148">
        <v>0.78620988130569502</v>
      </c>
      <c r="BF148">
        <v>0.96453231573104903</v>
      </c>
      <c r="BG148">
        <v>0.74213641881942705</v>
      </c>
      <c r="BH148">
        <v>0.749750256538391</v>
      </c>
      <c r="BI148">
        <v>0.81472122669220004</v>
      </c>
      <c r="BJ148">
        <v>0.76556599140167203</v>
      </c>
      <c r="BK148">
        <v>0.729236841201782</v>
      </c>
      <c r="BL148">
        <v>0.77062356472015403</v>
      </c>
      <c r="BM148">
        <v>0.92147696018219005</v>
      </c>
      <c r="BN148">
        <v>0.80984681844711304</v>
      </c>
      <c r="BO148">
        <v>0.65303254127502397</v>
      </c>
      <c r="BP148">
        <v>0.74211150407791104</v>
      </c>
    </row>
    <row r="149" spans="1:68" x14ac:dyDescent="0.25">
      <c r="A149" t="s">
        <v>1331</v>
      </c>
      <c r="B149" t="s">
        <v>1332</v>
      </c>
      <c r="C149" t="s">
        <v>1044</v>
      </c>
      <c r="D149" t="s">
        <v>1045</v>
      </c>
      <c r="AO149">
        <v>1.38130235671997</v>
      </c>
      <c r="AQ149">
        <v>1.3853188753128101</v>
      </c>
      <c r="AS149">
        <v>1.60547471046448</v>
      </c>
      <c r="AU149">
        <v>1.63791656494141</v>
      </c>
      <c r="AV149">
        <v>1.44070816040039</v>
      </c>
      <c r="AW149">
        <v>1.31543505191803</v>
      </c>
      <c r="AX149">
        <v>1.33164858818054</v>
      </c>
      <c r="AY149">
        <v>1.3998988866805999</v>
      </c>
      <c r="AZ149">
        <v>1.4837180376052901</v>
      </c>
      <c r="BA149">
        <v>1.51193952560425</v>
      </c>
      <c r="BB149">
        <v>1.4503817558288601</v>
      </c>
      <c r="BC149">
        <v>1.4612185955047601</v>
      </c>
      <c r="BD149">
        <v>1.31742680072784</v>
      </c>
      <c r="BE149">
        <v>1.3319188356399501</v>
      </c>
      <c r="BF149">
        <v>1.3352481126785301</v>
      </c>
      <c r="BG149">
        <v>1.37832379341125</v>
      </c>
      <c r="BH149">
        <v>1.42636823654175</v>
      </c>
      <c r="BI149">
        <v>1.4036171436309799</v>
      </c>
      <c r="BJ149">
        <v>1.3128936290741</v>
      </c>
      <c r="BK149">
        <v>1.34749054908752</v>
      </c>
      <c r="BL149">
        <v>1.3333135843277</v>
      </c>
      <c r="BM149">
        <v>1.2124823331832899</v>
      </c>
      <c r="BN149">
        <v>1.19407951831818</v>
      </c>
      <c r="BO149">
        <v>1.0643900632858301</v>
      </c>
      <c r="BP149">
        <v>1.0540016889572099</v>
      </c>
    </row>
    <row r="150" spans="1:68" x14ac:dyDescent="0.25">
      <c r="A150" t="s">
        <v>1333</v>
      </c>
      <c r="B150" t="s">
        <v>1334</v>
      </c>
      <c r="C150" t="s">
        <v>1044</v>
      </c>
      <c r="D150" t="s">
        <v>1045</v>
      </c>
      <c r="AO150">
        <v>0.56140309572219804</v>
      </c>
      <c r="AQ150">
        <v>3.3770300447940799E-2</v>
      </c>
      <c r="AS150">
        <v>0.41943415999412498</v>
      </c>
      <c r="AU150">
        <v>0.94435715675354004</v>
      </c>
      <c r="AV150">
        <v>1.00164318084717</v>
      </c>
      <c r="AW150">
        <v>0.61675524711608898</v>
      </c>
      <c r="AX150">
        <v>0.81402140855789196</v>
      </c>
      <c r="AY150">
        <v>0.83836871385574296</v>
      </c>
      <c r="AZ150">
        <v>0.56193053722381603</v>
      </c>
      <c r="BA150">
        <v>0.20350812375545499</v>
      </c>
      <c r="BB150">
        <v>0.34827980399131803</v>
      </c>
      <c r="BC150">
        <v>0.52785402536392201</v>
      </c>
      <c r="BD150">
        <v>0.32000213861465499</v>
      </c>
      <c r="BE150">
        <v>0.45362672209739702</v>
      </c>
      <c r="BF150">
        <v>0.59363526105880704</v>
      </c>
      <c r="BG150">
        <v>0.48726835846900901</v>
      </c>
      <c r="BH150">
        <v>0.43631041049957298</v>
      </c>
      <c r="BI150">
        <v>0.46721956133842502</v>
      </c>
      <c r="BJ150">
        <v>0.45295467972755399</v>
      </c>
      <c r="BK150">
        <v>0.395444005727768</v>
      </c>
      <c r="BL150">
        <v>0.42687043547630299</v>
      </c>
      <c r="BM150">
        <v>0.462181746959686</v>
      </c>
      <c r="BN150">
        <v>0.67344021797180198</v>
      </c>
      <c r="BO150">
        <v>0.48640912771224998</v>
      </c>
      <c r="BP150">
        <v>0.59108912944793701</v>
      </c>
    </row>
    <row r="151" spans="1:68" x14ac:dyDescent="0.25">
      <c r="A151" t="s">
        <v>1335</v>
      </c>
      <c r="B151" t="s">
        <v>1336</v>
      </c>
      <c r="C151" t="s">
        <v>1044</v>
      </c>
      <c r="D151" t="s">
        <v>1045</v>
      </c>
      <c r="AO151">
        <v>0.264631718397141</v>
      </c>
      <c r="AQ151">
        <v>0.27414897084236101</v>
      </c>
      <c r="AS151">
        <v>0.48636171221733099</v>
      </c>
      <c r="AU151">
        <v>0.54745638370513905</v>
      </c>
      <c r="AV151">
        <v>1.12089920043945</v>
      </c>
      <c r="AW151">
        <v>1.3520268201828001</v>
      </c>
      <c r="AX151">
        <v>1.2856140136718801</v>
      </c>
      <c r="AY151">
        <v>0.97331202030181896</v>
      </c>
      <c r="AZ151">
        <v>0.456923127174377</v>
      </c>
      <c r="BA151">
        <v>0.47943499684333801</v>
      </c>
      <c r="BB151">
        <v>0.60537701845169101</v>
      </c>
      <c r="BC151">
        <v>0.57357811927795399</v>
      </c>
      <c r="BD151">
        <v>0.60776048898696899</v>
      </c>
      <c r="BE151">
        <v>0.62878555059432995</v>
      </c>
      <c r="BF151">
        <v>0.75772291421890303</v>
      </c>
      <c r="BG151">
        <v>1.2061685323715201</v>
      </c>
      <c r="BH151">
        <v>1.1874531507492101</v>
      </c>
      <c r="BI151">
        <v>1.3905671834945701</v>
      </c>
      <c r="BJ151">
        <v>1.4071301221847501</v>
      </c>
      <c r="BK151">
        <v>1.2298016548156701</v>
      </c>
      <c r="BL151">
        <v>1.21542155742645</v>
      </c>
      <c r="BM151">
        <v>1.13755202293396</v>
      </c>
      <c r="BN151">
        <v>1.0290210247039799</v>
      </c>
      <c r="BO151">
        <v>1.12270271778107</v>
      </c>
      <c r="BP151">
        <v>1.0710533857345601</v>
      </c>
    </row>
    <row r="152" spans="1:68" x14ac:dyDescent="0.25">
      <c r="A152" t="s">
        <v>1337</v>
      </c>
      <c r="B152" t="s">
        <v>1338</v>
      </c>
      <c r="C152" t="s">
        <v>1044</v>
      </c>
      <c r="D152" t="s">
        <v>1045</v>
      </c>
    </row>
    <row r="153" spans="1:68" x14ac:dyDescent="0.25">
      <c r="A153" t="s">
        <v>1339</v>
      </c>
      <c r="B153" t="s">
        <v>1340</v>
      </c>
      <c r="C153" t="s">
        <v>1044</v>
      </c>
      <c r="D153" t="s">
        <v>1045</v>
      </c>
      <c r="AO153">
        <v>-0.20906998217105899</v>
      </c>
      <c r="AQ153">
        <v>0.30769836902618403</v>
      </c>
      <c r="AS153">
        <v>-6.5564900636673001E-2</v>
      </c>
      <c r="AU153">
        <v>-0.26141852140426602</v>
      </c>
      <c r="AV153">
        <v>-0.407007366418839</v>
      </c>
      <c r="AW153">
        <v>-0.31266871094703702</v>
      </c>
      <c r="AX153">
        <v>-0.55668073892593395</v>
      </c>
      <c r="AY153">
        <v>-0.46134346723556502</v>
      </c>
      <c r="AZ153">
        <v>-0.50132423639297496</v>
      </c>
      <c r="BA153">
        <v>-0.57127320766448997</v>
      </c>
      <c r="BB153">
        <v>-0.39829963445663502</v>
      </c>
      <c r="BC153">
        <v>-0.38301330804824801</v>
      </c>
      <c r="BD153">
        <v>-0.39225679636001598</v>
      </c>
      <c r="BE153">
        <v>-0.47045877575874301</v>
      </c>
      <c r="BF153">
        <v>-0.49301761388778698</v>
      </c>
      <c r="BG153">
        <v>-0.44626560807228099</v>
      </c>
      <c r="BH153">
        <v>-0.344394981861115</v>
      </c>
      <c r="BI153">
        <v>-0.31761777400970498</v>
      </c>
      <c r="BJ153">
        <v>-0.37808883190155002</v>
      </c>
      <c r="BK153">
        <v>-0.3484927713871</v>
      </c>
      <c r="BL153">
        <v>-0.34580537676811202</v>
      </c>
      <c r="BM153">
        <v>-0.35952323675155601</v>
      </c>
      <c r="BN153">
        <v>-0.40256267786026001</v>
      </c>
      <c r="BO153">
        <v>-0.36211913824081399</v>
      </c>
      <c r="BP153">
        <v>-0.36776122450828602</v>
      </c>
    </row>
    <row r="154" spans="1:68" x14ac:dyDescent="0.25">
      <c r="A154" t="s">
        <v>1341</v>
      </c>
      <c r="B154" t="s">
        <v>1342</v>
      </c>
      <c r="C154" t="s">
        <v>1044</v>
      </c>
      <c r="D154" t="s">
        <v>1045</v>
      </c>
      <c r="AV154">
        <v>1.1697852611541699</v>
      </c>
      <c r="AW154">
        <v>1.1125620603561399</v>
      </c>
      <c r="AX154">
        <v>1.0300537347793599</v>
      </c>
      <c r="AY154">
        <v>1.0078027248382599</v>
      </c>
      <c r="AZ154">
        <v>1.037468791008</v>
      </c>
      <c r="BA154">
        <v>1.0290766954421999</v>
      </c>
      <c r="BB154">
        <v>0.97723078727722201</v>
      </c>
      <c r="BC154">
        <v>0.96417373418807995</v>
      </c>
      <c r="BD154">
        <v>1.04240882396698</v>
      </c>
      <c r="BE154">
        <v>1.04816234111786</v>
      </c>
      <c r="BF154">
        <v>1.0562438964843801</v>
      </c>
      <c r="BG154">
        <v>1.02334785461426</v>
      </c>
      <c r="BH154">
        <v>1.31492507457733</v>
      </c>
      <c r="BI154">
        <v>1.3153105974197401</v>
      </c>
      <c r="BJ154">
        <v>1.6150914430618299</v>
      </c>
      <c r="BK154">
        <v>1.5775129795074501</v>
      </c>
      <c r="BL154">
        <v>1.5773667097091699</v>
      </c>
      <c r="BM154">
        <v>1.1773105859756501</v>
      </c>
      <c r="BN154">
        <v>1.1726552248001101</v>
      </c>
      <c r="BO154">
        <v>1.1870324611663801</v>
      </c>
      <c r="BP154">
        <v>1.1849790811538701</v>
      </c>
    </row>
    <row r="155" spans="1:68" x14ac:dyDescent="0.25">
      <c r="A155" t="s">
        <v>1343</v>
      </c>
      <c r="B155" t="s">
        <v>1344</v>
      </c>
      <c r="C155" t="s">
        <v>1044</v>
      </c>
      <c r="D155" t="s">
        <v>1045</v>
      </c>
      <c r="AO155">
        <v>1.1292183771729501E-2</v>
      </c>
      <c r="AQ155">
        <v>0.38924035429954501</v>
      </c>
      <c r="AS155">
        <v>-0.42826128005981401</v>
      </c>
      <c r="AU155">
        <v>-0.15663476288318601</v>
      </c>
      <c r="AV155">
        <v>-0.131324723362923</v>
      </c>
      <c r="AW155">
        <v>-0.21934285759925801</v>
      </c>
      <c r="AX155">
        <v>-0.40147987008094799</v>
      </c>
      <c r="AY155">
        <v>-0.36966469883918801</v>
      </c>
      <c r="AZ155">
        <v>-1.49540305137634E-2</v>
      </c>
      <c r="BA155">
        <v>-0.267933160066605</v>
      </c>
      <c r="BB155">
        <v>-0.58359974622726396</v>
      </c>
      <c r="BC155">
        <v>-0.381340742111206</v>
      </c>
      <c r="BD155">
        <v>-4.9293749034404803E-2</v>
      </c>
      <c r="BE155">
        <v>4.6490479260683101E-2</v>
      </c>
      <c r="BF155">
        <v>8.0857204739004395E-4</v>
      </c>
      <c r="BG155">
        <v>-0.15898776054382299</v>
      </c>
      <c r="BH155">
        <v>-0.32604598999023399</v>
      </c>
      <c r="BI155">
        <v>-0.30549877882003801</v>
      </c>
      <c r="BJ155">
        <v>-0.31498920917510997</v>
      </c>
      <c r="BK155">
        <v>-0.40216794610023499</v>
      </c>
      <c r="BL155">
        <v>-0.38728839159011802</v>
      </c>
      <c r="BM155">
        <v>-0.34011128544807401</v>
      </c>
      <c r="BN155">
        <v>-0.205297246575356</v>
      </c>
      <c r="BO155">
        <v>-0.65907019376754805</v>
      </c>
      <c r="BP155">
        <v>-0.68369960784912098</v>
      </c>
    </row>
    <row r="156" spans="1:68" x14ac:dyDescent="0.25">
      <c r="A156" t="s">
        <v>1345</v>
      </c>
      <c r="B156" t="s">
        <v>1346</v>
      </c>
      <c r="C156" t="s">
        <v>1044</v>
      </c>
      <c r="D156" t="s">
        <v>1045</v>
      </c>
      <c r="AO156">
        <v>0.217267140746117</v>
      </c>
      <c r="AQ156">
        <v>0.19696219265461001</v>
      </c>
      <c r="AS156">
        <v>0.162798807024956</v>
      </c>
      <c r="AU156">
        <v>-0.22530834376812001</v>
      </c>
      <c r="AV156">
        <v>0.62244397401809703</v>
      </c>
      <c r="AW156">
        <v>0.24556957185268399</v>
      </c>
      <c r="AX156">
        <v>-1.8572572618722898E-2</v>
      </c>
      <c r="AY156">
        <v>0.18551535904407501</v>
      </c>
      <c r="AZ156">
        <v>8.9625656604766804E-2</v>
      </c>
      <c r="BA156">
        <v>-0.46933618187904402</v>
      </c>
      <c r="BB156">
        <v>-0.733878493309021</v>
      </c>
      <c r="BC156">
        <v>-0.97833883762359597</v>
      </c>
      <c r="BD156">
        <v>-0.705585896968842</v>
      </c>
      <c r="BE156">
        <v>-0.53613698482513406</v>
      </c>
      <c r="BF156">
        <v>-0.65999341011047397</v>
      </c>
      <c r="BG156">
        <v>-0.55723583698272705</v>
      </c>
      <c r="BH156">
        <v>-0.42776292562484702</v>
      </c>
      <c r="BI156">
        <v>-0.29418647289276101</v>
      </c>
      <c r="BJ156">
        <v>-0.30283728241920499</v>
      </c>
      <c r="BK156">
        <v>-0.57879841327667203</v>
      </c>
      <c r="BL156">
        <v>-0.31395730376243602</v>
      </c>
      <c r="BM156">
        <v>-0.50933474302291903</v>
      </c>
      <c r="BN156">
        <v>-0.54226267337799094</v>
      </c>
      <c r="BO156">
        <v>-0.48079660534858698</v>
      </c>
      <c r="BP156">
        <v>-0.69074565172195401</v>
      </c>
    </row>
    <row r="157" spans="1:68" x14ac:dyDescent="0.25">
      <c r="A157" t="s">
        <v>1347</v>
      </c>
      <c r="B157" t="s">
        <v>1348</v>
      </c>
      <c r="C157" t="s">
        <v>1044</v>
      </c>
      <c r="D157" t="s">
        <v>1045</v>
      </c>
      <c r="AO157">
        <v>0.88218182325363204</v>
      </c>
      <c r="AQ157">
        <v>1.1159193515777599</v>
      </c>
      <c r="AS157">
        <v>1.18071973323822</v>
      </c>
      <c r="AU157">
        <v>1.0771962404251101</v>
      </c>
      <c r="AV157">
        <v>1.03226470947266</v>
      </c>
      <c r="AW157">
        <v>0.50193244218826305</v>
      </c>
      <c r="AX157">
        <v>0.811711966991425</v>
      </c>
      <c r="AY157">
        <v>0.75835877656936601</v>
      </c>
      <c r="AZ157">
        <v>8.3186484873294803E-2</v>
      </c>
      <c r="BA157">
        <v>-0.16443873941898299</v>
      </c>
      <c r="BB157">
        <v>-0.22970762848854101</v>
      </c>
      <c r="BC157">
        <v>-0.166243851184845</v>
      </c>
      <c r="BD157">
        <v>-0.24263018369674699</v>
      </c>
      <c r="BE157">
        <v>-0.36517146229744002</v>
      </c>
      <c r="BF157">
        <v>0.125037372112274</v>
      </c>
      <c r="BG157">
        <v>0.67909616231918302</v>
      </c>
      <c r="BH157">
        <v>0.41140371561050398</v>
      </c>
      <c r="BI157">
        <v>0.40803319215774497</v>
      </c>
      <c r="BJ157">
        <v>0.22453197836875899</v>
      </c>
      <c r="BK157">
        <v>8.3078719675540896E-2</v>
      </c>
      <c r="BL157">
        <v>2.7658289298415201E-2</v>
      </c>
      <c r="BM157">
        <v>0.36302980780601501</v>
      </c>
      <c r="BN157">
        <v>0.53475970029830899</v>
      </c>
      <c r="BO157">
        <v>0.645002782344818</v>
      </c>
      <c r="BP157">
        <v>0.53012090921402</v>
      </c>
    </row>
    <row r="158" spans="1:68" x14ac:dyDescent="0.25">
      <c r="A158" t="s">
        <v>1349</v>
      </c>
      <c r="B158" t="s">
        <v>1350</v>
      </c>
      <c r="C158" t="s">
        <v>1044</v>
      </c>
      <c r="D158" t="s">
        <v>1045</v>
      </c>
    </row>
    <row r="159" spans="1:68" x14ac:dyDescent="0.25">
      <c r="A159" t="s">
        <v>1351</v>
      </c>
      <c r="B159" t="s">
        <v>1352</v>
      </c>
      <c r="C159" t="s">
        <v>1044</v>
      </c>
      <c r="D159" t="s">
        <v>1045</v>
      </c>
      <c r="AO159">
        <v>-0.92545914649963401</v>
      </c>
      <c r="AQ159">
        <v>-0.42306226491928101</v>
      </c>
      <c r="AS159">
        <v>-0.200209870934486</v>
      </c>
      <c r="AU159">
        <v>-5.8308262377977399E-2</v>
      </c>
      <c r="AV159">
        <v>-0.11687808483839</v>
      </c>
      <c r="AW159">
        <v>-0.21408244967460599</v>
      </c>
      <c r="AX159">
        <v>-0.44582086801528897</v>
      </c>
      <c r="AY159">
        <v>-0.63688844442367598</v>
      </c>
      <c r="AZ159">
        <v>-0.72985160350799605</v>
      </c>
      <c r="BA159">
        <v>-0.80401235818862904</v>
      </c>
      <c r="BB159">
        <v>-0.68662780523300204</v>
      </c>
      <c r="BC159">
        <v>-0.72646343708038297</v>
      </c>
      <c r="BD159">
        <v>-0.66776859760284402</v>
      </c>
      <c r="BE159">
        <v>-0.66245418787002597</v>
      </c>
      <c r="BF159">
        <v>-0.71422380208969105</v>
      </c>
      <c r="BG159">
        <v>-0.85391879081726096</v>
      </c>
      <c r="BH159">
        <v>-0.801780104637146</v>
      </c>
      <c r="BI159">
        <v>-0.63371813297271695</v>
      </c>
      <c r="BJ159">
        <v>-0.80641978979110696</v>
      </c>
      <c r="BK159">
        <v>-0.67384701967239402</v>
      </c>
      <c r="BL159">
        <v>-0.84186917543411299</v>
      </c>
      <c r="BM159">
        <v>-0.79145574569702104</v>
      </c>
      <c r="BN159">
        <v>-0.68761587142944303</v>
      </c>
      <c r="BO159">
        <v>-0.68926811218261697</v>
      </c>
      <c r="BP159">
        <v>-0.63076102733612105</v>
      </c>
    </row>
    <row r="160" spans="1:68" x14ac:dyDescent="0.25">
      <c r="A160" t="s">
        <v>1353</v>
      </c>
      <c r="B160" t="s">
        <v>1354</v>
      </c>
      <c r="C160" t="s">
        <v>1044</v>
      </c>
      <c r="D160" t="s">
        <v>1045</v>
      </c>
      <c r="AV160">
        <v>1.1697852611541699</v>
      </c>
      <c r="AW160">
        <v>1.13185334205627</v>
      </c>
      <c r="AX160">
        <v>1.0707448720932</v>
      </c>
      <c r="AY160">
        <v>1.04072260856628</v>
      </c>
      <c r="AZ160">
        <v>1.0889655351638801</v>
      </c>
      <c r="BA160">
        <v>1.0120828151702901</v>
      </c>
      <c r="BB160">
        <v>1.3850017786026001</v>
      </c>
      <c r="BC160">
        <v>1.15306556224823</v>
      </c>
      <c r="BD160">
        <v>1.0618038177490201</v>
      </c>
      <c r="BE160">
        <v>1.02640020847321</v>
      </c>
      <c r="BF160">
        <v>1.054114818573</v>
      </c>
      <c r="BG160">
        <v>0.98958575725555398</v>
      </c>
      <c r="BH160">
        <v>1.00298595428467</v>
      </c>
      <c r="BI160">
        <v>0.83496367931366</v>
      </c>
      <c r="BJ160">
        <v>1.0345875024795499</v>
      </c>
      <c r="BK160">
        <v>0.998790442943573</v>
      </c>
      <c r="BL160">
        <v>1.17230677604675</v>
      </c>
      <c r="BM160">
        <v>0.98241317272186302</v>
      </c>
      <c r="BN160">
        <v>0.93417453765869096</v>
      </c>
      <c r="BO160">
        <v>1.0159205198287999</v>
      </c>
      <c r="BP160">
        <v>1.1849790811538701</v>
      </c>
    </row>
    <row r="161" spans="1:68" x14ac:dyDescent="0.25">
      <c r="A161" t="s">
        <v>1355</v>
      </c>
      <c r="B161" t="s">
        <v>1356</v>
      </c>
      <c r="C161" t="s">
        <v>1044</v>
      </c>
      <c r="D161" t="s">
        <v>1045</v>
      </c>
    </row>
    <row r="162" spans="1:68" x14ac:dyDescent="0.25">
      <c r="A162" t="s">
        <v>1357</v>
      </c>
      <c r="B162" t="s">
        <v>1358</v>
      </c>
      <c r="C162" t="s">
        <v>1044</v>
      </c>
      <c r="D162" t="s">
        <v>1045</v>
      </c>
      <c r="AO162">
        <v>-0.48037654161453203</v>
      </c>
      <c r="AQ162">
        <v>-0.712693691253662</v>
      </c>
      <c r="AS162">
        <v>-0.61401706933975198</v>
      </c>
      <c r="AU162">
        <v>-1.0382194519043</v>
      </c>
      <c r="AV162">
        <v>-0.98819470405578602</v>
      </c>
      <c r="AW162">
        <v>-0.85100829601287797</v>
      </c>
      <c r="AX162">
        <v>-1.1559752225875899</v>
      </c>
      <c r="AY162">
        <v>-0.73657530546188399</v>
      </c>
      <c r="AZ162">
        <v>-0.42652526497840898</v>
      </c>
      <c r="BA162">
        <v>-0.29572057723999001</v>
      </c>
      <c r="BB162">
        <v>-0.29855588078498801</v>
      </c>
      <c r="BC162">
        <v>-0.51851707696914695</v>
      </c>
      <c r="BD162">
        <v>-0.61796379089355502</v>
      </c>
      <c r="BE162">
        <v>-0.492649525403976</v>
      </c>
      <c r="BF162">
        <v>-0.41607639193534901</v>
      </c>
      <c r="BG162">
        <v>0.25638294219970698</v>
      </c>
      <c r="BH162">
        <v>-0.292592734098434</v>
      </c>
      <c r="BI162">
        <v>-0.35531261563301098</v>
      </c>
      <c r="BJ162">
        <v>-0.25888076424598699</v>
      </c>
      <c r="BK162">
        <v>-0.21190592646598799</v>
      </c>
      <c r="BL162">
        <v>8.1416917964816093E-3</v>
      </c>
      <c r="BM162">
        <v>0.112060539424419</v>
      </c>
      <c r="BN162">
        <v>6.2484078109264402E-2</v>
      </c>
      <c r="BO162">
        <v>0.18083928525447801</v>
      </c>
      <c r="BP162">
        <v>0.17030650377273601</v>
      </c>
    </row>
    <row r="163" spans="1:68" x14ac:dyDescent="0.25">
      <c r="A163" t="s">
        <v>1359</v>
      </c>
      <c r="B163" t="s">
        <v>1360</v>
      </c>
      <c r="C163" t="s">
        <v>1044</v>
      </c>
      <c r="D163" t="s">
        <v>1045</v>
      </c>
      <c r="AO163">
        <v>0.36516043543815602</v>
      </c>
      <c r="AQ163">
        <v>0.42693576216697698</v>
      </c>
      <c r="AS163">
        <v>0.24010974168777499</v>
      </c>
      <c r="AU163">
        <v>0.41083121299743702</v>
      </c>
      <c r="AV163">
        <v>0.25770181417465199</v>
      </c>
      <c r="AW163">
        <v>0.452396661043167</v>
      </c>
      <c r="AX163">
        <v>0.173916295170784</v>
      </c>
      <c r="AY163">
        <v>0.41419690847396901</v>
      </c>
      <c r="AZ163">
        <v>0.230479195713997</v>
      </c>
      <c r="BA163">
        <v>0.20999889075756101</v>
      </c>
      <c r="BB163">
        <v>-7.5577624142169994E-2</v>
      </c>
      <c r="BC163">
        <v>-0.18289922177791601</v>
      </c>
      <c r="BD163">
        <v>-0.70837974548339799</v>
      </c>
      <c r="BE163">
        <v>-2.0343286991119398</v>
      </c>
      <c r="BF163">
        <v>-1.72216212749481</v>
      </c>
      <c r="BG163">
        <v>-1.71398878097534</v>
      </c>
      <c r="BH163">
        <v>-1.6827712059021001</v>
      </c>
      <c r="BI163">
        <v>-1.61284875869751</v>
      </c>
      <c r="BJ163">
        <v>-1.90349173545837</v>
      </c>
      <c r="BK163">
        <v>-2.0845730304718</v>
      </c>
      <c r="BL163">
        <v>-2.2143087387085001</v>
      </c>
      <c r="BM163">
        <v>-2.1463520526886</v>
      </c>
      <c r="BN163">
        <v>-2.33293581008911</v>
      </c>
      <c r="BO163">
        <v>-2.5607435703277601</v>
      </c>
      <c r="BP163">
        <v>-2.7291362285614</v>
      </c>
    </row>
    <row r="164" spans="1:68" x14ac:dyDescent="0.25">
      <c r="A164" t="s">
        <v>1361</v>
      </c>
      <c r="B164" t="s">
        <v>1362</v>
      </c>
      <c r="C164" t="s">
        <v>1044</v>
      </c>
      <c r="D164" t="s">
        <v>1045</v>
      </c>
      <c r="AO164">
        <v>1.32520198822021</v>
      </c>
      <c r="AQ164">
        <v>1.42638552188873</v>
      </c>
      <c r="AS164">
        <v>1.58620870113373</v>
      </c>
      <c r="AU164">
        <v>1.5982633829116799</v>
      </c>
      <c r="AV164">
        <v>1.5477762222289999</v>
      </c>
      <c r="AW164">
        <v>1.3176423311233501</v>
      </c>
      <c r="AX164">
        <v>1.3803571462631199</v>
      </c>
      <c r="AY164">
        <v>1.23125755786896</v>
      </c>
      <c r="AZ164">
        <v>1.26963186264038</v>
      </c>
      <c r="BA164">
        <v>1.27317667007446</v>
      </c>
      <c r="BB164">
        <v>1.2493600845336901</v>
      </c>
      <c r="BC164">
        <v>1.25345623493195</v>
      </c>
      <c r="BD164">
        <v>1.06393671035767</v>
      </c>
      <c r="BE164">
        <v>1.06507515907288</v>
      </c>
      <c r="BF164">
        <v>1.04275786876678</v>
      </c>
      <c r="BG164">
        <v>1.1254969835281401</v>
      </c>
      <c r="BH164">
        <v>1.05367743968964</v>
      </c>
      <c r="BI164">
        <v>1.0664597749710101</v>
      </c>
      <c r="BJ164">
        <v>1.23830890655518</v>
      </c>
      <c r="BK164">
        <v>1.2716491222381601</v>
      </c>
      <c r="BL164">
        <v>1.01364505290985</v>
      </c>
      <c r="BM164">
        <v>0.99847799539565996</v>
      </c>
      <c r="BN164">
        <v>0.88751447200775102</v>
      </c>
      <c r="BO164">
        <v>0.91101431846618697</v>
      </c>
      <c r="BP164">
        <v>0.85812169313430797</v>
      </c>
    </row>
    <row r="165" spans="1:68" x14ac:dyDescent="0.25">
      <c r="A165" t="s">
        <v>1363</v>
      </c>
      <c r="B165" t="s">
        <v>1364</v>
      </c>
      <c r="C165" t="s">
        <v>1044</v>
      </c>
      <c r="D165" t="s">
        <v>1045</v>
      </c>
      <c r="AO165">
        <v>-1.2588020563125599</v>
      </c>
      <c r="AQ165">
        <v>-1.4859855175018299</v>
      </c>
      <c r="AS165">
        <v>-1.67352259159088</v>
      </c>
      <c r="AU165">
        <v>-1.40995764732361</v>
      </c>
      <c r="AV165">
        <v>-1.1537435054779099</v>
      </c>
      <c r="AW165">
        <v>-0.98474138975143399</v>
      </c>
      <c r="AX165">
        <v>-0.89924615621566795</v>
      </c>
      <c r="AY165">
        <v>-0.85037243366241499</v>
      </c>
      <c r="AZ165">
        <v>-1.06611335277557</v>
      </c>
      <c r="BA165">
        <v>-1.0918037891387899</v>
      </c>
      <c r="BB165">
        <v>-1.2944188117980999</v>
      </c>
      <c r="BC165">
        <v>-1.28592801094055</v>
      </c>
      <c r="BD165">
        <v>-1.1110984086990401</v>
      </c>
      <c r="BE165">
        <v>-0.94367498159408603</v>
      </c>
      <c r="BF165">
        <v>-1.1403723955154399</v>
      </c>
      <c r="BG165">
        <v>-1.08758068084717</v>
      </c>
      <c r="BH165">
        <v>-1.16666913032532</v>
      </c>
      <c r="BI165">
        <v>-0.808124959468842</v>
      </c>
      <c r="BJ165">
        <v>-1.08409464359283</v>
      </c>
      <c r="BK165">
        <v>-1.2669756412506099</v>
      </c>
      <c r="BL165">
        <v>-1.3305016756057699</v>
      </c>
      <c r="BM165">
        <v>-1.5117404460907</v>
      </c>
      <c r="BN165">
        <v>-2.0840792655944802</v>
      </c>
      <c r="BO165">
        <v>-2.1957139968872101</v>
      </c>
      <c r="BP165">
        <v>-2.1252701282501198</v>
      </c>
    </row>
    <row r="166" spans="1:68" x14ac:dyDescent="0.25">
      <c r="A166" t="s">
        <v>1365</v>
      </c>
      <c r="B166" t="s">
        <v>1366</v>
      </c>
      <c r="C166" t="s">
        <v>1044</v>
      </c>
      <c r="D166" t="s">
        <v>1045</v>
      </c>
    </row>
    <row r="167" spans="1:68" x14ac:dyDescent="0.25">
      <c r="A167" t="s">
        <v>1367</v>
      </c>
      <c r="B167" t="s">
        <v>1368</v>
      </c>
      <c r="C167" t="s">
        <v>1044</v>
      </c>
      <c r="D167" t="s">
        <v>1045</v>
      </c>
      <c r="AY167">
        <v>4.7549605369567899E-2</v>
      </c>
      <c r="AZ167">
        <v>0.108533091843128</v>
      </c>
      <c r="BA167">
        <v>0.76770061254501298</v>
      </c>
      <c r="BB167">
        <v>0.81737214326858498</v>
      </c>
      <c r="BC167">
        <v>0.58421099185943604</v>
      </c>
      <c r="BD167">
        <v>0.56534153223037698</v>
      </c>
      <c r="BE167">
        <v>0.596563041210175</v>
      </c>
      <c r="BF167">
        <v>0.50459545850753795</v>
      </c>
      <c r="BG167">
        <v>0.219455271959305</v>
      </c>
      <c r="BH167">
        <v>0.136638209223747</v>
      </c>
      <c r="BI167">
        <v>0.26871621608734098</v>
      </c>
      <c r="BJ167">
        <v>-6.2577493488788605E-2</v>
      </c>
      <c r="BK167">
        <v>3.7695564329624197E-2</v>
      </c>
      <c r="BL167">
        <v>5.8068647980690002E-2</v>
      </c>
      <c r="BM167">
        <v>-6.11971393227577E-2</v>
      </c>
      <c r="BN167">
        <v>-5.2444636821746798E-2</v>
      </c>
      <c r="BO167">
        <v>-0.14088147878646901</v>
      </c>
      <c r="BP167">
        <v>6.9302290678024306E-2</v>
      </c>
    </row>
    <row r="168" spans="1:68" x14ac:dyDescent="0.25">
      <c r="A168" t="s">
        <v>1369</v>
      </c>
      <c r="B168" t="s">
        <v>1370</v>
      </c>
      <c r="C168" t="s">
        <v>1044</v>
      </c>
      <c r="D168" t="s">
        <v>1045</v>
      </c>
      <c r="AO168">
        <v>0.74721646308898904</v>
      </c>
      <c r="AQ168">
        <v>0.35268867015838601</v>
      </c>
      <c r="AS168">
        <v>0.82186812162399303</v>
      </c>
      <c r="AU168">
        <v>1.1709785461425799</v>
      </c>
      <c r="AV168">
        <v>0.96329414844512895</v>
      </c>
      <c r="AW168">
        <v>0.77529317140579201</v>
      </c>
      <c r="AX168">
        <v>0.87871235609054599</v>
      </c>
      <c r="AY168">
        <v>0.64690697193145796</v>
      </c>
      <c r="AZ168">
        <v>0.66837775707244895</v>
      </c>
      <c r="BA168">
        <v>0.53978484869003296</v>
      </c>
      <c r="BB168">
        <v>0.60998743772506703</v>
      </c>
      <c r="BC168">
        <v>0.59704226255416903</v>
      </c>
      <c r="BD168">
        <v>0.60653889179229703</v>
      </c>
      <c r="BE168">
        <v>0.47113481163978599</v>
      </c>
      <c r="BF168">
        <v>0.49132078886032099</v>
      </c>
      <c r="BG168">
        <v>0.79190117120742798</v>
      </c>
      <c r="BH168">
        <v>0.71183198690414395</v>
      </c>
      <c r="BI168">
        <v>0.78760010004043601</v>
      </c>
      <c r="BJ168">
        <v>0.78337222337722801</v>
      </c>
      <c r="BK168">
        <v>0.83126026391982999</v>
      </c>
      <c r="BL168">
        <v>0.63675093650817904</v>
      </c>
      <c r="BM168">
        <v>0.71783655881881703</v>
      </c>
      <c r="BN168">
        <v>0.705918788909912</v>
      </c>
      <c r="BO168">
        <v>0.529954373836517</v>
      </c>
      <c r="BP168">
        <v>0.59266978502273604</v>
      </c>
    </row>
    <row r="169" spans="1:68" x14ac:dyDescent="0.25">
      <c r="A169" t="s">
        <v>1371</v>
      </c>
      <c r="B169" t="s">
        <v>1372</v>
      </c>
      <c r="C169" t="s">
        <v>1044</v>
      </c>
      <c r="D169" t="s">
        <v>1045</v>
      </c>
    </row>
    <row r="170" spans="1:68" x14ac:dyDescent="0.25">
      <c r="A170" t="s">
        <v>1373</v>
      </c>
      <c r="B170" t="s">
        <v>1374</v>
      </c>
      <c r="C170" t="s">
        <v>1044</v>
      </c>
      <c r="D170" t="s">
        <v>1045</v>
      </c>
      <c r="AO170">
        <v>-4.9991495907306699E-2</v>
      </c>
      <c r="AQ170">
        <v>0.111920341849327</v>
      </c>
      <c r="AS170">
        <v>-0.12580338120460499</v>
      </c>
      <c r="AU170">
        <v>0.18849223852157601</v>
      </c>
      <c r="AV170">
        <v>0.246098503470421</v>
      </c>
      <c r="AW170">
        <v>3.25646600686014E-3</v>
      </c>
      <c r="AX170">
        <v>0.125595733523369</v>
      </c>
      <c r="AY170">
        <v>0.52010101079940796</v>
      </c>
      <c r="AZ170">
        <v>0.35761559009552002</v>
      </c>
      <c r="BA170">
        <v>0.38309648633003202</v>
      </c>
      <c r="BB170">
        <v>0.62537962198257402</v>
      </c>
      <c r="BC170">
        <v>0.39442187547683699</v>
      </c>
      <c r="BD170">
        <v>0.33204826712608299</v>
      </c>
      <c r="BE170">
        <v>0.39049369096755998</v>
      </c>
      <c r="BF170">
        <v>-0.22696647047996499</v>
      </c>
      <c r="BG170">
        <v>-0.336002737283707</v>
      </c>
      <c r="BH170">
        <v>-0.51643556356430098</v>
      </c>
      <c r="BI170">
        <v>-1.0968146324157699</v>
      </c>
      <c r="BJ170">
        <v>-0.91809850931167603</v>
      </c>
      <c r="BK170">
        <v>-0.833229660987854</v>
      </c>
      <c r="BL170">
        <v>-0.76572006940841697</v>
      </c>
      <c r="BM170">
        <v>-1.2831234931945801</v>
      </c>
      <c r="BN170">
        <v>-1.25703620910645</v>
      </c>
      <c r="BO170">
        <v>-1.26560831069946</v>
      </c>
      <c r="BP170">
        <v>-1.2686913013458301</v>
      </c>
    </row>
    <row r="171" spans="1:68" x14ac:dyDescent="0.25">
      <c r="A171" t="s">
        <v>1375</v>
      </c>
      <c r="B171" t="s">
        <v>1376</v>
      </c>
      <c r="C171" t="s">
        <v>1044</v>
      </c>
      <c r="D171" t="s">
        <v>1045</v>
      </c>
      <c r="AO171">
        <v>0.36849319934844998</v>
      </c>
      <c r="AQ171">
        <v>0.35281193256378202</v>
      </c>
      <c r="AS171">
        <v>0.34523448348045299</v>
      </c>
      <c r="AU171">
        <v>0.382046699523926</v>
      </c>
      <c r="AV171">
        <v>5.9730738401412999E-2</v>
      </c>
      <c r="AW171">
        <v>-0.16634014248848</v>
      </c>
      <c r="AX171">
        <v>-0.22449594736099199</v>
      </c>
      <c r="AY171">
        <v>0.240350216627121</v>
      </c>
      <c r="AZ171">
        <v>-0.27936801314353898</v>
      </c>
      <c r="BA171">
        <v>-0.64388167858123802</v>
      </c>
      <c r="BB171">
        <v>-0.882854044437408</v>
      </c>
      <c r="BC171">
        <v>-1.0761698484420801</v>
      </c>
      <c r="BD171">
        <v>-1.17367887496948</v>
      </c>
      <c r="BE171">
        <v>-1.1339917182922401</v>
      </c>
      <c r="BF171">
        <v>-1.0147614479064899</v>
      </c>
      <c r="BG171">
        <v>-0.58950835466384899</v>
      </c>
      <c r="BH171">
        <v>-0.63568484783172596</v>
      </c>
      <c r="BI171">
        <v>-0.74869155883789096</v>
      </c>
      <c r="BJ171">
        <v>-0.62949776649475098</v>
      </c>
      <c r="BK171">
        <v>-0.63238281011581399</v>
      </c>
      <c r="BL171">
        <v>-0.56292116641998302</v>
      </c>
      <c r="BM171">
        <v>-0.700949966907501</v>
      </c>
      <c r="BN171">
        <v>-0.55551385879516602</v>
      </c>
      <c r="BO171">
        <v>-0.51694935560226396</v>
      </c>
      <c r="BP171">
        <v>-0.50342398881912198</v>
      </c>
    </row>
    <row r="172" spans="1:68" x14ac:dyDescent="0.25">
      <c r="A172" t="s">
        <v>1377</v>
      </c>
      <c r="B172" t="s">
        <v>1378</v>
      </c>
      <c r="C172" t="s">
        <v>1044</v>
      </c>
      <c r="D172" t="s">
        <v>1045</v>
      </c>
      <c r="AO172">
        <v>1.0893756151199301</v>
      </c>
      <c r="AQ172">
        <v>0.96795606613159202</v>
      </c>
      <c r="AS172">
        <v>0.75474840402603105</v>
      </c>
      <c r="AU172">
        <v>1.11665415763855</v>
      </c>
      <c r="AV172">
        <v>1.0094144344329801</v>
      </c>
      <c r="AW172">
        <v>0.97453272342681896</v>
      </c>
      <c r="AX172">
        <v>1.02774882316589</v>
      </c>
      <c r="AY172">
        <v>0.78088998794555697</v>
      </c>
      <c r="AZ172">
        <v>0.87928807735443104</v>
      </c>
      <c r="BA172">
        <v>0.89055144786834695</v>
      </c>
      <c r="BB172">
        <v>0.70776665210723899</v>
      </c>
      <c r="BC172">
        <v>0.6402587890625</v>
      </c>
      <c r="BD172">
        <v>0.94649940729141202</v>
      </c>
      <c r="BE172">
        <v>0.97131240367889404</v>
      </c>
      <c r="BF172">
        <v>0.94480174779892001</v>
      </c>
      <c r="BG172">
        <v>0.667965948581696</v>
      </c>
      <c r="BH172">
        <v>0.98863232135772705</v>
      </c>
      <c r="BI172">
        <v>0.99921816587448098</v>
      </c>
      <c r="BJ172">
        <v>0.96236556768417403</v>
      </c>
      <c r="BK172">
        <v>0.85958534479141202</v>
      </c>
      <c r="BL172">
        <v>0.80200821161270097</v>
      </c>
      <c r="BM172">
        <v>0.87304550409317005</v>
      </c>
      <c r="BN172">
        <v>0.83259558677673295</v>
      </c>
      <c r="BO172">
        <v>0.83002358675003096</v>
      </c>
      <c r="BP172">
        <v>0.77541881799697898</v>
      </c>
    </row>
    <row r="173" spans="1:68" x14ac:dyDescent="0.25">
      <c r="A173" t="s">
        <v>1379</v>
      </c>
      <c r="B173" t="s">
        <v>1380</v>
      </c>
      <c r="C173" t="s">
        <v>1044</v>
      </c>
      <c r="D173" t="s">
        <v>1045</v>
      </c>
      <c r="AO173">
        <v>-0.45672073960304299</v>
      </c>
      <c r="AQ173">
        <v>-6.9941163063049303E-2</v>
      </c>
      <c r="AS173">
        <v>-0.325264573097229</v>
      </c>
      <c r="AU173">
        <v>8.1201391294598597E-3</v>
      </c>
      <c r="AV173">
        <v>4.15767580270767E-2</v>
      </c>
      <c r="AW173">
        <v>0.123799182474613</v>
      </c>
      <c r="AX173">
        <v>0.106631450355053</v>
      </c>
      <c r="AY173">
        <v>0.120091959834099</v>
      </c>
      <c r="AZ173">
        <v>8.2379281520843506E-2</v>
      </c>
      <c r="BA173">
        <v>-6.1070624738931698E-2</v>
      </c>
      <c r="BB173">
        <v>5.3666811436414698E-2</v>
      </c>
      <c r="BC173">
        <v>4.3895766139030498E-2</v>
      </c>
      <c r="BD173">
        <v>-7.2912722826004001E-2</v>
      </c>
      <c r="BE173">
        <v>-2.6861692313104898E-3</v>
      </c>
      <c r="BF173">
        <v>-0.20580980181694</v>
      </c>
      <c r="BG173">
        <v>8.1093207001686096E-2</v>
      </c>
      <c r="BH173">
        <v>3.4293275326490402E-2</v>
      </c>
      <c r="BI173">
        <v>-0.11612751334905599</v>
      </c>
      <c r="BJ173">
        <v>-0.24982817471027399</v>
      </c>
      <c r="BK173">
        <v>-0.43121528625488298</v>
      </c>
      <c r="BL173">
        <v>-0.28681960701942399</v>
      </c>
      <c r="BM173">
        <v>-0.118886552751064</v>
      </c>
      <c r="BN173">
        <v>-0.10926304012537</v>
      </c>
      <c r="BO173">
        <v>-0.157983273267746</v>
      </c>
      <c r="BP173">
        <v>-0.23561564087867701</v>
      </c>
    </row>
    <row r="174" spans="1:68" x14ac:dyDescent="0.25">
      <c r="A174" t="s">
        <v>1381</v>
      </c>
      <c r="B174" t="s">
        <v>1382</v>
      </c>
      <c r="C174" t="s">
        <v>1044</v>
      </c>
      <c r="D174" t="s">
        <v>1045</v>
      </c>
      <c r="AO174">
        <v>0.57122015953063998</v>
      </c>
      <c r="AQ174">
        <v>-3.8123466074466698E-2</v>
      </c>
      <c r="AS174">
        <v>9.2691197991371196E-2</v>
      </c>
      <c r="AU174">
        <v>0.53959411382675204</v>
      </c>
      <c r="AV174">
        <v>0.48553487658500699</v>
      </c>
      <c r="AW174">
        <v>0.34800398349762002</v>
      </c>
      <c r="AX174">
        <v>0.56644916534423795</v>
      </c>
      <c r="AY174">
        <v>0.28837969899177601</v>
      </c>
      <c r="AZ174">
        <v>0.19330716133117701</v>
      </c>
      <c r="BA174">
        <v>0.108542367815971</v>
      </c>
      <c r="BB174">
        <v>-4.1660919785499601E-2</v>
      </c>
      <c r="BC174">
        <v>0.143352136015892</v>
      </c>
      <c r="BD174">
        <v>7.7409766614437103E-2</v>
      </c>
      <c r="BE174">
        <v>-5.2124024368822601E-3</v>
      </c>
      <c r="BF174">
        <v>5.1791593432426501E-2</v>
      </c>
      <c r="BG174">
        <v>0.26661914587020902</v>
      </c>
      <c r="BH174">
        <v>0.25394731760025002</v>
      </c>
      <c r="BI174">
        <v>0.12948593497276301</v>
      </c>
      <c r="BJ174">
        <v>0.111209630966187</v>
      </c>
      <c r="BK174">
        <v>0.24811367690563199</v>
      </c>
      <c r="BL174">
        <v>0.14648012816906</v>
      </c>
      <c r="BM174">
        <v>0.12586469948291801</v>
      </c>
      <c r="BN174">
        <v>5.9556547552347197E-2</v>
      </c>
      <c r="BO174">
        <v>0.163117811083794</v>
      </c>
      <c r="BP174">
        <v>0.16851469874382</v>
      </c>
    </row>
    <row r="175" spans="1:68" x14ac:dyDescent="0.25">
      <c r="A175" t="s">
        <v>1383</v>
      </c>
      <c r="B175" t="s">
        <v>1384</v>
      </c>
      <c r="C175" t="s">
        <v>1044</v>
      </c>
      <c r="D175" t="s">
        <v>1045</v>
      </c>
    </row>
    <row r="176" spans="1:68" x14ac:dyDescent="0.25">
      <c r="A176" t="s">
        <v>1385</v>
      </c>
      <c r="B176" t="s">
        <v>1386</v>
      </c>
      <c r="C176" t="s">
        <v>1044</v>
      </c>
      <c r="D176" t="s">
        <v>1045</v>
      </c>
      <c r="AO176">
        <v>0.85437119007110596</v>
      </c>
      <c r="AQ176">
        <v>0.50556892156600997</v>
      </c>
      <c r="AS176">
        <v>-0.25010061264038103</v>
      </c>
      <c r="AU176">
        <v>0.14875116944312999</v>
      </c>
      <c r="AV176">
        <v>0.47807434201240501</v>
      </c>
      <c r="AW176">
        <v>0.66476303339004505</v>
      </c>
      <c r="AX176">
        <v>0.62597608566284202</v>
      </c>
      <c r="AY176">
        <v>0.78224956989288297</v>
      </c>
      <c r="AZ176">
        <v>1.01876068115234</v>
      </c>
      <c r="BA176">
        <v>1.2010148763656601</v>
      </c>
      <c r="BB176">
        <v>0.929570853710175</v>
      </c>
      <c r="BC176">
        <v>0.84694004058837902</v>
      </c>
      <c r="BD176">
        <v>0.91165751218795799</v>
      </c>
      <c r="BE176">
        <v>0.97810429334640503</v>
      </c>
      <c r="BF176">
        <v>0.95880997180938698</v>
      </c>
      <c r="BG176">
        <v>0.60874062776565596</v>
      </c>
      <c r="BH176">
        <v>0.72526025772094704</v>
      </c>
      <c r="BI176">
        <v>0.69952899217605602</v>
      </c>
      <c r="BJ176">
        <v>0.62190634012222301</v>
      </c>
      <c r="BK176">
        <v>0.68511849641799905</v>
      </c>
      <c r="BL176">
        <v>0.52889049053192105</v>
      </c>
      <c r="BM176">
        <v>0.51243156194686901</v>
      </c>
      <c r="BN176">
        <v>0.51878929138183605</v>
      </c>
      <c r="BO176">
        <v>0.55988574028015103</v>
      </c>
      <c r="BP176">
        <v>0.54477721452713002</v>
      </c>
    </row>
    <row r="177" spans="1:68" x14ac:dyDescent="0.25">
      <c r="A177" t="s">
        <v>1387</v>
      </c>
      <c r="B177" t="s">
        <v>1388</v>
      </c>
      <c r="C177" t="s">
        <v>1044</v>
      </c>
      <c r="D177" t="s">
        <v>1045</v>
      </c>
    </row>
    <row r="178" spans="1:68" x14ac:dyDescent="0.25">
      <c r="A178" t="s">
        <v>1389</v>
      </c>
      <c r="B178" t="s">
        <v>1390</v>
      </c>
      <c r="C178" t="s">
        <v>1044</v>
      </c>
      <c r="D178" t="s">
        <v>1045</v>
      </c>
      <c r="AO178">
        <v>2.6145847514271701E-2</v>
      </c>
      <c r="AQ178">
        <v>-0.31558752059936501</v>
      </c>
      <c r="AS178">
        <v>0.124968029558659</v>
      </c>
      <c r="AU178">
        <v>-0.12955479323864</v>
      </c>
      <c r="AV178">
        <v>4.2194887995719903E-2</v>
      </c>
      <c r="AW178">
        <v>-0.50527083873748802</v>
      </c>
      <c r="AX178">
        <v>-0.48601070046424899</v>
      </c>
      <c r="AY178">
        <v>-0.227475315332413</v>
      </c>
      <c r="AZ178">
        <v>-0.45975315570831299</v>
      </c>
      <c r="BA178">
        <v>-0.670321345329285</v>
      </c>
      <c r="BB178">
        <v>-1.1500377655029299</v>
      </c>
      <c r="BC178">
        <v>-1.16074454784393</v>
      </c>
      <c r="BD178">
        <v>-0.878004491329193</v>
      </c>
      <c r="BE178">
        <v>-1.1481308937072801</v>
      </c>
      <c r="BF178">
        <v>-1.32179939746857</v>
      </c>
      <c r="BG178">
        <v>-1.1758404970169101</v>
      </c>
      <c r="BH178">
        <v>-1.05970323085785</v>
      </c>
      <c r="BI178">
        <v>-1.10075747966766</v>
      </c>
      <c r="BJ178">
        <v>-1.25950562953949</v>
      </c>
      <c r="BK178">
        <v>-1.35827600955963</v>
      </c>
      <c r="BL178">
        <v>-1.40500640869141</v>
      </c>
      <c r="BM178">
        <v>-1.66720771789551</v>
      </c>
      <c r="BN178">
        <v>-1.5385499000549301</v>
      </c>
      <c r="BO178">
        <v>-1.4643923044204701</v>
      </c>
      <c r="BP178">
        <v>-1.6688596010208101</v>
      </c>
    </row>
    <row r="179" spans="1:68" x14ac:dyDescent="0.25">
      <c r="A179" t="s">
        <v>1391</v>
      </c>
      <c r="B179" t="s">
        <v>1392</v>
      </c>
      <c r="C179" t="s">
        <v>1044</v>
      </c>
      <c r="D179" t="s">
        <v>1045</v>
      </c>
      <c r="AO179">
        <v>-1.0569082498550399</v>
      </c>
      <c r="AQ179">
        <v>-0.58824372291564897</v>
      </c>
      <c r="AS179">
        <v>-1.4553263187408401</v>
      </c>
      <c r="AU179">
        <v>-1.6263293027877801</v>
      </c>
      <c r="AV179">
        <v>-1.6355882883071899</v>
      </c>
      <c r="AW179">
        <v>-1.75441575050354</v>
      </c>
      <c r="AX179">
        <v>-1.6665004491805999</v>
      </c>
      <c r="AY179">
        <v>-2.0340776443481401</v>
      </c>
      <c r="AZ179">
        <v>-2.0140564441680899</v>
      </c>
      <c r="BA179">
        <v>-1.86071193218231</v>
      </c>
      <c r="BB179">
        <v>-1.9945538043975799</v>
      </c>
      <c r="BC179">
        <v>-2.2111232280731201</v>
      </c>
      <c r="BD179">
        <v>-1.95645451545715</v>
      </c>
      <c r="BE179">
        <v>-2.0420737266540501</v>
      </c>
      <c r="BF179">
        <v>-2.0884783267974898</v>
      </c>
      <c r="BG179">
        <v>-2.1302764415740998</v>
      </c>
      <c r="BH179">
        <v>-1.9217051267623899</v>
      </c>
      <c r="BI179">
        <v>-1.87388896942139</v>
      </c>
      <c r="BJ179">
        <v>-1.9967179298400899</v>
      </c>
      <c r="BK179">
        <v>-2.0975270271301301</v>
      </c>
      <c r="BL179">
        <v>-1.93315482139587</v>
      </c>
      <c r="BM179">
        <v>-1.8920146226882899</v>
      </c>
      <c r="BN179">
        <v>-1.7873846292495701</v>
      </c>
      <c r="BO179">
        <v>-1.7789014577865601</v>
      </c>
      <c r="BP179">
        <v>-1.7684383392334</v>
      </c>
    </row>
    <row r="180" spans="1:68" x14ac:dyDescent="0.25">
      <c r="A180" t="s">
        <v>1393</v>
      </c>
      <c r="B180" t="s">
        <v>1394</v>
      </c>
      <c r="C180" t="s">
        <v>1044</v>
      </c>
      <c r="D180" t="s">
        <v>1045</v>
      </c>
      <c r="AO180">
        <v>-0.51774317026138295</v>
      </c>
      <c r="AQ180">
        <v>-0.49216237664222701</v>
      </c>
      <c r="AS180">
        <v>-6.6172294318675995E-2</v>
      </c>
      <c r="AU180">
        <v>-9.3183673918247195E-2</v>
      </c>
      <c r="AV180">
        <v>-0.36829921603202798</v>
      </c>
      <c r="AW180">
        <v>-0.341314166784286</v>
      </c>
      <c r="AX180">
        <v>-0.33923292160034202</v>
      </c>
      <c r="AY180">
        <v>-0.267819613218307</v>
      </c>
      <c r="AZ180">
        <v>-0.12037090212106701</v>
      </c>
      <c r="BA180">
        <v>-0.222542554140091</v>
      </c>
      <c r="BB180">
        <v>-0.30579379200935403</v>
      </c>
      <c r="BC180">
        <v>-0.49970924854278598</v>
      </c>
      <c r="BD180">
        <v>-0.26973581314086897</v>
      </c>
      <c r="BE180">
        <v>-0.34877756237983698</v>
      </c>
      <c r="BF180">
        <v>-0.24921587109565699</v>
      </c>
      <c r="BG180">
        <v>-4.0780123323202098E-2</v>
      </c>
      <c r="BH180">
        <v>-9.2195525765419006E-2</v>
      </c>
      <c r="BI180">
        <v>-9.5483571290969793E-2</v>
      </c>
      <c r="BJ180">
        <v>-5.3822666406631497E-2</v>
      </c>
      <c r="BK180">
        <v>-0.95092803239822399</v>
      </c>
      <c r="BL180">
        <v>-0.99250072240829501</v>
      </c>
      <c r="BM180">
        <v>-0.58571946620941195</v>
      </c>
      <c r="BN180">
        <v>-0.47197532653808599</v>
      </c>
      <c r="BO180">
        <v>-0.35851177573204002</v>
      </c>
      <c r="BP180">
        <v>-0.125550046563148</v>
      </c>
    </row>
    <row r="181" spans="1:68" x14ac:dyDescent="0.25">
      <c r="A181" t="s">
        <v>1395</v>
      </c>
      <c r="B181" t="s">
        <v>1396</v>
      </c>
      <c r="C181" t="s">
        <v>1044</v>
      </c>
      <c r="D181" t="s">
        <v>1045</v>
      </c>
      <c r="AO181">
        <v>1.5261257886886599</v>
      </c>
      <c r="AQ181">
        <v>1.59480345249176</v>
      </c>
      <c r="AS181">
        <v>1.7586811780929601</v>
      </c>
      <c r="AU181">
        <v>1.30267989635468</v>
      </c>
      <c r="AV181">
        <v>1.1618056297302199</v>
      </c>
      <c r="AW181">
        <v>1.0162391662597701</v>
      </c>
      <c r="AX181">
        <v>0.98810088634491</v>
      </c>
      <c r="AY181">
        <v>0.90273618698120095</v>
      </c>
      <c r="AZ181">
        <v>0.77846878767013505</v>
      </c>
      <c r="BA181">
        <v>0.86355197429657005</v>
      </c>
      <c r="BB181">
        <v>0.94501924514770497</v>
      </c>
      <c r="BC181">
        <v>0.94075012207031194</v>
      </c>
      <c r="BD181">
        <v>1.11363077163696</v>
      </c>
      <c r="BE181">
        <v>1.1874647140502901</v>
      </c>
      <c r="BF181">
        <v>1.14381539821625</v>
      </c>
      <c r="BG181">
        <v>1.04511535167694</v>
      </c>
      <c r="BH181">
        <v>0.91254019737243697</v>
      </c>
      <c r="BI181">
        <v>0.89693319797515902</v>
      </c>
      <c r="BJ181">
        <v>0.90712368488311801</v>
      </c>
      <c r="BK181">
        <v>0.83828127384185802</v>
      </c>
      <c r="BL181">
        <v>0.82132494449615501</v>
      </c>
      <c r="BM181">
        <v>0.83093339204788197</v>
      </c>
      <c r="BN181">
        <v>0.89305919408798196</v>
      </c>
      <c r="BO181">
        <v>0.72679954767227195</v>
      </c>
      <c r="BP181">
        <v>0.65828198194503795</v>
      </c>
    </row>
    <row r="182" spans="1:68" x14ac:dyDescent="0.25">
      <c r="A182" t="s">
        <v>1397</v>
      </c>
      <c r="B182" t="s">
        <v>1398</v>
      </c>
      <c r="C182" t="s">
        <v>1044</v>
      </c>
      <c r="D182" t="s">
        <v>1045</v>
      </c>
      <c r="AO182">
        <v>1.45682156085968</v>
      </c>
      <c r="AQ182">
        <v>1.4396612644195601</v>
      </c>
      <c r="AS182">
        <v>1.5332829952239999</v>
      </c>
      <c r="AU182">
        <v>1.6083461046218901</v>
      </c>
      <c r="AV182">
        <v>1.20455622673035</v>
      </c>
      <c r="AW182">
        <v>1.1966183185577399</v>
      </c>
      <c r="AX182">
        <v>1.29527723789215</v>
      </c>
      <c r="AY182">
        <v>1.2527056932449301</v>
      </c>
      <c r="AZ182">
        <v>1.14555251598358</v>
      </c>
      <c r="BA182">
        <v>1.28543448448181</v>
      </c>
      <c r="BB182">
        <v>1.27653253078461</v>
      </c>
      <c r="BC182">
        <v>1.3323115110397299</v>
      </c>
      <c r="BD182">
        <v>1.3379769325256301</v>
      </c>
      <c r="BE182">
        <v>1.32746982574463</v>
      </c>
      <c r="BF182">
        <v>1.3520919084548999</v>
      </c>
      <c r="BG182">
        <v>1.1199585199356099</v>
      </c>
      <c r="BH182">
        <v>1.1456201076507599</v>
      </c>
      <c r="BI182">
        <v>1.1816209554672199</v>
      </c>
      <c r="BJ182">
        <v>1.15070176124573</v>
      </c>
      <c r="BK182">
        <v>1.12084853649139</v>
      </c>
      <c r="BL182">
        <v>1.14211213588715</v>
      </c>
      <c r="BM182">
        <v>1.2216057777404801</v>
      </c>
      <c r="BN182">
        <v>1.0886263847351101</v>
      </c>
      <c r="BO182">
        <v>0.86123925447464</v>
      </c>
      <c r="BP182">
        <v>0.89285743236541704</v>
      </c>
    </row>
    <row r="183" spans="1:68" x14ac:dyDescent="0.25">
      <c r="A183" t="s">
        <v>1399</v>
      </c>
      <c r="B183" t="s">
        <v>1400</v>
      </c>
      <c r="C183" t="s">
        <v>1044</v>
      </c>
      <c r="D183" t="s">
        <v>1045</v>
      </c>
      <c r="AO183">
        <v>-7.1113176643848405E-2</v>
      </c>
      <c r="AQ183">
        <v>-0.73014640808105502</v>
      </c>
      <c r="AS183">
        <v>-1.1638256311416599</v>
      </c>
      <c r="AU183">
        <v>-1.71746289730072</v>
      </c>
      <c r="AV183">
        <v>-1.89185237884521</v>
      </c>
      <c r="AW183">
        <v>-2.1491384506225599</v>
      </c>
      <c r="AX183">
        <v>-2.0984048843383798</v>
      </c>
      <c r="AY183">
        <v>-1.8944501876831099</v>
      </c>
      <c r="AZ183">
        <v>-1.8853784799575799</v>
      </c>
      <c r="BA183">
        <v>-1.8342874050140401</v>
      </c>
      <c r="BB183">
        <v>-1.6200811862945601</v>
      </c>
      <c r="BC183">
        <v>-1.5839711427688601</v>
      </c>
      <c r="BD183">
        <v>-1.41644358634949</v>
      </c>
      <c r="BE183">
        <v>-1.38123226165771</v>
      </c>
      <c r="BF183">
        <v>-1.1291460990905799</v>
      </c>
      <c r="BG183">
        <v>-0.72459954023361195</v>
      </c>
      <c r="BH183">
        <v>-0.99743002653121904</v>
      </c>
      <c r="BI183">
        <v>-0.84698998928070102</v>
      </c>
      <c r="BJ183">
        <v>-0.58375674486160301</v>
      </c>
      <c r="BK183">
        <v>-0.54302275180816695</v>
      </c>
      <c r="BL183">
        <v>-0.45365965366363498</v>
      </c>
      <c r="BM183">
        <v>-0.178228780627251</v>
      </c>
      <c r="BN183">
        <v>-0.18770962953567499</v>
      </c>
      <c r="BO183">
        <v>-0.239196881651878</v>
      </c>
      <c r="BP183">
        <v>-0.22618499398231501</v>
      </c>
    </row>
    <row r="184" spans="1:68" x14ac:dyDescent="0.25">
      <c r="A184" t="s">
        <v>1401</v>
      </c>
      <c r="B184" t="s">
        <v>1402</v>
      </c>
      <c r="C184" t="s">
        <v>1044</v>
      </c>
      <c r="D184" t="s">
        <v>1045</v>
      </c>
      <c r="AV184">
        <v>1.1697852611541699</v>
      </c>
      <c r="AW184">
        <v>1.13185334205627</v>
      </c>
      <c r="AX184">
        <v>1.0707448720932</v>
      </c>
      <c r="AY184">
        <v>1.04072260856628</v>
      </c>
      <c r="AZ184">
        <v>1.0889655351638801</v>
      </c>
      <c r="BA184">
        <v>1.0120828151702901</v>
      </c>
      <c r="BB184">
        <v>1.3850017786026001</v>
      </c>
      <c r="BC184">
        <v>1.45398449897766</v>
      </c>
      <c r="BD184">
        <v>1.0618038177490201</v>
      </c>
      <c r="BE184">
        <v>1.02640020847321</v>
      </c>
      <c r="BF184">
        <v>1.054114818573</v>
      </c>
      <c r="BG184">
        <v>0.60133439302444502</v>
      </c>
      <c r="BH184">
        <v>1.08801794052124</v>
      </c>
      <c r="BI184">
        <v>1.1088570356369001</v>
      </c>
      <c r="BJ184">
        <v>0.93189114332199097</v>
      </c>
      <c r="BK184">
        <v>0.94579303264617898</v>
      </c>
      <c r="BL184">
        <v>0.79509967565536499</v>
      </c>
      <c r="BM184">
        <v>0.77800065279007002</v>
      </c>
      <c r="BN184">
        <v>0.78942143917083696</v>
      </c>
      <c r="BO184">
        <v>0.87791800498962402</v>
      </c>
      <c r="BP184">
        <v>0.97657805681228604</v>
      </c>
    </row>
    <row r="185" spans="1:68" x14ac:dyDescent="0.25">
      <c r="A185" t="s">
        <v>1403</v>
      </c>
      <c r="B185" t="s">
        <v>1404</v>
      </c>
      <c r="C185" t="s">
        <v>1044</v>
      </c>
      <c r="D185" t="s">
        <v>1045</v>
      </c>
      <c r="AO185">
        <v>1.3419924974441499</v>
      </c>
      <c r="AQ185">
        <v>1.3163301944732699</v>
      </c>
      <c r="AS185">
        <v>1.36238181591034</v>
      </c>
      <c r="AU185">
        <v>1.3203637599945099</v>
      </c>
      <c r="AV185">
        <v>1.1883748769760101</v>
      </c>
      <c r="AW185">
        <v>1.50002658367157</v>
      </c>
      <c r="AX185">
        <v>1.25225210189819</v>
      </c>
      <c r="AY185">
        <v>1.2544922828674301</v>
      </c>
      <c r="AZ185">
        <v>1.2433664798736599</v>
      </c>
      <c r="BA185">
        <v>1.1626434326171899</v>
      </c>
      <c r="BB185">
        <v>1.07115530967712</v>
      </c>
      <c r="BC185">
        <v>1.23648881912231</v>
      </c>
      <c r="BD185">
        <v>1.37673103809357</v>
      </c>
      <c r="BE185">
        <v>1.3613655567169201</v>
      </c>
      <c r="BF185">
        <v>1.4539265632629399</v>
      </c>
      <c r="BG185">
        <v>1.46792757511139</v>
      </c>
      <c r="BH185">
        <v>1.5111376047134399</v>
      </c>
      <c r="BI185">
        <v>1.50114333629608</v>
      </c>
      <c r="BJ185">
        <v>1.56194603443146</v>
      </c>
      <c r="BK185">
        <v>1.51216292381287</v>
      </c>
      <c r="BL185">
        <v>1.41695356369019</v>
      </c>
      <c r="BM185">
        <v>1.4683537483215301</v>
      </c>
      <c r="BN185">
        <v>1.3944965600967401</v>
      </c>
      <c r="BO185">
        <v>1.3211691379547099</v>
      </c>
      <c r="BP185">
        <v>1.35856962203979</v>
      </c>
    </row>
    <row r="186" spans="1:68" x14ac:dyDescent="0.25">
      <c r="A186" t="s">
        <v>1405</v>
      </c>
      <c r="B186" t="s">
        <v>1406</v>
      </c>
      <c r="C186" t="s">
        <v>1044</v>
      </c>
      <c r="D186" t="s">
        <v>1045</v>
      </c>
    </row>
    <row r="187" spans="1:68" x14ac:dyDescent="0.25">
      <c r="A187" t="s">
        <v>1407</v>
      </c>
      <c r="B187" t="s">
        <v>1408</v>
      </c>
      <c r="C187" t="s">
        <v>1044</v>
      </c>
      <c r="D187" t="s">
        <v>1045</v>
      </c>
      <c r="AO187">
        <v>0.87398332357406605</v>
      </c>
      <c r="AQ187">
        <v>0.85495334863662698</v>
      </c>
      <c r="AS187">
        <v>1.1214246749877901</v>
      </c>
      <c r="AU187">
        <v>0.92857742309570301</v>
      </c>
      <c r="AV187">
        <v>1.06150567531586</v>
      </c>
      <c r="AW187">
        <v>1.11596786975861</v>
      </c>
      <c r="AX187">
        <v>0.94649487733840898</v>
      </c>
      <c r="AY187">
        <v>0.84132361412048295</v>
      </c>
      <c r="AZ187">
        <v>0.93981420993804898</v>
      </c>
      <c r="BA187">
        <v>0.92218691110610995</v>
      </c>
      <c r="BB187">
        <v>0.82683259248733498</v>
      </c>
      <c r="BC187">
        <v>0.59024173021316495</v>
      </c>
      <c r="BD187">
        <v>0.43244045972824102</v>
      </c>
      <c r="BE187">
        <v>0.46207708120346103</v>
      </c>
      <c r="BF187">
        <v>0.45953020453453097</v>
      </c>
      <c r="BG187">
        <v>0.73490732908248901</v>
      </c>
      <c r="BH187">
        <v>0.77805221080779996</v>
      </c>
      <c r="BI187">
        <v>0.74976563453674305</v>
      </c>
      <c r="BJ187">
        <v>0.74931287765502896</v>
      </c>
      <c r="BK187">
        <v>0.64220052957534801</v>
      </c>
      <c r="BL187">
        <v>0.58925670385360696</v>
      </c>
      <c r="BM187">
        <v>0.41977953910827598</v>
      </c>
      <c r="BN187">
        <v>0.43198528885841397</v>
      </c>
      <c r="BO187">
        <v>0.53224921226501498</v>
      </c>
      <c r="BP187">
        <v>0.58662366867065396</v>
      </c>
    </row>
    <row r="188" spans="1:68" x14ac:dyDescent="0.25">
      <c r="A188" t="s">
        <v>1409</v>
      </c>
      <c r="B188" t="s">
        <v>1410</v>
      </c>
      <c r="C188" t="s">
        <v>1044</v>
      </c>
      <c r="D188" t="s">
        <v>1045</v>
      </c>
    </row>
    <row r="189" spans="1:68" x14ac:dyDescent="0.25">
      <c r="A189" t="s">
        <v>1411</v>
      </c>
      <c r="B189" t="s">
        <v>1412</v>
      </c>
      <c r="C189" t="s">
        <v>1044</v>
      </c>
      <c r="D189" t="s">
        <v>1045</v>
      </c>
      <c r="AO189">
        <v>-1.1273277997970601</v>
      </c>
      <c r="AQ189">
        <v>-1.1241204738616899</v>
      </c>
      <c r="AS189">
        <v>-1.1048046350479099</v>
      </c>
      <c r="AU189">
        <v>-1.63767862319946</v>
      </c>
      <c r="AV189">
        <v>-1.5490459203720099</v>
      </c>
      <c r="AW189">
        <v>-1.5828779935836801</v>
      </c>
      <c r="AX189">
        <v>-1.75138831138611</v>
      </c>
      <c r="AY189">
        <v>-2.0246784687042201</v>
      </c>
      <c r="AZ189">
        <v>-2.4327051639556898</v>
      </c>
      <c r="BA189">
        <v>-2.5730094909668</v>
      </c>
      <c r="BB189">
        <v>-2.6445267200470002</v>
      </c>
      <c r="BC189">
        <v>-2.6759331226348899</v>
      </c>
      <c r="BD189">
        <v>-2.8100354671478298</v>
      </c>
      <c r="BE189">
        <v>-2.6770036220550502</v>
      </c>
      <c r="BF189">
        <v>-2.6033020019531201</v>
      </c>
      <c r="BG189">
        <v>-2.4012792110443102</v>
      </c>
      <c r="BH189">
        <v>-2.4718835353851301</v>
      </c>
      <c r="BI189">
        <v>-2.4738738536834699</v>
      </c>
      <c r="BJ189">
        <v>-2.39691209793091</v>
      </c>
      <c r="BK189">
        <v>-2.2540132999420202</v>
      </c>
      <c r="BL189">
        <v>-2.2517430782318102</v>
      </c>
      <c r="BM189">
        <v>-1.7926949262619001</v>
      </c>
      <c r="BN189">
        <v>-1.7137354612350499</v>
      </c>
      <c r="BO189">
        <v>-1.83982634544373</v>
      </c>
      <c r="BP189">
        <v>-1.9327307939529399</v>
      </c>
    </row>
    <row r="190" spans="1:68" x14ac:dyDescent="0.25">
      <c r="A190" t="s">
        <v>1413</v>
      </c>
      <c r="B190" t="s">
        <v>1414</v>
      </c>
      <c r="C190" t="s">
        <v>1044</v>
      </c>
      <c r="D190" t="s">
        <v>1045</v>
      </c>
      <c r="AO190">
        <v>0.123815298080444</v>
      </c>
      <c r="AQ190">
        <v>0.37057423591613797</v>
      </c>
      <c r="AS190">
        <v>0.25122383236885099</v>
      </c>
      <c r="AU190">
        <v>0.34592798352241499</v>
      </c>
      <c r="AV190">
        <v>7.3229543864727006E-2</v>
      </c>
      <c r="AW190">
        <v>8.4138363599777194E-2</v>
      </c>
      <c r="AX190">
        <v>-0.157522633671761</v>
      </c>
      <c r="AY190">
        <v>-6.79050013422966E-2</v>
      </c>
      <c r="AZ190">
        <v>-6.1348125338554403E-2</v>
      </c>
      <c r="BA190">
        <v>-9.7780145704746205E-2</v>
      </c>
      <c r="BB190">
        <v>6.2279518693685497E-2</v>
      </c>
      <c r="BC190">
        <v>-0.116048209369183</v>
      </c>
      <c r="BD190">
        <v>-2.8218861669302001E-2</v>
      </c>
      <c r="BE190">
        <v>-0.17943267524242401</v>
      </c>
      <c r="BF190">
        <v>-0.141260921955109</v>
      </c>
      <c r="BG190">
        <v>0.20900820195674899</v>
      </c>
      <c r="BH190">
        <v>0.37741518020629899</v>
      </c>
      <c r="BI190">
        <v>0.40072774887085</v>
      </c>
      <c r="BJ190">
        <v>0.38033416867256198</v>
      </c>
      <c r="BK190">
        <v>0.25216197967529302</v>
      </c>
      <c r="BL190">
        <v>0.29094579815864602</v>
      </c>
      <c r="BM190">
        <v>0.235503375530243</v>
      </c>
      <c r="BN190">
        <v>0.30720707774162298</v>
      </c>
      <c r="BO190">
        <v>0.28922122716903698</v>
      </c>
      <c r="BP190">
        <v>0.21310184895992301</v>
      </c>
    </row>
    <row r="191" spans="1:68" x14ac:dyDescent="0.25">
      <c r="A191" t="s">
        <v>1415</v>
      </c>
      <c r="B191" t="s">
        <v>1416</v>
      </c>
      <c r="C191" t="s">
        <v>1044</v>
      </c>
      <c r="D191" t="s">
        <v>1045</v>
      </c>
      <c r="AO191">
        <v>-1.06168437004089</v>
      </c>
      <c r="AQ191">
        <v>-0.52083957195282005</v>
      </c>
      <c r="AS191">
        <v>-0.987529456615448</v>
      </c>
      <c r="AU191">
        <v>-0.96990984678268399</v>
      </c>
      <c r="AV191">
        <v>-1.1621016263961801</v>
      </c>
      <c r="AW191">
        <v>-1.0273996591568</v>
      </c>
      <c r="AX191">
        <v>-0.97571545839309703</v>
      </c>
      <c r="AY191">
        <v>-0.84155380725860596</v>
      </c>
      <c r="AZ191">
        <v>-0.77488589286804199</v>
      </c>
      <c r="BA191">
        <v>-0.89266169071197499</v>
      </c>
      <c r="BB191">
        <v>-1.1800479888916</v>
      </c>
      <c r="BC191">
        <v>-0.99991542100906405</v>
      </c>
      <c r="BD191">
        <v>-0.76074969768524203</v>
      </c>
      <c r="BE191">
        <v>-0.90736472606658902</v>
      </c>
      <c r="BF191">
        <v>-0.80573976039886497</v>
      </c>
      <c r="BG191">
        <v>-0.55065691471099898</v>
      </c>
      <c r="BH191">
        <v>-0.39891007542610202</v>
      </c>
      <c r="BI191">
        <v>-0.20793484151363401</v>
      </c>
      <c r="BJ191">
        <v>-0.26350986957549999</v>
      </c>
      <c r="BK191">
        <v>-0.27688077092170699</v>
      </c>
      <c r="BL191">
        <v>-0.16362261772155801</v>
      </c>
      <c r="BM191">
        <v>-0.35772293806076</v>
      </c>
      <c r="BN191">
        <v>-0.35525295138359098</v>
      </c>
      <c r="BO191">
        <v>-0.48709544539451599</v>
      </c>
      <c r="BP191">
        <v>-0.52178555727005005</v>
      </c>
    </row>
    <row r="192" spans="1:68" x14ac:dyDescent="0.25">
      <c r="A192" t="s">
        <v>1417</v>
      </c>
      <c r="B192" t="s">
        <v>1418</v>
      </c>
      <c r="C192" t="s">
        <v>1044</v>
      </c>
      <c r="D192" t="s">
        <v>1045</v>
      </c>
      <c r="AO192">
        <v>-0.481185793876648</v>
      </c>
      <c r="AQ192">
        <v>-0.257059156894684</v>
      </c>
      <c r="AS192">
        <v>-1.3904843330383301</v>
      </c>
      <c r="AU192">
        <v>-0.85875332355499301</v>
      </c>
      <c r="AV192">
        <v>-1.55980968475342</v>
      </c>
      <c r="AW192">
        <v>-1.7058844566345199</v>
      </c>
      <c r="AX192">
        <v>-1.1787866353988601</v>
      </c>
      <c r="AY192">
        <v>-1.63867163658142</v>
      </c>
      <c r="AZ192">
        <v>-1.60488569736481</v>
      </c>
      <c r="BA192">
        <v>-1.77923631668091</v>
      </c>
      <c r="BB192">
        <v>-1.7287632226944001</v>
      </c>
      <c r="BC192">
        <v>-1.6507595777511599</v>
      </c>
      <c r="BD192">
        <v>-1.3921816349029501</v>
      </c>
      <c r="BE192">
        <v>-1.1882402896881099</v>
      </c>
      <c r="BF192">
        <v>-1.0842531919479399</v>
      </c>
      <c r="BG192">
        <v>-0.71382093429565396</v>
      </c>
      <c r="BH192">
        <v>-0.85472422838211104</v>
      </c>
      <c r="BI192">
        <v>-1.37869036197662</v>
      </c>
      <c r="BJ192">
        <v>-1.18929100036621</v>
      </c>
      <c r="BK192">
        <v>-1.09620380401611</v>
      </c>
      <c r="BL192">
        <v>-0.92806065082550004</v>
      </c>
      <c r="BM192">
        <v>-0.77870428562164296</v>
      </c>
      <c r="BN192">
        <v>-0.98402231931686401</v>
      </c>
      <c r="BO192">
        <v>-0.65526854991912797</v>
      </c>
      <c r="BP192">
        <v>-0.56605046987533603</v>
      </c>
    </row>
    <row r="193" spans="1:68" x14ac:dyDescent="0.25">
      <c r="A193" t="s">
        <v>1419</v>
      </c>
      <c r="B193" t="s">
        <v>1420</v>
      </c>
      <c r="C193" t="s">
        <v>1044</v>
      </c>
      <c r="D193" t="s">
        <v>1045</v>
      </c>
      <c r="AV193">
        <v>1.1697852611541699</v>
      </c>
      <c r="AW193">
        <v>1.13185334205627</v>
      </c>
      <c r="AX193">
        <v>1.0707448720932</v>
      </c>
      <c r="AY193">
        <v>1.04072260856628</v>
      </c>
      <c r="AZ193">
        <v>1.0889655351638801</v>
      </c>
      <c r="BA193">
        <v>1.0120828151702901</v>
      </c>
      <c r="BB193">
        <v>1.3850017786026001</v>
      </c>
      <c r="BC193">
        <v>1.45398449897766</v>
      </c>
      <c r="BD193">
        <v>1.0618038177490201</v>
      </c>
      <c r="BE193">
        <v>1.02640020847321</v>
      </c>
      <c r="BF193">
        <v>1.054114818573</v>
      </c>
      <c r="BG193">
        <v>0.98958575725555398</v>
      </c>
      <c r="BH193">
        <v>0.82148623466491699</v>
      </c>
      <c r="BI193">
        <v>0.84692633152008101</v>
      </c>
      <c r="BJ193">
        <v>1.21373856067657</v>
      </c>
      <c r="BK193">
        <v>1.19501948356628</v>
      </c>
      <c r="BL193">
        <v>1.17179811000824</v>
      </c>
      <c r="BM193">
        <v>1.1660966873168901</v>
      </c>
      <c r="BN193">
        <v>1.17239153385162</v>
      </c>
      <c r="BO193">
        <v>1.0839942693710301</v>
      </c>
      <c r="BP193">
        <v>1.0807785987853999</v>
      </c>
    </row>
    <row r="194" spans="1:68" x14ac:dyDescent="0.25">
      <c r="A194" t="s">
        <v>1421</v>
      </c>
      <c r="B194" t="s">
        <v>1422</v>
      </c>
      <c r="C194" t="s">
        <v>1044</v>
      </c>
      <c r="D194" t="s">
        <v>1045</v>
      </c>
      <c r="AO194">
        <v>-0.77500689029693604</v>
      </c>
      <c r="AQ194">
        <v>-0.10686650872230501</v>
      </c>
      <c r="AS194">
        <v>-0.20723551511764501</v>
      </c>
      <c r="AU194">
        <v>-0.55016994476318404</v>
      </c>
      <c r="AV194">
        <v>-0.55901736021041903</v>
      </c>
      <c r="AW194">
        <v>-0.54865700006484996</v>
      </c>
      <c r="AX194">
        <v>-0.921983242034912</v>
      </c>
      <c r="AY194">
        <v>-0.86987352371215798</v>
      </c>
      <c r="AZ194">
        <v>-0.74783176183700595</v>
      </c>
      <c r="BA194">
        <v>-0.61021226644516002</v>
      </c>
      <c r="BB194">
        <v>-0.7908074259758</v>
      </c>
      <c r="BC194">
        <v>-0.80844378471374501</v>
      </c>
      <c r="BD194">
        <v>-0.754677414894104</v>
      </c>
      <c r="BE194">
        <v>-0.59044235944747903</v>
      </c>
      <c r="BF194">
        <v>-0.52024686336517301</v>
      </c>
      <c r="BG194">
        <v>-0.33936709165573098</v>
      </c>
      <c r="BH194">
        <v>-0.41628924012184099</v>
      </c>
      <c r="BI194">
        <v>-0.50431650876998901</v>
      </c>
      <c r="BJ194">
        <v>-0.69119507074356101</v>
      </c>
      <c r="BK194">
        <v>-0.65652024745941195</v>
      </c>
      <c r="BL194">
        <v>-0.70694845914840698</v>
      </c>
      <c r="BM194">
        <v>-0.65338653326034501</v>
      </c>
      <c r="BN194">
        <v>-0.57846385240554798</v>
      </c>
      <c r="BO194">
        <v>-0.65936744213104204</v>
      </c>
      <c r="BP194">
        <v>-0.47884482145309398</v>
      </c>
    </row>
    <row r="195" spans="1:68" x14ac:dyDescent="0.25">
      <c r="A195" t="s">
        <v>1423</v>
      </c>
      <c r="B195" t="s">
        <v>1424</v>
      </c>
      <c r="C195" t="s">
        <v>1044</v>
      </c>
      <c r="D195" t="s">
        <v>1045</v>
      </c>
      <c r="AO195">
        <v>0.83064466714858998</v>
      </c>
      <c r="AQ195">
        <v>0.83859741687774703</v>
      </c>
      <c r="AS195">
        <v>0.309305250644684</v>
      </c>
      <c r="AU195">
        <v>0.74399781227111805</v>
      </c>
      <c r="AV195">
        <v>0.57808506488800004</v>
      </c>
      <c r="AW195">
        <v>0.15385766327381101</v>
      </c>
      <c r="AX195">
        <v>0.363082945346832</v>
      </c>
      <c r="AY195">
        <v>0.35403183102607699</v>
      </c>
      <c r="AZ195">
        <v>0.68284600973129295</v>
      </c>
      <c r="BA195">
        <v>0.91109627485275302</v>
      </c>
      <c r="BB195">
        <v>0.938135385513306</v>
      </c>
      <c r="BC195">
        <v>1.0173300504684399</v>
      </c>
      <c r="BD195">
        <v>1.0720629692077599</v>
      </c>
      <c r="BE195">
        <v>1.0494786500930799</v>
      </c>
      <c r="BF195">
        <v>0.97335499525070202</v>
      </c>
      <c r="BG195">
        <v>0.84294080734252896</v>
      </c>
      <c r="BH195">
        <v>0.86231905221939098</v>
      </c>
      <c r="BI195">
        <v>0.496157646179199</v>
      </c>
      <c r="BJ195">
        <v>0.50975614786148105</v>
      </c>
      <c r="BK195">
        <v>0.48048868775367698</v>
      </c>
      <c r="BL195">
        <v>0.55071651935577404</v>
      </c>
      <c r="BM195">
        <v>0.49161949753761303</v>
      </c>
      <c r="BN195">
        <v>0.49190354347228998</v>
      </c>
      <c r="BO195">
        <v>0.505146443843842</v>
      </c>
      <c r="BP195">
        <v>0.55958455801010099</v>
      </c>
    </row>
    <row r="196" spans="1:68" x14ac:dyDescent="0.25">
      <c r="A196" t="s">
        <v>1425</v>
      </c>
      <c r="B196" t="s">
        <v>1426</v>
      </c>
      <c r="C196" t="s">
        <v>1044</v>
      </c>
      <c r="D196" t="s">
        <v>1045</v>
      </c>
    </row>
    <row r="197" spans="1:68" x14ac:dyDescent="0.25">
      <c r="A197" t="s">
        <v>1427</v>
      </c>
      <c r="B197" t="s">
        <v>1428</v>
      </c>
      <c r="C197" t="s">
        <v>1044</v>
      </c>
      <c r="D197" t="s">
        <v>1045</v>
      </c>
      <c r="AO197">
        <v>0.264631718397141</v>
      </c>
      <c r="AQ197">
        <v>0.27414897084236101</v>
      </c>
      <c r="AS197">
        <v>0.25948846340179399</v>
      </c>
      <c r="AU197">
        <v>0.30235281586647</v>
      </c>
      <c r="AV197">
        <v>0.31336170434951799</v>
      </c>
      <c r="AW197">
        <v>0.55723297595977805</v>
      </c>
      <c r="AX197">
        <v>0.44557374715805098</v>
      </c>
      <c r="AY197">
        <v>0.377330452203751</v>
      </c>
      <c r="AZ197">
        <v>0.40987274050712602</v>
      </c>
      <c r="BA197">
        <v>0.26406475901603699</v>
      </c>
      <c r="BB197">
        <v>0.15366207063198101</v>
      </c>
      <c r="BC197">
        <v>0.356976479291916</v>
      </c>
      <c r="BD197">
        <v>0.60014897584915206</v>
      </c>
      <c r="BE197">
        <v>0.58497339487075795</v>
      </c>
      <c r="BF197">
        <v>0.249155893921852</v>
      </c>
      <c r="BG197">
        <v>0.81999266147613503</v>
      </c>
      <c r="BH197">
        <v>0.84711748361587502</v>
      </c>
      <c r="BI197">
        <v>0.67782860994339</v>
      </c>
      <c r="BJ197">
        <v>0.48197057843208302</v>
      </c>
      <c r="BK197">
        <v>0.27378413081169101</v>
      </c>
      <c r="BL197">
        <v>0.14266094565391499</v>
      </c>
      <c r="BM197">
        <v>0.43535497784614602</v>
      </c>
      <c r="BN197">
        <v>0.488091200590134</v>
      </c>
      <c r="BO197">
        <v>0.54263198375701904</v>
      </c>
      <c r="BP197">
        <v>0.51021099090576205</v>
      </c>
    </row>
    <row r="198" spans="1:68" x14ac:dyDescent="0.25">
      <c r="A198" t="s">
        <v>1429</v>
      </c>
      <c r="B198" t="s">
        <v>1430</v>
      </c>
      <c r="C198" t="s">
        <v>1044</v>
      </c>
      <c r="D198" t="s">
        <v>1045</v>
      </c>
      <c r="AO198">
        <v>-0.505626380443573</v>
      </c>
      <c r="AQ198">
        <v>-0.419251918792725</v>
      </c>
      <c r="AS198">
        <v>-1.5158058144152199E-2</v>
      </c>
      <c r="AU198">
        <v>0.18799877166748</v>
      </c>
      <c r="AV198">
        <v>0.224566981196404</v>
      </c>
      <c r="AW198">
        <v>0.22607611119747201</v>
      </c>
      <c r="AX198">
        <v>2.4262642487883599E-2</v>
      </c>
      <c r="AY198">
        <v>-2.0749725401401499E-2</v>
      </c>
      <c r="AZ198">
        <v>0.53762346506118797</v>
      </c>
      <c r="BA198">
        <v>0.52441847324371305</v>
      </c>
      <c r="BB198">
        <v>-2.71528363227844E-2</v>
      </c>
      <c r="BC198">
        <v>-0.29656210541725198</v>
      </c>
      <c r="BD198">
        <v>-0.25182619690895103</v>
      </c>
      <c r="BE198">
        <v>-1.2876378372311601E-2</v>
      </c>
      <c r="BF198">
        <v>-0.44155409932136502</v>
      </c>
      <c r="BG198">
        <v>-1.13474333286285</v>
      </c>
      <c r="BH198">
        <v>-1.1517403125762899</v>
      </c>
      <c r="BI198">
        <v>-0.68403416872024503</v>
      </c>
      <c r="BJ198">
        <v>-0.50002342462539695</v>
      </c>
      <c r="BK198">
        <v>-0.340687155723572</v>
      </c>
      <c r="BL198">
        <v>-0.28687885403633101</v>
      </c>
      <c r="BM198">
        <v>-0.378678768873215</v>
      </c>
      <c r="BN198">
        <v>-0.477270007133484</v>
      </c>
      <c r="BO198">
        <v>-0.430811017751694</v>
      </c>
      <c r="BP198">
        <v>-0.36616957187652599</v>
      </c>
    </row>
    <row r="199" spans="1:68" x14ac:dyDescent="0.25">
      <c r="A199" t="s">
        <v>1431</v>
      </c>
      <c r="B199" t="s">
        <v>1432</v>
      </c>
      <c r="C199" t="s">
        <v>1044</v>
      </c>
      <c r="D199" t="s">
        <v>1045</v>
      </c>
      <c r="AO199">
        <v>1.28603911399841</v>
      </c>
      <c r="AQ199">
        <v>1.36909055709839</v>
      </c>
      <c r="AS199">
        <v>1.39476406574249</v>
      </c>
      <c r="AU199">
        <v>1.4370481967926001</v>
      </c>
      <c r="AV199">
        <v>1.2896888256073</v>
      </c>
      <c r="AW199">
        <v>0.96987724304199197</v>
      </c>
      <c r="AX199">
        <v>1.0166475772857699</v>
      </c>
      <c r="AY199">
        <v>0.95239061117172197</v>
      </c>
      <c r="AZ199">
        <v>0.82180935144424405</v>
      </c>
      <c r="BA199">
        <v>0.98754632472991899</v>
      </c>
      <c r="BB199">
        <v>0.78738176822662398</v>
      </c>
      <c r="BC199">
        <v>0.71768695116043102</v>
      </c>
      <c r="BD199">
        <v>0.74173927307128895</v>
      </c>
      <c r="BE199">
        <v>0.77527260780334495</v>
      </c>
      <c r="BF199">
        <v>0.74876344203948997</v>
      </c>
      <c r="BG199">
        <v>0.8062744140625</v>
      </c>
      <c r="BH199">
        <v>0.90421295166015603</v>
      </c>
      <c r="BI199">
        <v>0.95862579345703103</v>
      </c>
      <c r="BJ199">
        <v>1.1061697006225599</v>
      </c>
      <c r="BK199">
        <v>1.11530721187592</v>
      </c>
      <c r="BL199">
        <v>1.05175185203552</v>
      </c>
      <c r="BM199">
        <v>1.0087311267852801</v>
      </c>
      <c r="BN199">
        <v>0.93739014863967896</v>
      </c>
      <c r="BO199">
        <v>0.79580259323120095</v>
      </c>
      <c r="BP199">
        <v>0.71257811784744296</v>
      </c>
    </row>
    <row r="200" spans="1:68" x14ac:dyDescent="0.25">
      <c r="A200" t="s">
        <v>1433</v>
      </c>
      <c r="B200" t="s">
        <v>1434</v>
      </c>
      <c r="C200" t="s">
        <v>1044</v>
      </c>
      <c r="D200" t="s">
        <v>1045</v>
      </c>
      <c r="AO200">
        <v>-0.45979681611061102</v>
      </c>
      <c r="AQ200">
        <v>-0.74650359153747603</v>
      </c>
      <c r="AS200">
        <v>-0.97057259082794201</v>
      </c>
      <c r="AU200">
        <v>-1.2113512754440301</v>
      </c>
      <c r="AV200">
        <v>-0.74935156106948897</v>
      </c>
      <c r="AW200">
        <v>-0.56614375114440896</v>
      </c>
      <c r="AX200">
        <v>-0.65207815170288097</v>
      </c>
      <c r="AY200">
        <v>-0.77652502059936501</v>
      </c>
      <c r="AZ200">
        <v>-0.74012291431427002</v>
      </c>
      <c r="BA200">
        <v>-0.727450251579285</v>
      </c>
      <c r="BB200">
        <v>-0.88358604907989502</v>
      </c>
      <c r="BC200">
        <v>-0.83486223220825195</v>
      </c>
      <c r="BD200">
        <v>-0.69259655475616499</v>
      </c>
      <c r="BE200">
        <v>-0.87190216779708896</v>
      </c>
      <c r="BF200">
        <v>-0.73586159944534302</v>
      </c>
      <c r="BG200">
        <v>-8.8627509772777599E-2</v>
      </c>
      <c r="BH200">
        <v>3.5212628543376902E-2</v>
      </c>
      <c r="BI200">
        <v>0.13447080552578</v>
      </c>
      <c r="BJ200">
        <v>-2.8554622549563599E-3</v>
      </c>
      <c r="BK200">
        <v>-8.6711078882217393E-2</v>
      </c>
      <c r="BL200">
        <v>-1.80127751082182E-2</v>
      </c>
      <c r="BM200">
        <v>1.6717767342925099E-2</v>
      </c>
      <c r="BN200">
        <v>-9.3793228734284596E-4</v>
      </c>
      <c r="BO200">
        <v>3.55493128299713E-2</v>
      </c>
      <c r="BP200">
        <v>8.2041628658771501E-2</v>
      </c>
    </row>
    <row r="201" spans="1:68" x14ac:dyDescent="0.25">
      <c r="A201" t="s">
        <v>1435</v>
      </c>
      <c r="B201" t="s">
        <v>1436</v>
      </c>
      <c r="C201" t="s">
        <v>1044</v>
      </c>
      <c r="D201" t="s">
        <v>1045</v>
      </c>
      <c r="AO201">
        <v>-1.4057260751724201</v>
      </c>
      <c r="AQ201">
        <v>-1.3539137840271001</v>
      </c>
      <c r="AS201">
        <v>-1.57441258430481</v>
      </c>
      <c r="AU201">
        <v>-1.74340748786926</v>
      </c>
      <c r="AV201">
        <v>-1.2657821178436299</v>
      </c>
      <c r="AW201">
        <v>-1.1662640571594201</v>
      </c>
      <c r="AX201">
        <v>-1.5409361124038701</v>
      </c>
      <c r="AY201">
        <v>-1.7702112197876001</v>
      </c>
      <c r="AZ201">
        <v>-1.8716138601303101</v>
      </c>
      <c r="BA201">
        <v>-1.9904299974441499</v>
      </c>
      <c r="BB201">
        <v>-2.0433311462402299</v>
      </c>
      <c r="BC201">
        <v>-1.9735754728317301</v>
      </c>
      <c r="BD201">
        <v>-1.93561995029449</v>
      </c>
      <c r="BE201">
        <v>-1.95603215694427</v>
      </c>
      <c r="BF201">
        <v>-1.7788234949111901</v>
      </c>
      <c r="BG201">
        <v>-1.9850108623504601</v>
      </c>
      <c r="BH201">
        <v>-2.1540961265564</v>
      </c>
      <c r="BI201">
        <v>-1.9708783626556401</v>
      </c>
      <c r="BJ201">
        <v>-1.65064632892609</v>
      </c>
      <c r="BK201">
        <v>-1.80487740039825</v>
      </c>
      <c r="BL201">
        <v>-1.8894288539886499</v>
      </c>
      <c r="BM201">
        <v>-2.01823925971985</v>
      </c>
      <c r="BN201">
        <v>-1.8369233608245801</v>
      </c>
      <c r="BO201">
        <v>-1.7019554376602199</v>
      </c>
      <c r="BP201">
        <v>-1.86521852016449</v>
      </c>
    </row>
    <row r="202" spans="1:68" x14ac:dyDescent="0.25">
      <c r="A202" t="s">
        <v>1437</v>
      </c>
      <c r="B202" t="s">
        <v>1438</v>
      </c>
      <c r="C202" t="s">
        <v>1044</v>
      </c>
      <c r="D202" t="s">
        <v>1045</v>
      </c>
    </row>
    <row r="203" spans="1:68" x14ac:dyDescent="0.25">
      <c r="A203" t="s">
        <v>1439</v>
      </c>
      <c r="B203" t="s">
        <v>1440</v>
      </c>
      <c r="C203" t="s">
        <v>1044</v>
      </c>
      <c r="D203" t="s">
        <v>1045</v>
      </c>
    </row>
    <row r="204" spans="1:68" x14ac:dyDescent="0.25">
      <c r="A204" t="s">
        <v>1441</v>
      </c>
      <c r="B204" t="s">
        <v>1442</v>
      </c>
      <c r="C204" t="s">
        <v>1044</v>
      </c>
      <c r="D204" t="s">
        <v>1045</v>
      </c>
    </row>
    <row r="205" spans="1:68" x14ac:dyDescent="0.25">
      <c r="A205" t="s">
        <v>1443</v>
      </c>
      <c r="B205" t="s">
        <v>1444</v>
      </c>
      <c r="C205" t="s">
        <v>1044</v>
      </c>
      <c r="D205" t="s">
        <v>1045</v>
      </c>
      <c r="AO205">
        <v>0.36169460415840099</v>
      </c>
      <c r="AQ205">
        <v>1.0588550567627</v>
      </c>
      <c r="AS205">
        <v>1.1573014259338399</v>
      </c>
      <c r="AU205">
        <v>0.83120894432067904</v>
      </c>
      <c r="AV205">
        <v>1.1864813566207899</v>
      </c>
      <c r="AW205">
        <v>1.1239049434661901</v>
      </c>
      <c r="AX205">
        <v>1.0276792049407999</v>
      </c>
      <c r="AY205">
        <v>0.926921546459198</v>
      </c>
      <c r="AZ205">
        <v>0.95252770185470603</v>
      </c>
      <c r="BA205">
        <v>1.1148766279220601</v>
      </c>
      <c r="BB205">
        <v>1.2232850790023799</v>
      </c>
      <c r="BC205">
        <v>1.1538559198379501</v>
      </c>
      <c r="BD205">
        <v>1.1747310161590601</v>
      </c>
      <c r="BE205">
        <v>1.22359883785248</v>
      </c>
      <c r="BF205">
        <v>1.21254646778107</v>
      </c>
      <c r="BG205">
        <v>0.97745776176452603</v>
      </c>
      <c r="BH205">
        <v>0.98359745740890503</v>
      </c>
      <c r="BI205">
        <v>0.88412374258041404</v>
      </c>
      <c r="BJ205">
        <v>0.64798301458358798</v>
      </c>
      <c r="BK205">
        <v>0.64944875240325906</v>
      </c>
      <c r="BL205">
        <v>0.68437010049819902</v>
      </c>
      <c r="BM205">
        <v>0.66960602998733498</v>
      </c>
      <c r="BN205">
        <v>0.83339172601699796</v>
      </c>
      <c r="BO205">
        <v>0.96024930477142301</v>
      </c>
      <c r="BP205">
        <v>0.99338114261627197</v>
      </c>
    </row>
    <row r="206" spans="1:68" x14ac:dyDescent="0.25">
      <c r="A206" t="s">
        <v>1445</v>
      </c>
      <c r="B206" t="s">
        <v>1446</v>
      </c>
      <c r="C206" t="s">
        <v>1044</v>
      </c>
      <c r="D206" t="s">
        <v>1045</v>
      </c>
      <c r="AO206">
        <v>0.59796673059463501</v>
      </c>
      <c r="AQ206">
        <v>0.50010222196579002</v>
      </c>
      <c r="AS206">
        <v>-0.379039525985718</v>
      </c>
      <c r="AU206">
        <v>0.46484032273292503</v>
      </c>
      <c r="AV206">
        <v>0.32003012299537698</v>
      </c>
      <c r="AW206">
        <v>5.93486130237579E-2</v>
      </c>
      <c r="AX206">
        <v>8.5602648556232494E-2</v>
      </c>
      <c r="AY206">
        <v>0.14843007922172499</v>
      </c>
      <c r="AZ206">
        <v>0.19806793332099901</v>
      </c>
      <c r="BA206">
        <v>0.18060909211635601</v>
      </c>
      <c r="BB206">
        <v>0.35936629772186302</v>
      </c>
      <c r="BC206">
        <v>0.27360039949417098</v>
      </c>
      <c r="BD206">
        <v>0.186090663075447</v>
      </c>
      <c r="BE206">
        <v>8.2341559231281294E-2</v>
      </c>
      <c r="BF206">
        <v>0.17913307249546101</v>
      </c>
      <c r="BG206">
        <v>4.9136128276586498E-2</v>
      </c>
      <c r="BH206">
        <v>0.181799337267876</v>
      </c>
      <c r="BI206">
        <v>0.26682320237159701</v>
      </c>
      <c r="BJ206">
        <v>4.8514168709516498E-2</v>
      </c>
      <c r="BK206">
        <v>3.6318745464086498E-2</v>
      </c>
      <c r="BL206">
        <v>0.54225599765777599</v>
      </c>
      <c r="BM206">
        <v>0.50895041227340698</v>
      </c>
      <c r="BN206">
        <v>0.581789910793304</v>
      </c>
      <c r="BO206">
        <v>0.43113631010055498</v>
      </c>
      <c r="BP206">
        <v>0.37364396452903698</v>
      </c>
    </row>
    <row r="207" spans="1:68" x14ac:dyDescent="0.25">
      <c r="A207" t="s">
        <v>1447</v>
      </c>
      <c r="B207" t="s">
        <v>1448</v>
      </c>
      <c r="C207" t="s">
        <v>1044</v>
      </c>
      <c r="D207" t="s">
        <v>1045</v>
      </c>
      <c r="AO207">
        <v>-1.1778539419174201</v>
      </c>
      <c r="AQ207">
        <v>-1.0897409915924099</v>
      </c>
      <c r="AS207">
        <v>-1.39924204349518</v>
      </c>
      <c r="AU207">
        <v>-0.724512279033661</v>
      </c>
      <c r="AV207">
        <v>-1.1931518316268901</v>
      </c>
      <c r="AW207">
        <v>-1.5145944356918299</v>
      </c>
      <c r="AX207">
        <v>-1.2677013874053999</v>
      </c>
      <c r="AY207">
        <v>-0.90879434347152699</v>
      </c>
      <c r="AZ207">
        <v>-0.86338251829147294</v>
      </c>
      <c r="BA207">
        <v>-0.74993389844894398</v>
      </c>
      <c r="BB207">
        <v>-0.96992659568786599</v>
      </c>
      <c r="BC207">
        <v>-0.92945873737335205</v>
      </c>
      <c r="BD207">
        <v>-0.99826210737228405</v>
      </c>
      <c r="BE207">
        <v>-0.81771266460418701</v>
      </c>
      <c r="BF207">
        <v>-0.73609364032745395</v>
      </c>
      <c r="BG207">
        <v>-0.943617463111877</v>
      </c>
      <c r="BH207">
        <v>-1.0322234630584699</v>
      </c>
      <c r="BI207">
        <v>-0.94768816232681297</v>
      </c>
      <c r="BJ207">
        <v>-0.64275962114334095</v>
      </c>
      <c r="BK207">
        <v>-0.53833091259002697</v>
      </c>
      <c r="BL207">
        <v>-0.55108875036239602</v>
      </c>
      <c r="BM207">
        <v>-0.66740739345550504</v>
      </c>
      <c r="BN207">
        <v>-0.70789831876754805</v>
      </c>
      <c r="BO207">
        <v>-1.0059967041015601</v>
      </c>
      <c r="BP207">
        <v>-1.13433384895325</v>
      </c>
    </row>
    <row r="208" spans="1:68" x14ac:dyDescent="0.25">
      <c r="A208" t="s">
        <v>1449</v>
      </c>
      <c r="B208" t="s">
        <v>1450</v>
      </c>
      <c r="C208" t="s">
        <v>1044</v>
      </c>
      <c r="D208" t="s">
        <v>1045</v>
      </c>
      <c r="AO208">
        <v>-1.8453323841095</v>
      </c>
      <c r="AQ208">
        <v>-2.0378875732421902</v>
      </c>
      <c r="AS208">
        <v>-1.69159471988678</v>
      </c>
      <c r="AU208">
        <v>-1.6515132188796999</v>
      </c>
      <c r="AV208">
        <v>-1.11252212524414</v>
      </c>
      <c r="AW208">
        <v>-1.18624520301819</v>
      </c>
      <c r="AX208">
        <v>-1.0002124309539799</v>
      </c>
      <c r="AY208">
        <v>-0.68406194448471103</v>
      </c>
      <c r="AZ208">
        <v>-0.36021441221237199</v>
      </c>
      <c r="BA208">
        <v>-0.32766959071159402</v>
      </c>
      <c r="BB208">
        <v>-0.50689643621444702</v>
      </c>
      <c r="BC208">
        <v>-0.27209386229515098</v>
      </c>
      <c r="BD208">
        <v>-0.17711777985096</v>
      </c>
      <c r="BE208">
        <v>-0.230615198612213</v>
      </c>
      <c r="BF208">
        <v>-0.110951617360115</v>
      </c>
      <c r="BG208">
        <v>-0.313469648361206</v>
      </c>
      <c r="BH208">
        <v>2.5183784309774598E-3</v>
      </c>
      <c r="BI208">
        <v>-6.6518664360046401E-2</v>
      </c>
      <c r="BJ208">
        <v>7.8271016478538499E-2</v>
      </c>
      <c r="BK208">
        <v>0.10175202041864401</v>
      </c>
      <c r="BL208">
        <v>5.6992288678884499E-2</v>
      </c>
      <c r="BM208">
        <v>6.9456480443477603E-2</v>
      </c>
      <c r="BN208">
        <v>7.1973480284214006E-2</v>
      </c>
      <c r="BO208">
        <v>8.2752451300621005E-2</v>
      </c>
      <c r="BP208">
        <v>0.108091473579407</v>
      </c>
    </row>
    <row r="209" spans="1:68" x14ac:dyDescent="0.25">
      <c r="A209" t="s">
        <v>1451</v>
      </c>
      <c r="B209" t="s">
        <v>1452</v>
      </c>
      <c r="C209" t="s">
        <v>1044</v>
      </c>
      <c r="D209" t="s">
        <v>1045</v>
      </c>
    </row>
    <row r="210" spans="1:68" x14ac:dyDescent="0.25">
      <c r="A210" t="s">
        <v>1453</v>
      </c>
      <c r="B210" t="s">
        <v>1454</v>
      </c>
      <c r="C210" t="s">
        <v>1044</v>
      </c>
      <c r="D210" t="s">
        <v>1045</v>
      </c>
      <c r="AO210">
        <v>-0.18945783376693701</v>
      </c>
      <c r="AQ210">
        <v>0.110229097306728</v>
      </c>
      <c r="AS210">
        <v>0.22782160341739699</v>
      </c>
      <c r="AU210">
        <v>2.42432416416705E-3</v>
      </c>
      <c r="AV210">
        <v>0.141017645597458</v>
      </c>
      <c r="AW210">
        <v>-0.65463250875473</v>
      </c>
      <c r="AX210">
        <v>-0.24061401188373599</v>
      </c>
      <c r="AY210">
        <v>-0.52242380380630504</v>
      </c>
      <c r="AZ210">
        <v>-0.46730524301528897</v>
      </c>
      <c r="BA210">
        <v>-0.33652442693710299</v>
      </c>
      <c r="BB210">
        <v>-0.49253523349762002</v>
      </c>
      <c r="BC210">
        <v>-0.226726979017258</v>
      </c>
      <c r="BD210">
        <v>-0.46479964256286599</v>
      </c>
      <c r="BE210">
        <v>-0.48068824410438499</v>
      </c>
      <c r="BF210">
        <v>-0.43178412318229697</v>
      </c>
      <c r="BG210">
        <v>-0.28584465384483299</v>
      </c>
      <c r="BH210">
        <v>-0.63438719511032104</v>
      </c>
      <c r="BI210">
        <v>-0.47277110815048201</v>
      </c>
      <c r="BJ210">
        <v>-0.64962571859359697</v>
      </c>
      <c r="BK210">
        <v>-0.66098761558532704</v>
      </c>
      <c r="BL210">
        <v>-0.62404739856720004</v>
      </c>
      <c r="BM210">
        <v>-0.65063780546188399</v>
      </c>
      <c r="BN210">
        <v>-0.59235537052154497</v>
      </c>
      <c r="BO210">
        <v>-0.35580629110336298</v>
      </c>
      <c r="BP210">
        <v>-0.21322453022003199</v>
      </c>
    </row>
    <row r="211" spans="1:68" x14ac:dyDescent="0.25">
      <c r="A211" t="s">
        <v>1455</v>
      </c>
      <c r="B211" t="s">
        <v>1456</v>
      </c>
      <c r="C211" t="s">
        <v>1044</v>
      </c>
      <c r="D211" t="s">
        <v>1045</v>
      </c>
      <c r="AO211">
        <v>-2.47953200340271</v>
      </c>
      <c r="AQ211">
        <v>-2.2599682807922399</v>
      </c>
      <c r="AS211">
        <v>-2.24417304992676</v>
      </c>
      <c r="AU211">
        <v>-1.846431016922</v>
      </c>
      <c r="AV211">
        <v>-1.97705578804016</v>
      </c>
      <c r="AW211">
        <v>-1.5490369796752901</v>
      </c>
      <c r="AX211">
        <v>-1.9732959270477299</v>
      </c>
      <c r="AY211">
        <v>-2.13907742500305</v>
      </c>
      <c r="AZ211">
        <v>-2.3627247810363801</v>
      </c>
      <c r="BA211">
        <v>-2.4853482246398899</v>
      </c>
      <c r="BB211">
        <v>-2.64707374572754</v>
      </c>
      <c r="BC211">
        <v>-2.6652777194976802</v>
      </c>
      <c r="BD211">
        <v>-2.5229172706603999</v>
      </c>
      <c r="BE211">
        <v>-2.2605633735656698</v>
      </c>
      <c r="BF211">
        <v>-2.1930096149444598</v>
      </c>
      <c r="BG211">
        <v>-2.3630845546722399</v>
      </c>
      <c r="BH211">
        <v>-2.1551530361175502</v>
      </c>
      <c r="BI211">
        <v>-2.33110570907593</v>
      </c>
      <c r="BJ211">
        <v>-1.97152543067932</v>
      </c>
      <c r="BK211">
        <v>-1.8218629360198999</v>
      </c>
      <c r="BL211">
        <v>-1.69626581668854</v>
      </c>
      <c r="BM211">
        <v>-1.6571065187454199</v>
      </c>
      <c r="BN211">
        <v>-1.9876741170883201</v>
      </c>
      <c r="BO211">
        <v>-2.0769202709197998</v>
      </c>
      <c r="BP211">
        <v>-2.4669389724731401</v>
      </c>
    </row>
    <row r="212" spans="1:68" x14ac:dyDescent="0.25">
      <c r="A212" t="s">
        <v>1457</v>
      </c>
      <c r="B212" t="s">
        <v>1458</v>
      </c>
      <c r="C212" t="s">
        <v>1044</v>
      </c>
      <c r="D212" t="s">
        <v>1045</v>
      </c>
      <c r="AO212">
        <v>-0.60186666250228904</v>
      </c>
      <c r="AQ212">
        <v>-0.98823630809783902</v>
      </c>
      <c r="AS212">
        <v>-0.58789050579071001</v>
      </c>
      <c r="AU212">
        <v>-0.27394357323646501</v>
      </c>
      <c r="AV212">
        <v>-0.25017797946929898</v>
      </c>
      <c r="AW212">
        <v>2.95107942074537E-2</v>
      </c>
      <c r="AX212">
        <v>-0.204009935259819</v>
      </c>
      <c r="AY212">
        <v>-0.264316946268082</v>
      </c>
      <c r="AZ212">
        <v>-0.244918704032898</v>
      </c>
      <c r="BA212">
        <v>-0.14859133958816501</v>
      </c>
      <c r="BB212">
        <v>-0.205200999975204</v>
      </c>
      <c r="BC212">
        <v>-0.41792497038841198</v>
      </c>
      <c r="BD212">
        <v>-0.280602246522903</v>
      </c>
      <c r="BE212">
        <v>-0.108322031795979</v>
      </c>
      <c r="BF212">
        <v>-6.0722835361957599E-2</v>
      </c>
      <c r="BG212">
        <v>-0.19822309911251099</v>
      </c>
      <c r="BH212">
        <v>-0.12022524327039701</v>
      </c>
      <c r="BI212">
        <v>-0.22595489025116</v>
      </c>
      <c r="BJ212">
        <v>-5.57225905358791E-2</v>
      </c>
      <c r="BK212">
        <v>-0.10735750943422299</v>
      </c>
      <c r="BL212">
        <v>3.7576407194137601E-2</v>
      </c>
      <c r="BM212">
        <v>-0.14310294389724701</v>
      </c>
      <c r="BN212">
        <v>-0.17977111041545901</v>
      </c>
      <c r="BO212">
        <v>-0.15759366750717199</v>
      </c>
      <c r="BP212">
        <v>-0.138591378927231</v>
      </c>
    </row>
    <row r="213" spans="1:68" x14ac:dyDescent="0.25">
      <c r="A213" t="s">
        <v>1459</v>
      </c>
      <c r="B213" t="s">
        <v>1460</v>
      </c>
      <c r="C213" t="s">
        <v>1044</v>
      </c>
      <c r="D213" t="s">
        <v>1045</v>
      </c>
      <c r="AO213">
        <v>1.1156473159789999</v>
      </c>
      <c r="AQ213">
        <v>0.93010157346725497</v>
      </c>
      <c r="AS213">
        <v>1.1411114931106601</v>
      </c>
      <c r="AU213">
        <v>1.2535662651062001</v>
      </c>
      <c r="AV213">
        <v>0.87653601169586204</v>
      </c>
      <c r="AW213">
        <v>1.0929559469223</v>
      </c>
      <c r="AX213">
        <v>1.1533499956130999</v>
      </c>
      <c r="AY213">
        <v>1.2484928369522099</v>
      </c>
      <c r="AZ213">
        <v>1.17421102523804</v>
      </c>
      <c r="BA213">
        <v>1.34467613697052</v>
      </c>
      <c r="BB213">
        <v>1.1795911788940401</v>
      </c>
      <c r="BC213">
        <v>1.1694148778915401</v>
      </c>
      <c r="BD213">
        <v>1.19142174720764</v>
      </c>
      <c r="BE213">
        <v>1.36817455291748</v>
      </c>
      <c r="BF213">
        <v>1.378178358078</v>
      </c>
      <c r="BG213">
        <v>1.1862714290618901</v>
      </c>
      <c r="BH213">
        <v>1.2988921403884901</v>
      </c>
      <c r="BI213">
        <v>1.4774689674377399</v>
      </c>
      <c r="BJ213">
        <v>1.5991250276565601</v>
      </c>
      <c r="BK213">
        <v>1.46825659275055</v>
      </c>
      <c r="BL213">
        <v>1.4804542064666699</v>
      </c>
      <c r="BM213">
        <v>1.43851101398468</v>
      </c>
      <c r="BN213">
        <v>1.44250547885895</v>
      </c>
      <c r="BO213">
        <v>1.4403723478317301</v>
      </c>
      <c r="BP213">
        <v>1.4242042303085301</v>
      </c>
    </row>
    <row r="214" spans="1:68" x14ac:dyDescent="0.25">
      <c r="A214" t="s">
        <v>1461</v>
      </c>
      <c r="B214" t="s">
        <v>1462</v>
      </c>
      <c r="C214" t="s">
        <v>1044</v>
      </c>
      <c r="D214" t="s">
        <v>1045</v>
      </c>
      <c r="AO214">
        <v>1.03555142879486</v>
      </c>
      <c r="AQ214">
        <v>1.11396324634552</v>
      </c>
      <c r="AS214">
        <v>-0.73295265436172496</v>
      </c>
      <c r="AU214">
        <v>-0.43754518032074002</v>
      </c>
      <c r="AV214">
        <v>0.359491646289825</v>
      </c>
      <c r="AW214">
        <v>1.8688952550292001E-2</v>
      </c>
      <c r="AX214">
        <v>-1.7183067277073898E-2</v>
      </c>
      <c r="AY214">
        <v>6.7208662629127502E-2</v>
      </c>
      <c r="AZ214">
        <v>0.230097040534019</v>
      </c>
      <c r="BA214">
        <v>0.20639355480670901</v>
      </c>
      <c r="BB214">
        <v>0.21501873433589899</v>
      </c>
      <c r="BC214">
        <v>0.34329384565353399</v>
      </c>
      <c r="BD214">
        <v>0.30755838751792902</v>
      </c>
      <c r="BE214">
        <v>0.18731634318828599</v>
      </c>
      <c r="BF214">
        <v>0.30038270354270902</v>
      </c>
      <c r="BG214">
        <v>0.47022482752799999</v>
      </c>
      <c r="BH214">
        <v>0.63998657464981101</v>
      </c>
      <c r="BI214">
        <v>0.49175438284874001</v>
      </c>
      <c r="BJ214">
        <v>0.188088729977608</v>
      </c>
      <c r="BK214">
        <v>0.35522001981735202</v>
      </c>
      <c r="BL214">
        <v>0.49718517065048201</v>
      </c>
      <c r="BM214">
        <v>0.56044656038284302</v>
      </c>
      <c r="BN214">
        <v>0.54187476634979204</v>
      </c>
      <c r="BO214">
        <v>0.41390562057495101</v>
      </c>
      <c r="BP214">
        <v>0.445870101451874</v>
      </c>
    </row>
    <row r="215" spans="1:68" x14ac:dyDescent="0.25">
      <c r="A215" t="s">
        <v>1463</v>
      </c>
      <c r="B215" t="s">
        <v>1464</v>
      </c>
      <c r="C215" t="s">
        <v>1044</v>
      </c>
      <c r="D215" t="s">
        <v>1045</v>
      </c>
      <c r="AO215">
        <v>-1.6970975399017301</v>
      </c>
      <c r="AQ215">
        <v>-2.1732010841369598</v>
      </c>
      <c r="AS215">
        <v>-1.86868572235107</v>
      </c>
      <c r="AU215">
        <v>-0.69139599800109897</v>
      </c>
      <c r="AV215">
        <v>-1.08121025562286</v>
      </c>
      <c r="AW215">
        <v>-0.51473152637481701</v>
      </c>
      <c r="AX215">
        <v>-0.48106777667999301</v>
      </c>
      <c r="AY215">
        <v>-0.30288380384445202</v>
      </c>
      <c r="AZ215">
        <v>-6.1578195542097099E-2</v>
      </c>
      <c r="BA215">
        <v>-0.23980890214443201</v>
      </c>
      <c r="BB215">
        <v>-0.28903025388717701</v>
      </c>
      <c r="BC215">
        <v>-0.23664537072181699</v>
      </c>
      <c r="BD215">
        <v>-0.16844485700130499</v>
      </c>
      <c r="BE215">
        <v>-0.27994528412818898</v>
      </c>
      <c r="BF215">
        <v>-0.17471827566623699</v>
      </c>
      <c r="BG215">
        <v>-0.104039676487446</v>
      </c>
      <c r="BH215">
        <v>-0.106272891163826</v>
      </c>
      <c r="BI215">
        <v>-0.16711315512657199</v>
      </c>
      <c r="BJ215">
        <v>-3.9426550269126899E-2</v>
      </c>
      <c r="BK215">
        <v>-8.8795371353626307E-2</v>
      </c>
      <c r="BL215">
        <v>-5.6914806365966797E-2</v>
      </c>
      <c r="BM215">
        <v>-0.30238461494445801</v>
      </c>
      <c r="BN215">
        <v>-9.6972122788429302E-2</v>
      </c>
      <c r="BO215">
        <v>-9.4513207674026503E-2</v>
      </c>
      <c r="BP215">
        <v>-0.23868872225284599</v>
      </c>
    </row>
    <row r="216" spans="1:68" x14ac:dyDescent="0.25">
      <c r="A216" t="s">
        <v>1465</v>
      </c>
      <c r="B216" t="s">
        <v>1466</v>
      </c>
      <c r="C216" t="s">
        <v>1044</v>
      </c>
      <c r="D216" t="s">
        <v>1045</v>
      </c>
      <c r="AO216">
        <v>-0.21537037193775199</v>
      </c>
      <c r="AQ216">
        <v>9.0679064393043504E-2</v>
      </c>
      <c r="AS216">
        <v>0.32920533418655401</v>
      </c>
      <c r="AU216">
        <v>0.29399412870407099</v>
      </c>
      <c r="AV216">
        <v>-0.18075387179851499</v>
      </c>
      <c r="AW216">
        <v>-6.9100975990295396E-2</v>
      </c>
      <c r="AX216">
        <v>-3.3760875463485697E-2</v>
      </c>
      <c r="AY216">
        <v>-0.168158024549484</v>
      </c>
      <c r="AZ216">
        <v>-7.2707314975559703E-3</v>
      </c>
      <c r="BA216">
        <v>3.9393112063407898E-2</v>
      </c>
      <c r="BB216">
        <v>-7.11627723649144E-3</v>
      </c>
      <c r="BC216">
        <v>5.8842226862907403E-2</v>
      </c>
      <c r="BD216">
        <v>0.111001193523407</v>
      </c>
      <c r="BE216">
        <v>0.23458397388458299</v>
      </c>
      <c r="BF216">
        <v>-3.3658903092145899E-2</v>
      </c>
      <c r="BG216">
        <v>-2.4590004235506099E-2</v>
      </c>
      <c r="BH216">
        <v>-2.0496048033237499E-2</v>
      </c>
      <c r="BI216">
        <v>-0.104568757116795</v>
      </c>
      <c r="BJ216">
        <v>-0.263820260763168</v>
      </c>
      <c r="BK216">
        <v>-0.38915964961051902</v>
      </c>
      <c r="BL216">
        <v>-0.12022831290960299</v>
      </c>
      <c r="BM216">
        <v>-0.1149922311306</v>
      </c>
      <c r="BN216">
        <v>-9.1492086648940998E-2</v>
      </c>
      <c r="BO216">
        <v>-0.35247483849525502</v>
      </c>
      <c r="BP216">
        <v>2.3323998320847702E-3</v>
      </c>
    </row>
    <row r="217" spans="1:68" x14ac:dyDescent="0.25">
      <c r="A217" t="s">
        <v>1467</v>
      </c>
      <c r="B217" t="s">
        <v>1468</v>
      </c>
      <c r="C217" t="s">
        <v>1044</v>
      </c>
      <c r="D217" t="s">
        <v>1045</v>
      </c>
      <c r="AV217">
        <v>1.1697852611541699</v>
      </c>
      <c r="AW217">
        <v>1.13185334205627</v>
      </c>
      <c r="AX217">
        <v>1.0707448720932</v>
      </c>
      <c r="AY217">
        <v>1.04072260856628</v>
      </c>
      <c r="AZ217">
        <v>1.0889655351638801</v>
      </c>
      <c r="BA217">
        <v>1.0120828151702901</v>
      </c>
      <c r="BB217">
        <v>1.3850017786026001</v>
      </c>
      <c r="BC217">
        <v>1.45398449897766</v>
      </c>
      <c r="BD217">
        <v>1.0618038177490201</v>
      </c>
      <c r="BE217">
        <v>1.02640020847321</v>
      </c>
      <c r="BF217">
        <v>1.054114818573</v>
      </c>
      <c r="BG217">
        <v>0.98958575725555398</v>
      </c>
      <c r="BH217">
        <v>1.3659853935241699</v>
      </c>
      <c r="BI217">
        <v>1.3827502727508501</v>
      </c>
      <c r="BJ217">
        <v>1.39288973808289</v>
      </c>
      <c r="BK217">
        <v>1.3912485837936399</v>
      </c>
      <c r="BL217">
        <v>1.2259713411331199</v>
      </c>
      <c r="BM217">
        <v>1.1773105859756501</v>
      </c>
      <c r="BN217">
        <v>1.1726552248001101</v>
      </c>
      <c r="BO217">
        <v>1.1870324611663801</v>
      </c>
      <c r="BP217">
        <v>1.1849790811538701</v>
      </c>
    </row>
    <row r="218" spans="1:68" x14ac:dyDescent="0.25">
      <c r="A218" t="s">
        <v>1469</v>
      </c>
      <c r="B218" t="s">
        <v>1470</v>
      </c>
      <c r="C218" t="s">
        <v>1044</v>
      </c>
      <c r="D218" t="s">
        <v>1045</v>
      </c>
      <c r="AO218">
        <v>-2.50936651229858</v>
      </c>
      <c r="AQ218">
        <v>-2.14295434951782</v>
      </c>
      <c r="AS218">
        <v>-1.9487872123718299</v>
      </c>
      <c r="AU218">
        <v>-2.3689520359039302</v>
      </c>
      <c r="AV218">
        <v>-2.5748209953308101</v>
      </c>
      <c r="AW218">
        <v>-2.87853956222534</v>
      </c>
      <c r="AX218">
        <v>-2.7055900096893302</v>
      </c>
      <c r="AY218">
        <v>-2.7463502883911102</v>
      </c>
      <c r="AZ218">
        <v>-3.2284970283508301</v>
      </c>
      <c r="BA218">
        <v>-3.28051733970642</v>
      </c>
      <c r="BB218">
        <v>-3.3129510879516602</v>
      </c>
      <c r="BC218">
        <v>-3.13097143173218</v>
      </c>
      <c r="BD218">
        <v>-3.0838465690612802</v>
      </c>
      <c r="BE218">
        <v>-2.8607554435729998</v>
      </c>
      <c r="BF218">
        <v>-2.7586865425109899</v>
      </c>
      <c r="BG218">
        <v>-2.5158281326293901</v>
      </c>
      <c r="BH218">
        <v>-2.37008881568909</v>
      </c>
      <c r="BI218">
        <v>-2.34715795516968</v>
      </c>
      <c r="BJ218">
        <v>-2.2499113082885702</v>
      </c>
      <c r="BK218">
        <v>-2.2491157054901101</v>
      </c>
      <c r="BL218">
        <v>-2.38640308380127</v>
      </c>
      <c r="BM218">
        <v>-2.5814692974090598</v>
      </c>
      <c r="BN218">
        <v>-2.72733855247498</v>
      </c>
      <c r="BO218">
        <v>-2.4296960830688499</v>
      </c>
      <c r="BP218">
        <v>-2.3776009082794198</v>
      </c>
    </row>
    <row r="219" spans="1:68" x14ac:dyDescent="0.25">
      <c r="A219" t="s">
        <v>1471</v>
      </c>
      <c r="B219" t="s">
        <v>1472</v>
      </c>
      <c r="C219" t="s">
        <v>1044</v>
      </c>
      <c r="D219" t="s">
        <v>1045</v>
      </c>
      <c r="AO219">
        <v>-1.0347198247909499</v>
      </c>
      <c r="AQ219">
        <v>-2.1424486637115501</v>
      </c>
      <c r="AS219">
        <v>-1.64359843730927</v>
      </c>
      <c r="AU219">
        <v>-0.51254600286483798</v>
      </c>
      <c r="AV219">
        <v>-0.58254206180572499</v>
      </c>
      <c r="AW219">
        <v>-0.50758415460586503</v>
      </c>
      <c r="AX219">
        <v>-0.76241356134414695</v>
      </c>
      <c r="AY219">
        <v>-0.53756844997405995</v>
      </c>
      <c r="AZ219">
        <v>-0.59135794639587402</v>
      </c>
      <c r="BA219">
        <v>-0.54271298646926902</v>
      </c>
      <c r="BB219">
        <v>-0.47735854983329801</v>
      </c>
      <c r="BC219">
        <v>-0.42174166440963701</v>
      </c>
      <c r="BD219">
        <v>-0.28288206458091703</v>
      </c>
      <c r="BE219">
        <v>-0.21729946136474601</v>
      </c>
      <c r="BF219">
        <v>-7.56380930542946E-2</v>
      </c>
      <c r="BG219">
        <v>0.18411077558994299</v>
      </c>
      <c r="BH219">
        <v>0.23483303189277599</v>
      </c>
      <c r="BI219">
        <v>0.13328160345554399</v>
      </c>
      <c r="BJ219">
        <v>8.3367988467216506E-2</v>
      </c>
      <c r="BK219">
        <v>5.3210719488561197E-3</v>
      </c>
      <c r="BL219">
        <v>-7.80515447258949E-2</v>
      </c>
      <c r="BM219">
        <v>-0.17075441777706099</v>
      </c>
      <c r="BN219">
        <v>-8.5211463272571605E-2</v>
      </c>
      <c r="BO219">
        <v>-0.174069464206696</v>
      </c>
      <c r="BP219">
        <v>-3.9109706878662102E-2</v>
      </c>
    </row>
    <row r="220" spans="1:68" x14ac:dyDescent="0.25">
      <c r="A220" t="s">
        <v>1473</v>
      </c>
      <c r="B220" t="s">
        <v>1474</v>
      </c>
      <c r="C220" t="s">
        <v>1044</v>
      </c>
      <c r="D220" t="s">
        <v>1045</v>
      </c>
    </row>
    <row r="221" spans="1:68" x14ac:dyDescent="0.25">
      <c r="A221" t="s">
        <v>1475</v>
      </c>
      <c r="B221" t="s">
        <v>1476</v>
      </c>
      <c r="C221" t="s">
        <v>1044</v>
      </c>
      <c r="D221" t="s">
        <v>1045</v>
      </c>
      <c r="BD221">
        <v>-1.4303284883499101</v>
      </c>
      <c r="BE221">
        <v>-1.15658330917358</v>
      </c>
      <c r="BF221">
        <v>-1.7303286790847801</v>
      </c>
      <c r="BG221">
        <v>-2.6465766429901101</v>
      </c>
      <c r="BH221">
        <v>-2.37200832366943</v>
      </c>
      <c r="BI221">
        <v>-2.41249680519104</v>
      </c>
      <c r="BJ221">
        <v>-2.4462370872497599</v>
      </c>
      <c r="BK221">
        <v>-2.4347064495086701</v>
      </c>
      <c r="BL221">
        <v>-2.5184676647186302</v>
      </c>
      <c r="BM221">
        <v>-2.1917364597320601</v>
      </c>
      <c r="BN221">
        <v>-2.2873280048370401</v>
      </c>
      <c r="BO221">
        <v>-2.2130999565124498</v>
      </c>
      <c r="BP221">
        <v>-2.18610787391663</v>
      </c>
    </row>
    <row r="222" spans="1:68" x14ac:dyDescent="0.25">
      <c r="A222" t="s">
        <v>1477</v>
      </c>
      <c r="B222" t="s">
        <v>1478</v>
      </c>
      <c r="C222" t="s">
        <v>1044</v>
      </c>
      <c r="D222" t="s">
        <v>1045</v>
      </c>
    </row>
    <row r="223" spans="1:68" x14ac:dyDescent="0.25">
      <c r="A223" t="s">
        <v>1479</v>
      </c>
      <c r="B223" t="s">
        <v>1480</v>
      </c>
      <c r="C223" t="s">
        <v>1044</v>
      </c>
      <c r="D223" t="s">
        <v>1045</v>
      </c>
    </row>
    <row r="224" spans="1:68" x14ac:dyDescent="0.25">
      <c r="A224" t="s">
        <v>1481</v>
      </c>
      <c r="B224" t="s">
        <v>1482</v>
      </c>
      <c r="C224" t="s">
        <v>1044</v>
      </c>
      <c r="D224" t="s">
        <v>1045</v>
      </c>
      <c r="AO224">
        <v>1.05037176609039</v>
      </c>
      <c r="AQ224">
        <v>1.0842658281326301</v>
      </c>
      <c r="AS224">
        <v>1.15119981765747</v>
      </c>
      <c r="AU224">
        <v>0.55583417415618896</v>
      </c>
      <c r="AV224">
        <v>0.25944972038268999</v>
      </c>
      <c r="AW224">
        <v>0.57232552766799905</v>
      </c>
      <c r="AX224">
        <v>0.575508892536163</v>
      </c>
      <c r="AY224">
        <v>0.34757423400878901</v>
      </c>
      <c r="AZ224">
        <v>0.39413946866989102</v>
      </c>
      <c r="BA224">
        <v>0.17534619569778401</v>
      </c>
      <c r="BB224">
        <v>0.146619737148285</v>
      </c>
      <c r="BC224">
        <v>0.115442857146263</v>
      </c>
      <c r="BD224">
        <v>7.8263999894261395E-3</v>
      </c>
      <c r="BE224">
        <v>1.33354179561138E-2</v>
      </c>
      <c r="BF224">
        <v>0.111840724945068</v>
      </c>
      <c r="BG224">
        <v>0.18418300151825001</v>
      </c>
      <c r="BH224">
        <v>0.13627190887928001</v>
      </c>
      <c r="BI224">
        <v>0.215979158878326</v>
      </c>
      <c r="BJ224">
        <v>0.18346159160137199</v>
      </c>
      <c r="BK224">
        <v>0.51594835519790605</v>
      </c>
      <c r="BL224">
        <v>0.50065129995346103</v>
      </c>
      <c r="BM224">
        <v>0.48960068821906999</v>
      </c>
      <c r="BN224">
        <v>0.58520460128784202</v>
      </c>
      <c r="BO224">
        <v>0.46035882830619801</v>
      </c>
      <c r="BP224">
        <v>0.44070503115653997</v>
      </c>
    </row>
    <row r="225" spans="1:68" x14ac:dyDescent="0.25">
      <c r="A225" t="s">
        <v>1483</v>
      </c>
      <c r="B225" t="s">
        <v>1484</v>
      </c>
      <c r="C225" t="s">
        <v>1044</v>
      </c>
      <c r="D225" t="s">
        <v>1045</v>
      </c>
      <c r="AO225">
        <v>0.440209209918976</v>
      </c>
      <c r="AQ225">
        <v>0.59926909208297696</v>
      </c>
      <c r="AS225">
        <v>0.21245123445987699</v>
      </c>
      <c r="AU225">
        <v>0.49268335103988598</v>
      </c>
      <c r="AV225">
        <v>0.48330250382423401</v>
      </c>
      <c r="AW225">
        <v>0.30226343870163003</v>
      </c>
      <c r="AX225">
        <v>0.23304450511932401</v>
      </c>
      <c r="AY225">
        <v>-1.39150014147162E-2</v>
      </c>
      <c r="AZ225">
        <v>-1.7322771251201598E-2</v>
      </c>
      <c r="BA225">
        <v>9.9638082087039906E-2</v>
      </c>
      <c r="BB225">
        <v>0.147267401218414</v>
      </c>
      <c r="BC225">
        <v>8.2475461065769196E-2</v>
      </c>
      <c r="BD225">
        <v>0.119975283741951</v>
      </c>
      <c r="BE225">
        <v>7.9325452446937603E-2</v>
      </c>
      <c r="BF225">
        <v>0.132779225707054</v>
      </c>
      <c r="BG225">
        <v>0.24927084147930101</v>
      </c>
      <c r="BH225">
        <v>0.24950930476188701</v>
      </c>
      <c r="BI225">
        <v>0.15281789004802701</v>
      </c>
      <c r="BJ225">
        <v>0.11980140209197999</v>
      </c>
      <c r="BK225">
        <v>5.8266103267669699E-2</v>
      </c>
      <c r="BL225">
        <v>8.7680511176586207E-2</v>
      </c>
      <c r="BM225">
        <v>0.418843954801559</v>
      </c>
      <c r="BN225">
        <v>0.34839215874671903</v>
      </c>
      <c r="BO225">
        <v>0.39968919754028298</v>
      </c>
      <c r="BP225">
        <v>0.41273847222328203</v>
      </c>
    </row>
    <row r="226" spans="1:68" x14ac:dyDescent="0.25">
      <c r="A226" t="s">
        <v>1485</v>
      </c>
      <c r="B226" t="s">
        <v>1486</v>
      </c>
      <c r="C226" t="s">
        <v>1044</v>
      </c>
      <c r="D226" t="s">
        <v>1045</v>
      </c>
      <c r="AO226">
        <v>0.87893170118331898</v>
      </c>
      <c r="AQ226">
        <v>1.18025457859039</v>
      </c>
      <c r="AS226">
        <v>0.66358667612075795</v>
      </c>
      <c r="AU226">
        <v>0.94003003835678101</v>
      </c>
      <c r="AV226">
        <v>0.94793349504470803</v>
      </c>
      <c r="AW226">
        <v>0.59353601932525601</v>
      </c>
      <c r="AX226">
        <v>0.89807271957397505</v>
      </c>
      <c r="AY226">
        <v>0.78417867422103904</v>
      </c>
      <c r="AZ226">
        <v>1.03668713569641</v>
      </c>
      <c r="BA226">
        <v>1.0821361541748</v>
      </c>
      <c r="BB226">
        <v>0.92049682140350297</v>
      </c>
      <c r="BC226">
        <v>1.05331683158875</v>
      </c>
      <c r="BD226">
        <v>0.97475731372833296</v>
      </c>
      <c r="BE226">
        <v>1.08840095996857</v>
      </c>
      <c r="BF226">
        <v>1.11951816082001</v>
      </c>
      <c r="BG226">
        <v>1.0391211509704601</v>
      </c>
      <c r="BH226">
        <v>0.86575943231582597</v>
      </c>
      <c r="BI226">
        <v>0.70823055505752597</v>
      </c>
      <c r="BJ226">
        <v>0.90273147821426403</v>
      </c>
      <c r="BK226">
        <v>0.73668581247329701</v>
      </c>
      <c r="BL226">
        <v>0.66736882925033603</v>
      </c>
      <c r="BM226">
        <v>0.63398170471191395</v>
      </c>
      <c r="BN226">
        <v>0.61791902780532804</v>
      </c>
      <c r="BO226">
        <v>0.44533574581146201</v>
      </c>
      <c r="BP226">
        <v>0.57321929931640603</v>
      </c>
    </row>
    <row r="227" spans="1:68" x14ac:dyDescent="0.25">
      <c r="A227" t="s">
        <v>1487</v>
      </c>
      <c r="B227" t="s">
        <v>1488</v>
      </c>
      <c r="C227" t="s">
        <v>1044</v>
      </c>
      <c r="D227" t="s">
        <v>1045</v>
      </c>
      <c r="AO227">
        <v>1.3117263317108201</v>
      </c>
      <c r="AQ227">
        <v>1.24313056468964</v>
      </c>
      <c r="AS227">
        <v>0.88678932189941395</v>
      </c>
      <c r="AU227">
        <v>1.30383324623108</v>
      </c>
      <c r="AV227">
        <v>1.18649446964264</v>
      </c>
      <c r="AW227">
        <v>1.0816134214401201</v>
      </c>
      <c r="AX227">
        <v>1.09281122684479</v>
      </c>
      <c r="AY227">
        <v>1.0857290029525799</v>
      </c>
      <c r="AZ227">
        <v>1.0986293554305999</v>
      </c>
      <c r="BA227">
        <v>1.14937436580658</v>
      </c>
      <c r="BB227">
        <v>0.93690580129623402</v>
      </c>
      <c r="BC227">
        <v>0.86650884151458696</v>
      </c>
      <c r="BD227">
        <v>0.96920967102050803</v>
      </c>
      <c r="BE227">
        <v>0.93511068820953402</v>
      </c>
      <c r="BF227">
        <v>0.88225167989730802</v>
      </c>
      <c r="BG227">
        <v>0.96577340364456199</v>
      </c>
      <c r="BH227">
        <v>0.94749200344085704</v>
      </c>
      <c r="BI227">
        <v>0.97914189100265503</v>
      </c>
      <c r="BJ227">
        <v>0.86636549234390303</v>
      </c>
      <c r="BK227">
        <v>0.89426726102829002</v>
      </c>
      <c r="BL227">
        <v>0.80158597230911299</v>
      </c>
      <c r="BM227">
        <v>0.70146793127059903</v>
      </c>
      <c r="BN227">
        <v>0.75558537244796797</v>
      </c>
      <c r="BO227">
        <v>0.70933508872985795</v>
      </c>
      <c r="BP227">
        <v>0.81863284111022905</v>
      </c>
    </row>
    <row r="228" spans="1:68" x14ac:dyDescent="0.25">
      <c r="A228" t="s">
        <v>1489</v>
      </c>
      <c r="B228" t="s">
        <v>1490</v>
      </c>
      <c r="C228" t="s">
        <v>1044</v>
      </c>
      <c r="D228" t="s">
        <v>1045</v>
      </c>
      <c r="AO228">
        <v>1.45682156085968</v>
      </c>
      <c r="AQ228">
        <v>1.3991895914077801</v>
      </c>
      <c r="AS228">
        <v>1.3917720317840601</v>
      </c>
      <c r="AU228">
        <v>1.47525751590729</v>
      </c>
      <c r="AV228">
        <v>1.34161329269409</v>
      </c>
      <c r="AW228">
        <v>1.36222684383392</v>
      </c>
      <c r="AX228">
        <v>1.29990482330322</v>
      </c>
      <c r="AY228">
        <v>1.29393398761749</v>
      </c>
      <c r="AZ228">
        <v>1.27147829532623</v>
      </c>
      <c r="BA228">
        <v>1.1283365488052399</v>
      </c>
      <c r="BB228">
        <v>1.08463823795319</v>
      </c>
      <c r="BC228">
        <v>1.09417045116425</v>
      </c>
      <c r="BD228">
        <v>1.2306880950927701</v>
      </c>
      <c r="BE228">
        <v>1.1705971956253101</v>
      </c>
      <c r="BF228">
        <v>1.1277780532836901</v>
      </c>
      <c r="BG228">
        <v>1.0654147863388099</v>
      </c>
      <c r="BH228">
        <v>0.93267047405242898</v>
      </c>
      <c r="BI228">
        <v>1.00078213214874</v>
      </c>
      <c r="BJ228">
        <v>0.968603014945984</v>
      </c>
      <c r="BK228">
        <v>0.92141759395599399</v>
      </c>
      <c r="BL228">
        <v>1.01188635826111</v>
      </c>
      <c r="BM228">
        <v>0.99737679958343495</v>
      </c>
      <c r="BN228">
        <v>1.0145080089569101</v>
      </c>
      <c r="BO228">
        <v>0.91090512275695801</v>
      </c>
      <c r="BP228">
        <v>0.75836527347564697</v>
      </c>
    </row>
    <row r="229" spans="1:68" x14ac:dyDescent="0.25">
      <c r="A229" t="s">
        <v>1491</v>
      </c>
      <c r="B229" t="s">
        <v>1492</v>
      </c>
      <c r="C229" t="s">
        <v>1044</v>
      </c>
      <c r="D229" t="s">
        <v>1045</v>
      </c>
      <c r="AO229">
        <v>-0.20682138204574599</v>
      </c>
      <c r="AQ229">
        <v>-5.00163901597261E-3</v>
      </c>
      <c r="AS229">
        <v>3.7518527358770398E-2</v>
      </c>
      <c r="AU229">
        <v>0.12636622786521901</v>
      </c>
      <c r="AV229">
        <v>6.6245928406715393E-2</v>
      </c>
      <c r="AW229">
        <v>-4.6601896174251999E-3</v>
      </c>
      <c r="AX229">
        <v>-0.39314877986907998</v>
      </c>
      <c r="AY229">
        <v>-0.27087000012397799</v>
      </c>
      <c r="AZ229">
        <v>4.8026636242866502E-2</v>
      </c>
      <c r="BA229">
        <v>-7.7395975589752197E-2</v>
      </c>
      <c r="BB229">
        <v>-1.47166308015585E-2</v>
      </c>
      <c r="BC229">
        <v>-7.6072692871093806E-2</v>
      </c>
      <c r="BD229">
        <v>-0.47973582148551902</v>
      </c>
      <c r="BE229">
        <v>-0.40769234299659701</v>
      </c>
      <c r="BF229">
        <v>-0.431911140680313</v>
      </c>
      <c r="BG229">
        <v>-0.50055974721908603</v>
      </c>
      <c r="BH229">
        <v>-0.48020920157432601</v>
      </c>
      <c r="BI229">
        <v>-0.49432307481765703</v>
      </c>
      <c r="BJ229">
        <v>-0.27087739109992998</v>
      </c>
      <c r="BK229">
        <v>-0.37774962186813399</v>
      </c>
      <c r="BL229">
        <v>-0.274377912282944</v>
      </c>
      <c r="BM229">
        <v>-4.05469462275505E-2</v>
      </c>
      <c r="BN229">
        <v>-0.346009790897369</v>
      </c>
      <c r="BO229">
        <v>-0.210463792085648</v>
      </c>
      <c r="BP229">
        <v>-0.35759127140045199</v>
      </c>
    </row>
    <row r="230" spans="1:68" x14ac:dyDescent="0.25">
      <c r="A230" t="s">
        <v>1493</v>
      </c>
      <c r="B230" t="s">
        <v>1494</v>
      </c>
      <c r="C230" t="s">
        <v>1044</v>
      </c>
      <c r="D230" t="s">
        <v>1045</v>
      </c>
    </row>
    <row r="231" spans="1:68" x14ac:dyDescent="0.25">
      <c r="A231" t="s">
        <v>1495</v>
      </c>
      <c r="B231" t="s">
        <v>1496</v>
      </c>
      <c r="C231" t="s">
        <v>1044</v>
      </c>
      <c r="D231" t="s">
        <v>1045</v>
      </c>
      <c r="AO231">
        <v>1.05037176609039</v>
      </c>
      <c r="AQ231">
        <v>1.0842658281326301</v>
      </c>
      <c r="AS231">
        <v>1.28314232826233</v>
      </c>
      <c r="AU231">
        <v>0.90340894460678101</v>
      </c>
      <c r="AV231">
        <v>0.64585721492767301</v>
      </c>
      <c r="AW231">
        <v>0.65579003095626798</v>
      </c>
      <c r="AX231">
        <v>0.93184721469879195</v>
      </c>
      <c r="AY231">
        <v>0.91274857521057096</v>
      </c>
      <c r="AZ231">
        <v>0.78765720129013095</v>
      </c>
      <c r="BA231">
        <v>0.74890935420990001</v>
      </c>
      <c r="BB231">
        <v>0.59813714027404796</v>
      </c>
      <c r="BC231">
        <v>0.85676622390747104</v>
      </c>
      <c r="BD231">
        <v>0.93775409460067705</v>
      </c>
      <c r="BE231">
        <v>0.74426633119583097</v>
      </c>
      <c r="BF231">
        <v>0.82558894157409701</v>
      </c>
      <c r="BG231">
        <v>0.36163243651390098</v>
      </c>
      <c r="BH231">
        <v>0.67456954717636097</v>
      </c>
      <c r="BI231">
        <v>0.71595317125320401</v>
      </c>
      <c r="BJ231">
        <v>0.77947378158569303</v>
      </c>
      <c r="BK231">
        <v>0.67399418354034402</v>
      </c>
      <c r="BL231">
        <v>0.65878689289092995</v>
      </c>
      <c r="BM231">
        <v>0.70183646678924605</v>
      </c>
      <c r="BN231">
        <v>0.74473696947097801</v>
      </c>
      <c r="BO231">
        <v>0.76252311468124401</v>
      </c>
      <c r="BP231">
        <v>0.76350051164627097</v>
      </c>
    </row>
    <row r="232" spans="1:68" x14ac:dyDescent="0.25">
      <c r="A232" t="s">
        <v>1497</v>
      </c>
      <c r="B232" t="s">
        <v>1498</v>
      </c>
      <c r="C232" t="s">
        <v>1044</v>
      </c>
      <c r="D232" t="s">
        <v>1045</v>
      </c>
      <c r="AO232">
        <v>-0.34795987606048601</v>
      </c>
      <c r="AQ232">
        <v>-4.4106580317020402E-2</v>
      </c>
      <c r="AS232">
        <v>-0.18045094609260601</v>
      </c>
      <c r="AU232">
        <v>0.27753600478172302</v>
      </c>
      <c r="AV232">
        <v>6.3645198941230802E-2</v>
      </c>
      <c r="AW232">
        <v>-0.28574633598327598</v>
      </c>
      <c r="AX232">
        <v>-0.46160858869552601</v>
      </c>
      <c r="AY232">
        <v>-0.27821782231330899</v>
      </c>
      <c r="AZ232">
        <v>-0.33987611532211298</v>
      </c>
      <c r="BA232">
        <v>-0.33903604745864901</v>
      </c>
      <c r="BB232">
        <v>-0.50910055637359597</v>
      </c>
      <c r="BC232">
        <v>-0.80578970909118697</v>
      </c>
      <c r="BD232">
        <v>-2.01210689544678</v>
      </c>
      <c r="BE232">
        <v>-2.6822738647460902</v>
      </c>
      <c r="BF232">
        <v>-2.6811428070068399</v>
      </c>
      <c r="BG232">
        <v>-2.7488241195678702</v>
      </c>
      <c r="BH232">
        <v>-2.965176820755</v>
      </c>
      <c r="BI232">
        <v>-2.9060361385345499</v>
      </c>
      <c r="BJ232">
        <v>-2.6129193305969198</v>
      </c>
      <c r="BK232">
        <v>-2.7364559173584002</v>
      </c>
      <c r="BL232">
        <v>-2.73046922683716</v>
      </c>
      <c r="BM232">
        <v>-2.7118477821350102</v>
      </c>
      <c r="BN232">
        <v>-2.65965008735657</v>
      </c>
      <c r="BO232">
        <v>-2.7768983840942401</v>
      </c>
      <c r="BP232">
        <v>-2.7506067752838099</v>
      </c>
    </row>
    <row r="233" spans="1:68" x14ac:dyDescent="0.25">
      <c r="A233" t="s">
        <v>1499</v>
      </c>
      <c r="B233" t="s">
        <v>1500</v>
      </c>
      <c r="C233" t="s">
        <v>1044</v>
      </c>
      <c r="D233" t="s">
        <v>1045</v>
      </c>
    </row>
    <row r="234" spans="1:68" x14ac:dyDescent="0.25">
      <c r="A234" t="s">
        <v>1501</v>
      </c>
      <c r="B234" t="s">
        <v>1502</v>
      </c>
      <c r="C234" t="s">
        <v>1044</v>
      </c>
      <c r="D234" t="s">
        <v>1045</v>
      </c>
      <c r="AO234">
        <v>-0.99860155582428001</v>
      </c>
      <c r="AQ234">
        <v>-1.3064336776733401</v>
      </c>
      <c r="AS234">
        <v>-1.13475406169891</v>
      </c>
      <c r="AU234">
        <v>-1.5596188306808501</v>
      </c>
      <c r="AV234">
        <v>-1.37243020534515</v>
      </c>
      <c r="AW234">
        <v>-1.53945684432983</v>
      </c>
      <c r="AX234">
        <v>-1.4422371387481701</v>
      </c>
      <c r="AY234">
        <v>-1.83175504207611</v>
      </c>
      <c r="AZ234">
        <v>-1.86808049678802</v>
      </c>
      <c r="BA234">
        <v>-1.9651966094970701</v>
      </c>
      <c r="BB234">
        <v>-1.72622966766357</v>
      </c>
      <c r="BC234">
        <v>-1.5248277187347401</v>
      </c>
      <c r="BD234">
        <v>-1.3180851936340301</v>
      </c>
      <c r="BE234">
        <v>-1.04411733150482</v>
      </c>
      <c r="BF234">
        <v>-1.08947229385376</v>
      </c>
      <c r="BG234">
        <v>-1.5688827037811299</v>
      </c>
      <c r="BH234">
        <v>-0.97328174114227295</v>
      </c>
      <c r="BI234">
        <v>-1.3018941879272501</v>
      </c>
      <c r="BJ234">
        <v>-1.28639268875122</v>
      </c>
      <c r="BK234">
        <v>-1.47801554203033</v>
      </c>
      <c r="BL234">
        <v>-1.3504511117935201</v>
      </c>
      <c r="BM234">
        <v>-1.25522029399872</v>
      </c>
      <c r="BN234">
        <v>-1.38986551761627</v>
      </c>
      <c r="BO234">
        <v>-1.4704048633575399</v>
      </c>
      <c r="BP234">
        <v>-1.5594629049301101</v>
      </c>
    </row>
    <row r="235" spans="1:68" x14ac:dyDescent="0.25">
      <c r="A235" t="s">
        <v>1503</v>
      </c>
      <c r="B235" t="s">
        <v>1504</v>
      </c>
      <c r="C235" t="s">
        <v>1044</v>
      </c>
      <c r="D235" t="s">
        <v>1045</v>
      </c>
    </row>
    <row r="236" spans="1:68" x14ac:dyDescent="0.25">
      <c r="A236" t="s">
        <v>1505</v>
      </c>
      <c r="B236" t="s">
        <v>1506</v>
      </c>
      <c r="C236" t="s">
        <v>1044</v>
      </c>
      <c r="D236" t="s">
        <v>1045</v>
      </c>
    </row>
    <row r="237" spans="1:68" x14ac:dyDescent="0.25">
      <c r="A237" t="s">
        <v>1507</v>
      </c>
      <c r="B237" t="s">
        <v>1508</v>
      </c>
      <c r="C237" t="s">
        <v>1044</v>
      </c>
      <c r="D237" t="s">
        <v>1045</v>
      </c>
      <c r="AO237">
        <v>-0.376152634620667</v>
      </c>
      <c r="AQ237">
        <v>-0.61586493253707897</v>
      </c>
      <c r="AS237">
        <v>-0.29084971547126798</v>
      </c>
      <c r="AU237">
        <v>5.7386960834264797E-2</v>
      </c>
      <c r="AV237">
        <v>-0.18599663674831399</v>
      </c>
      <c r="AW237">
        <v>-0.31487086415290799</v>
      </c>
      <c r="AX237">
        <v>-1.44021821022034</v>
      </c>
      <c r="AY237">
        <v>-0.52732223272323597</v>
      </c>
      <c r="AZ237">
        <v>-0.34140485525131198</v>
      </c>
      <c r="BA237">
        <v>-0.16896300017833699</v>
      </c>
      <c r="BB237">
        <v>-0.16557554900646199</v>
      </c>
      <c r="BC237">
        <v>-0.179348394274712</v>
      </c>
      <c r="BD237">
        <v>-0.16259849071502699</v>
      </c>
      <c r="BE237">
        <v>-0.38645777106285101</v>
      </c>
      <c r="BF237">
        <v>-0.35371083021163902</v>
      </c>
      <c r="BG237">
        <v>-0.16712686419487</v>
      </c>
      <c r="BH237">
        <v>-0.232123047113419</v>
      </c>
      <c r="BI237">
        <v>-0.17511710524558999</v>
      </c>
      <c r="BJ237">
        <v>-0.87444466352462802</v>
      </c>
      <c r="BK237">
        <v>-0.885994553565979</v>
      </c>
      <c r="BL237">
        <v>-0.90825766324996904</v>
      </c>
      <c r="BM237">
        <v>-0.89069807529449496</v>
      </c>
      <c r="BN237">
        <v>-0.69570696353912398</v>
      </c>
      <c r="BO237">
        <v>-0.78805160522460904</v>
      </c>
      <c r="BP237">
        <v>-0.95419514179229703</v>
      </c>
    </row>
    <row r="238" spans="1:68" x14ac:dyDescent="0.25">
      <c r="A238" t="s">
        <v>1509</v>
      </c>
      <c r="B238" t="s">
        <v>1510</v>
      </c>
      <c r="C238" t="s">
        <v>1044</v>
      </c>
      <c r="D238" t="s">
        <v>1045</v>
      </c>
      <c r="AO238">
        <v>0.46679911017417902</v>
      </c>
      <c r="AQ238">
        <v>0.63883948326110795</v>
      </c>
      <c r="AS238">
        <v>0.454958707094193</v>
      </c>
      <c r="AU238">
        <v>0.50627666711807295</v>
      </c>
      <c r="AV238">
        <v>-0.14508438110351601</v>
      </c>
      <c r="AW238">
        <v>-0.71740567684173595</v>
      </c>
      <c r="AX238">
        <v>-0.87012660503387496</v>
      </c>
      <c r="AY238">
        <v>-1.13020014762878</v>
      </c>
      <c r="AZ238">
        <v>-1.11284792423248</v>
      </c>
      <c r="BA238">
        <v>-1.2720932960510301</v>
      </c>
      <c r="BB238">
        <v>-1.42447113990784</v>
      </c>
      <c r="BC238">
        <v>-1.44278836250305</v>
      </c>
      <c r="BD238">
        <v>-1.13353371620178</v>
      </c>
      <c r="BE238">
        <v>-1.21663069725037</v>
      </c>
      <c r="BF238">
        <v>-1.3116827011108401</v>
      </c>
      <c r="BG238">
        <v>-0.90638631582260099</v>
      </c>
      <c r="BH238">
        <v>-0.995044946670532</v>
      </c>
      <c r="BI238">
        <v>-0.99130022525787398</v>
      </c>
      <c r="BJ238">
        <v>-0.75487941503524802</v>
      </c>
      <c r="BK238">
        <v>-0.79941612482070901</v>
      </c>
      <c r="BL238">
        <v>-0.49140611290931702</v>
      </c>
      <c r="BM238">
        <v>-0.57827049493789695</v>
      </c>
      <c r="BN238">
        <v>-0.56877988576889005</v>
      </c>
      <c r="BO238">
        <v>-0.39333930611610401</v>
      </c>
      <c r="BP238">
        <v>-0.28030288219451899</v>
      </c>
    </row>
    <row r="239" spans="1:68" x14ac:dyDescent="0.25">
      <c r="A239" t="s">
        <v>1511</v>
      </c>
      <c r="B239" t="s">
        <v>1512</v>
      </c>
      <c r="C239" t="s">
        <v>1044</v>
      </c>
      <c r="D239" t="s">
        <v>1045</v>
      </c>
      <c r="AO239">
        <v>-2.11674880981445</v>
      </c>
      <c r="AQ239">
        <v>-1.8415497541427599</v>
      </c>
      <c r="AS239">
        <v>-1.6477634906768801</v>
      </c>
      <c r="AU239">
        <v>-0.98230797052383401</v>
      </c>
      <c r="AV239">
        <v>-1.09949171543121</v>
      </c>
      <c r="AW239">
        <v>-1.3074533939361599</v>
      </c>
      <c r="AX239">
        <v>-1.39246213436127</v>
      </c>
      <c r="AY239">
        <v>-1.3861448764801001</v>
      </c>
      <c r="AZ239">
        <v>-0.75205218791961703</v>
      </c>
      <c r="BA239">
        <v>-0.83059930801391602</v>
      </c>
      <c r="BB239">
        <v>-1.0253945589065601</v>
      </c>
      <c r="BC239">
        <v>-1.0345383882522601</v>
      </c>
      <c r="BD239">
        <v>-1.0232338905334499</v>
      </c>
      <c r="BE239">
        <v>-1.2408597469329801</v>
      </c>
      <c r="BF239">
        <v>-1.18237400054932</v>
      </c>
      <c r="BG239">
        <v>-0.69334077835082997</v>
      </c>
      <c r="BH239">
        <v>-0.88231801986694303</v>
      </c>
      <c r="BI239">
        <v>-0.78061830997466997</v>
      </c>
      <c r="BJ239">
        <v>-0.674310863018036</v>
      </c>
      <c r="BK239">
        <v>-0.74771535396575906</v>
      </c>
      <c r="BL239">
        <v>-0.51205986738205</v>
      </c>
      <c r="BM239">
        <v>-0.50007450580596902</v>
      </c>
      <c r="BN239">
        <v>-0.67681193351745605</v>
      </c>
      <c r="BO239">
        <v>-0.74099910259246804</v>
      </c>
      <c r="BP239" s="26">
        <v>-0.47282150387763999</v>
      </c>
    </row>
    <row r="240" spans="1:68" x14ac:dyDescent="0.25">
      <c r="A240" t="s">
        <v>1513</v>
      </c>
      <c r="B240" t="s">
        <v>1514</v>
      </c>
      <c r="C240" t="s">
        <v>1044</v>
      </c>
      <c r="D240" t="s">
        <v>1045</v>
      </c>
      <c r="AO240">
        <v>0.449250608682632</v>
      </c>
      <c r="AQ240">
        <v>0.19764524698257399</v>
      </c>
      <c r="AS240">
        <v>8.4470622241497005E-3</v>
      </c>
      <c r="AU240">
        <v>7.0417746901512104E-2</v>
      </c>
      <c r="AV240">
        <v>5.3215540945529903E-2</v>
      </c>
      <c r="AW240">
        <v>-0.115211933851242</v>
      </c>
      <c r="AX240">
        <v>7.27133899927139E-2</v>
      </c>
      <c r="AY240">
        <v>-0.24465440213680301</v>
      </c>
      <c r="AZ240">
        <v>0.27723339200019798</v>
      </c>
      <c r="BA240">
        <v>0.53768801689147905</v>
      </c>
      <c r="BB240">
        <v>0.48547297716140703</v>
      </c>
      <c r="BC240">
        <v>0.33410561084747298</v>
      </c>
      <c r="BD240">
        <v>0.23412907123565699</v>
      </c>
      <c r="BE240">
        <v>0.42808789014816301</v>
      </c>
      <c r="BF240">
        <v>0.249095499515533</v>
      </c>
      <c r="BG240">
        <v>7.4206031858921107E-2</v>
      </c>
      <c r="BH240">
        <v>-8.9571140706539196E-2</v>
      </c>
      <c r="BI240">
        <v>-0.195148065686226</v>
      </c>
      <c r="BJ240">
        <v>-0.128823027014732</v>
      </c>
      <c r="BK240">
        <v>-1.28814298659563E-2</v>
      </c>
      <c r="BL240">
        <v>-0.17811411619186401</v>
      </c>
      <c r="BM240">
        <v>-0.20164081454277</v>
      </c>
      <c r="BN240">
        <v>-0.33197659254074102</v>
      </c>
      <c r="BO240">
        <v>-0.110257938504219</v>
      </c>
      <c r="BP240">
        <v>-0.111424535512924</v>
      </c>
    </row>
    <row r="241" spans="1:68" x14ac:dyDescent="0.25">
      <c r="A241" t="s">
        <v>1515</v>
      </c>
      <c r="B241" t="s">
        <v>1516</v>
      </c>
      <c r="C241" t="s">
        <v>1044</v>
      </c>
      <c r="D241" t="s">
        <v>1045</v>
      </c>
    </row>
    <row r="242" spans="1:68" x14ac:dyDescent="0.25">
      <c r="A242" t="s">
        <v>1517</v>
      </c>
      <c r="B242" t="s">
        <v>1518</v>
      </c>
      <c r="C242" t="s">
        <v>1044</v>
      </c>
      <c r="D242" t="s">
        <v>1045</v>
      </c>
      <c r="AS242">
        <v>0.44097879528999301</v>
      </c>
      <c r="AU242">
        <v>-0.48689037561416598</v>
      </c>
      <c r="AV242">
        <v>-0.28673297166824302</v>
      </c>
      <c r="AW242">
        <v>-0.15688785910606401</v>
      </c>
      <c r="AX242">
        <v>-0.70721554756164595</v>
      </c>
      <c r="AY242">
        <v>-1.1564983129501301</v>
      </c>
      <c r="AZ242">
        <v>-1.10267806053162</v>
      </c>
      <c r="BA242">
        <v>-0.79832166433334395</v>
      </c>
      <c r="BB242">
        <v>-0.56560111045837402</v>
      </c>
      <c r="BC242">
        <v>-0.46751454472541798</v>
      </c>
      <c r="BD242">
        <v>-0.462352424860001</v>
      </c>
      <c r="BE242">
        <v>-0.28483113646507302</v>
      </c>
      <c r="BF242">
        <v>-0.38468024134635898</v>
      </c>
      <c r="BG242">
        <v>-0.17969487607479101</v>
      </c>
      <c r="BH242">
        <v>-0.27170971035957298</v>
      </c>
      <c r="BI242">
        <v>-1.7668042331934E-2</v>
      </c>
      <c r="BJ242">
        <v>6.6382721066474901E-2</v>
      </c>
      <c r="BK242">
        <v>0.23329952359199499</v>
      </c>
      <c r="BL242">
        <v>0.24308122694492301</v>
      </c>
      <c r="BM242">
        <v>0.197396621108055</v>
      </c>
      <c r="BN242">
        <v>0.19239294528961201</v>
      </c>
      <c r="BO242">
        <v>0.25624671578407299</v>
      </c>
      <c r="BP242">
        <v>0.260184526443481</v>
      </c>
    </row>
    <row r="243" spans="1:68" x14ac:dyDescent="0.25">
      <c r="A243" t="s">
        <v>1519</v>
      </c>
      <c r="B243" t="s">
        <v>1520</v>
      </c>
      <c r="C243" t="s">
        <v>1044</v>
      </c>
      <c r="D243" t="s">
        <v>1045</v>
      </c>
    </row>
    <row r="244" spans="1:68" x14ac:dyDescent="0.25">
      <c r="A244" t="s">
        <v>1521</v>
      </c>
      <c r="B244" t="s">
        <v>1522</v>
      </c>
      <c r="C244" t="s">
        <v>1044</v>
      </c>
      <c r="D244" t="s">
        <v>1045</v>
      </c>
      <c r="AV244">
        <v>0.62958955764770497</v>
      </c>
      <c r="AW244">
        <v>0.81767994165420499</v>
      </c>
      <c r="AX244">
        <v>0.67734789848327603</v>
      </c>
      <c r="AY244">
        <v>0.46780064702034002</v>
      </c>
      <c r="AZ244">
        <v>0.28097712993621798</v>
      </c>
      <c r="BA244">
        <v>0.28170672059059099</v>
      </c>
      <c r="BB244">
        <v>0.21501873433589899</v>
      </c>
      <c r="BC244">
        <v>0.68970310688018799</v>
      </c>
      <c r="BD244">
        <v>0.93779814243316695</v>
      </c>
      <c r="BE244">
        <v>0.89451444149017301</v>
      </c>
      <c r="BF244">
        <v>0.93544638156890902</v>
      </c>
      <c r="BG244">
        <v>0.84719645977020297</v>
      </c>
      <c r="BH244">
        <v>0.86829465627670299</v>
      </c>
      <c r="BI244">
        <v>0.89702945947647095</v>
      </c>
      <c r="BJ244">
        <v>0.77156805992126498</v>
      </c>
      <c r="BK244">
        <v>0.83336091041564897</v>
      </c>
      <c r="BL244">
        <v>1.0350251197814899</v>
      </c>
      <c r="BM244">
        <v>1.08737897872925</v>
      </c>
      <c r="BN244">
        <v>1.0793389081955</v>
      </c>
      <c r="BO244">
        <v>1.0929051637649501</v>
      </c>
      <c r="BP244">
        <v>1.08757400512695</v>
      </c>
    </row>
    <row r="245" spans="1:68" x14ac:dyDescent="0.25">
      <c r="A245" t="s">
        <v>1523</v>
      </c>
      <c r="B245" t="s">
        <v>1524</v>
      </c>
      <c r="C245" t="s">
        <v>1044</v>
      </c>
      <c r="D245" t="s">
        <v>1045</v>
      </c>
    </row>
    <row r="246" spans="1:68" x14ac:dyDescent="0.25">
      <c r="A246" t="s">
        <v>1525</v>
      </c>
      <c r="B246" t="s">
        <v>1526</v>
      </c>
      <c r="C246" t="s">
        <v>1044</v>
      </c>
      <c r="D246" t="s">
        <v>1045</v>
      </c>
    </row>
    <row r="247" spans="1:68" x14ac:dyDescent="0.25">
      <c r="A247" t="s">
        <v>1527</v>
      </c>
      <c r="B247" t="s">
        <v>1528</v>
      </c>
      <c r="C247" t="s">
        <v>1044</v>
      </c>
      <c r="D247" t="s">
        <v>1045</v>
      </c>
      <c r="AO247">
        <v>0.273877173662186</v>
      </c>
      <c r="AQ247">
        <v>0.412275731563568</v>
      </c>
      <c r="AS247">
        <v>0.15345609188079801</v>
      </c>
      <c r="AU247">
        <v>-9.4292156398296398E-2</v>
      </c>
      <c r="AV247">
        <v>-0.25003212690353399</v>
      </c>
      <c r="AW247">
        <v>-6.8327270448207897E-2</v>
      </c>
      <c r="AX247">
        <v>-0.12195637077093099</v>
      </c>
      <c r="AY247">
        <v>-0.23776218295097401</v>
      </c>
      <c r="AZ247">
        <v>-0.188574343919754</v>
      </c>
      <c r="BA247">
        <v>-0.117300540208817</v>
      </c>
      <c r="BB247">
        <v>-0.14176744222641</v>
      </c>
      <c r="BC247">
        <v>-5.0823181867599501E-2</v>
      </c>
      <c r="BD247">
        <v>0.14108040928840601</v>
      </c>
      <c r="BE247">
        <v>0.104277603328228</v>
      </c>
      <c r="BF247">
        <v>9.3686096370220198E-2</v>
      </c>
      <c r="BG247">
        <v>0.24786433577537501</v>
      </c>
      <c r="BH247">
        <v>0.27936103940010099</v>
      </c>
      <c r="BI247">
        <v>0.277257770299911</v>
      </c>
      <c r="BJ247">
        <v>0.26929923892021201</v>
      </c>
      <c r="BK247">
        <v>0.230739146471024</v>
      </c>
      <c r="BL247">
        <v>8.1590555608272594E-2</v>
      </c>
      <c r="BM247">
        <v>0.110414087772369</v>
      </c>
      <c r="BN247">
        <v>0.239110738039017</v>
      </c>
      <c r="BO247">
        <v>0.34842374920844998</v>
      </c>
      <c r="BP247">
        <v>0.40136238932609603</v>
      </c>
    </row>
    <row r="248" spans="1:68" x14ac:dyDescent="0.25">
      <c r="A248" t="s">
        <v>1529</v>
      </c>
      <c r="B248" t="s">
        <v>1530</v>
      </c>
      <c r="C248" t="s">
        <v>1044</v>
      </c>
      <c r="D248" t="s">
        <v>1045</v>
      </c>
      <c r="AO248">
        <v>0.26254704594612099</v>
      </c>
      <c r="AQ248">
        <v>0.26346707344055198</v>
      </c>
      <c r="AS248">
        <v>0.32111489772796598</v>
      </c>
      <c r="AU248">
        <v>0.15422579646110501</v>
      </c>
      <c r="AV248">
        <v>0.31787079572677601</v>
      </c>
      <c r="AW248">
        <v>0.14895802736282299</v>
      </c>
      <c r="AX248">
        <v>2.4227451533079099E-2</v>
      </c>
      <c r="AY248">
        <v>0.20851244032383001</v>
      </c>
      <c r="AZ248">
        <v>0.15826247632503501</v>
      </c>
      <c r="BA248">
        <v>9.9821232259273501E-2</v>
      </c>
      <c r="BB248">
        <v>5.9611707925796502E-2</v>
      </c>
      <c r="BC248">
        <v>-6.3976362347602803E-2</v>
      </c>
      <c r="BD248">
        <v>-0.3537417948246</v>
      </c>
      <c r="BE248">
        <v>-0.72131693363189697</v>
      </c>
      <c r="BF248">
        <v>-0.90256327390670799</v>
      </c>
      <c r="BG248">
        <v>-0.85166150331497203</v>
      </c>
      <c r="BH248">
        <v>-0.96017700433731101</v>
      </c>
      <c r="BI248">
        <v>-1.1397223472595199</v>
      </c>
      <c r="BJ248">
        <v>-1.0234905481338501</v>
      </c>
      <c r="BK248">
        <v>-0.86820727586746205</v>
      </c>
      <c r="BL248">
        <v>-0.87708473205566395</v>
      </c>
      <c r="BM248">
        <v>-0.59432578086853005</v>
      </c>
      <c r="BN248">
        <v>-0.75655198097229004</v>
      </c>
      <c r="BO248">
        <v>-0.59455907344818104</v>
      </c>
      <c r="BP248">
        <v>-0.63095110654830899</v>
      </c>
    </row>
    <row r="249" spans="1:68" x14ac:dyDescent="0.25">
      <c r="A249" t="s">
        <v>1531</v>
      </c>
      <c r="B249" t="s">
        <v>1532</v>
      </c>
      <c r="C249" t="s">
        <v>1044</v>
      </c>
      <c r="D249" t="s">
        <v>1045</v>
      </c>
      <c r="AO249">
        <v>-1.25874590873718</v>
      </c>
      <c r="AQ249">
        <v>-1.23111176490784</v>
      </c>
      <c r="AS249">
        <v>-0.80017364025116</v>
      </c>
      <c r="AU249">
        <v>-0.803475081920624</v>
      </c>
      <c r="AV249">
        <v>-0.76669061183929399</v>
      </c>
      <c r="AW249">
        <v>-0.83376455307006803</v>
      </c>
      <c r="AX249">
        <v>-0.60155117511749301</v>
      </c>
      <c r="AY249">
        <v>-0.59021300077438399</v>
      </c>
      <c r="AZ249">
        <v>-0.81936287879943803</v>
      </c>
      <c r="BA249">
        <v>-0.82387435436248802</v>
      </c>
      <c r="BB249">
        <v>-1.03079056739807</v>
      </c>
      <c r="BC249">
        <v>-0.91528552770614602</v>
      </c>
      <c r="BD249">
        <v>-0.959997057914734</v>
      </c>
      <c r="BE249">
        <v>-1.22053194046021</v>
      </c>
      <c r="BF249">
        <v>-1.24993252754211</v>
      </c>
      <c r="BG249">
        <v>-1.0860359668731701</v>
      </c>
      <c r="BH249">
        <v>-1.4953097105026201</v>
      </c>
      <c r="BI249">
        <v>-2.0072147846221902</v>
      </c>
      <c r="BJ249">
        <v>-1.78637635707855</v>
      </c>
      <c r="BK249">
        <v>-1.3151998519897501</v>
      </c>
      <c r="BL249">
        <v>-1.3781816959381099</v>
      </c>
      <c r="BM249">
        <v>-1.14388263225555</v>
      </c>
      <c r="BN249">
        <v>-1.1367927789688099</v>
      </c>
      <c r="BO249">
        <v>-1.0322347879409799</v>
      </c>
      <c r="BP249">
        <v>-1.01108038425446</v>
      </c>
    </row>
    <row r="250" spans="1:68" x14ac:dyDescent="0.25">
      <c r="A250" t="s">
        <v>1533</v>
      </c>
      <c r="B250" t="s">
        <v>1534</v>
      </c>
      <c r="C250" t="s">
        <v>1044</v>
      </c>
      <c r="D250" t="s">
        <v>1045</v>
      </c>
      <c r="AV250">
        <v>1.1697852611541699</v>
      </c>
      <c r="AW250">
        <v>1.2700954675674401</v>
      </c>
      <c r="AX250">
        <v>1.38492727279663</v>
      </c>
      <c r="AY250">
        <v>1.34965407848358</v>
      </c>
      <c r="AZ250">
        <v>1.3420157432556199</v>
      </c>
      <c r="BA250">
        <v>1.33847212791443</v>
      </c>
      <c r="BB250">
        <v>1.4026106595993</v>
      </c>
      <c r="BC250">
        <v>1.4227316379547099</v>
      </c>
      <c r="BD250">
        <v>1.3024883270263701</v>
      </c>
      <c r="BE250">
        <v>1.2903511524200399</v>
      </c>
      <c r="BF250">
        <v>1.2839260101318399</v>
      </c>
      <c r="BG250">
        <v>1.29932725429535</v>
      </c>
      <c r="BH250">
        <v>1.3659853935241699</v>
      </c>
      <c r="BI250">
        <v>1.3827502727508501</v>
      </c>
      <c r="BJ250">
        <v>1.21373856067657</v>
      </c>
      <c r="BK250">
        <v>1.3912485837936399</v>
      </c>
      <c r="BL250">
        <v>1.17179811000824</v>
      </c>
      <c r="BM250">
        <v>1.2212518453598</v>
      </c>
      <c r="BN250">
        <v>1.2676850557327299</v>
      </c>
      <c r="BO250">
        <v>1.1831034421920801</v>
      </c>
      <c r="BP250">
        <v>1.18908190727234</v>
      </c>
    </row>
    <row r="251" spans="1:68" x14ac:dyDescent="0.25">
      <c r="A251" t="s">
        <v>1535</v>
      </c>
      <c r="B251" t="s">
        <v>1536</v>
      </c>
      <c r="C251" t="s">
        <v>1044</v>
      </c>
      <c r="D251" t="s">
        <v>1045</v>
      </c>
      <c r="AO251">
        <v>-0.62619036436080899</v>
      </c>
      <c r="AQ251">
        <v>-0.40806877613067599</v>
      </c>
      <c r="AS251">
        <v>-0.70192575454711903</v>
      </c>
      <c r="AU251">
        <v>-0.25328931212425199</v>
      </c>
      <c r="AV251">
        <v>-0.85554718971252397</v>
      </c>
      <c r="AW251">
        <v>-0.67164224386215199</v>
      </c>
      <c r="AX251">
        <v>-0.58345371484756503</v>
      </c>
      <c r="AY251">
        <v>-0.35751816630363498</v>
      </c>
      <c r="AZ251">
        <v>-0.38706237077713002</v>
      </c>
      <c r="BA251">
        <v>-0.228933870792389</v>
      </c>
      <c r="BB251">
        <v>8.9181244373321505E-2</v>
      </c>
      <c r="BC251">
        <v>1.4471621252596399E-2</v>
      </c>
      <c r="BD251">
        <v>-2.41334792226553E-2</v>
      </c>
      <c r="BE251">
        <v>5.1454290747642503E-2</v>
      </c>
      <c r="BF251">
        <v>-0.16212084889411901</v>
      </c>
      <c r="BG251">
        <v>-0.59711855649948098</v>
      </c>
      <c r="BH251">
        <v>-0.42346069216728199</v>
      </c>
      <c r="BI251">
        <v>-0.44824677705764798</v>
      </c>
      <c r="BJ251">
        <v>-0.57016211748123202</v>
      </c>
      <c r="BK251">
        <v>-0.58047568798065197</v>
      </c>
      <c r="BL251">
        <v>-0.38842001557350198</v>
      </c>
      <c r="BM251">
        <v>-0.48080766201019298</v>
      </c>
      <c r="BN251">
        <v>-0.33555868268013</v>
      </c>
      <c r="BO251">
        <v>-0.260344117879868</v>
      </c>
      <c r="BP251">
        <v>-5.2751600742340102E-2</v>
      </c>
    </row>
    <row r="252" spans="1:68" x14ac:dyDescent="0.25">
      <c r="A252" t="s">
        <v>1537</v>
      </c>
      <c r="B252" t="s">
        <v>1538</v>
      </c>
      <c r="C252" t="s">
        <v>1044</v>
      </c>
      <c r="D252" t="s">
        <v>1045</v>
      </c>
      <c r="AO252">
        <v>-1.5309436321258501</v>
      </c>
      <c r="AQ252">
        <v>-1.1040164232253999</v>
      </c>
      <c r="AS252">
        <v>-1.24837958812714</v>
      </c>
      <c r="AU252">
        <v>-1.4174376726150499</v>
      </c>
      <c r="AV252">
        <v>-1.56096339225769</v>
      </c>
      <c r="AW252">
        <v>-1.3047730922698999</v>
      </c>
      <c r="AX252">
        <v>-1.41722476482391</v>
      </c>
      <c r="AY252">
        <v>-1.1403452157974201</v>
      </c>
      <c r="AZ252">
        <v>-0.91647833585739102</v>
      </c>
      <c r="BA252">
        <v>-0.87574017047882102</v>
      </c>
      <c r="BB252">
        <v>-0.99180579185485795</v>
      </c>
      <c r="BC252">
        <v>-1.0005582571029701</v>
      </c>
      <c r="BD252">
        <v>-0.97610181570053101</v>
      </c>
      <c r="BE252">
        <v>-0.86896651983261097</v>
      </c>
      <c r="BF252">
        <v>-0.83869063854217496</v>
      </c>
      <c r="BG252">
        <v>-0.9411261677742</v>
      </c>
      <c r="BH252">
        <v>-0.80457580089569103</v>
      </c>
      <c r="BI252">
        <v>-0.71827632188796997</v>
      </c>
      <c r="BJ252">
        <v>-0.56994873285293601</v>
      </c>
      <c r="BK252">
        <v>-0.70169645547866799</v>
      </c>
      <c r="BL252">
        <v>-0.694263935089111</v>
      </c>
      <c r="BM252">
        <v>-0.81103891134262096</v>
      </c>
      <c r="BN252">
        <v>-0.93775868415832497</v>
      </c>
      <c r="BO252">
        <v>-0.71101582050323497</v>
      </c>
      <c r="BP252">
        <v>-0.69550609588623002</v>
      </c>
    </row>
    <row r="253" spans="1:68" x14ac:dyDescent="0.25">
      <c r="A253" t="s">
        <v>1539</v>
      </c>
      <c r="B253" t="s">
        <v>1540</v>
      </c>
      <c r="C253" t="s">
        <v>1044</v>
      </c>
      <c r="D253" t="s">
        <v>1045</v>
      </c>
      <c r="AO253">
        <v>-0.152148813009262</v>
      </c>
      <c r="AQ253">
        <v>-0.120933815836906</v>
      </c>
      <c r="AS253">
        <v>-0.40948644280433699</v>
      </c>
      <c r="AU253">
        <v>-0.29348513484001199</v>
      </c>
      <c r="AV253">
        <v>-0.36361795663833602</v>
      </c>
      <c r="AW253">
        <v>-0.47153618931770303</v>
      </c>
      <c r="AX253">
        <v>-0.28536656498909002</v>
      </c>
      <c r="AY253">
        <v>-3.6877617239952101E-2</v>
      </c>
      <c r="AZ253">
        <v>0.172825917601585</v>
      </c>
      <c r="BA253">
        <v>4.25143949687481E-2</v>
      </c>
      <c r="BB253">
        <v>-0.30231940746307401</v>
      </c>
      <c r="BC253">
        <v>1.31317190825939E-2</v>
      </c>
      <c r="BD253">
        <v>-7.0431463420391097E-2</v>
      </c>
      <c r="BE253">
        <v>-9.2274904251098605E-2</v>
      </c>
      <c r="BF253">
        <v>-0.77728497982025102</v>
      </c>
      <c r="BG253">
        <v>-2.0208334922790501</v>
      </c>
      <c r="BH253">
        <v>-1.9595323801040601</v>
      </c>
      <c r="BI253">
        <v>-1.8533319234848</v>
      </c>
      <c r="BJ253">
        <v>-1.8674178123474101</v>
      </c>
      <c r="BK253">
        <v>-1.8721793889999401</v>
      </c>
      <c r="BL253">
        <v>-1.4283761978149401</v>
      </c>
      <c r="BM253">
        <v>-1.1639364957809399</v>
      </c>
      <c r="BN253">
        <v>-1.1269840002059901</v>
      </c>
      <c r="BO253">
        <v>-1.94932460784912</v>
      </c>
      <c r="BP253">
        <v>-1.4298233985900899</v>
      </c>
    </row>
    <row r="254" spans="1:68" x14ac:dyDescent="0.25">
      <c r="A254" t="s">
        <v>1541</v>
      </c>
      <c r="B254" t="s">
        <v>1542</v>
      </c>
      <c r="C254" t="s">
        <v>1044</v>
      </c>
      <c r="D254" t="s">
        <v>1045</v>
      </c>
    </row>
    <row r="255" spans="1:68" x14ac:dyDescent="0.25">
      <c r="A255" t="s">
        <v>1543</v>
      </c>
      <c r="B255" t="s">
        <v>1544</v>
      </c>
      <c r="C255" t="s">
        <v>1044</v>
      </c>
      <c r="D255" t="s">
        <v>1045</v>
      </c>
      <c r="AO255">
        <v>0.62344253063201904</v>
      </c>
      <c r="AQ255">
        <v>0.76537615060806297</v>
      </c>
      <c r="AS255">
        <v>0.92934954166412398</v>
      </c>
      <c r="AU255">
        <v>0.83832734823226895</v>
      </c>
      <c r="AV255">
        <v>0.711256563663483</v>
      </c>
      <c r="AW255">
        <v>0.59096115827560403</v>
      </c>
      <c r="AX255">
        <v>0.77766257524490401</v>
      </c>
      <c r="AY255">
        <v>0.89859956502914395</v>
      </c>
      <c r="AZ255">
        <v>0.83553093671798695</v>
      </c>
      <c r="BA255">
        <v>0.84508281946182295</v>
      </c>
      <c r="BB255">
        <v>0.78926098346710205</v>
      </c>
      <c r="BC255">
        <v>0.82498604059219405</v>
      </c>
      <c r="BD255">
        <v>0.95709693431854204</v>
      </c>
      <c r="BE255">
        <v>0.70916777849197399</v>
      </c>
      <c r="BF255">
        <v>0.80473822355270397</v>
      </c>
      <c r="BG255">
        <v>0.99187958240509</v>
      </c>
      <c r="BH255">
        <v>0.99488931894302401</v>
      </c>
      <c r="BI255">
        <v>1.0485217571258501</v>
      </c>
      <c r="BJ255">
        <v>1.0400922298431401</v>
      </c>
      <c r="BK255">
        <v>1.0241460800170901</v>
      </c>
      <c r="BL255">
        <v>1.02829706668854</v>
      </c>
      <c r="BM255">
        <v>1.05496430397034</v>
      </c>
      <c r="BN255">
        <v>1.04597175121307</v>
      </c>
      <c r="BO255">
        <v>1.0858296155929601</v>
      </c>
      <c r="BP255">
        <v>0.96488714218139604</v>
      </c>
    </row>
    <row r="256" spans="1:68" x14ac:dyDescent="0.25">
      <c r="A256" t="s">
        <v>1545</v>
      </c>
      <c r="B256" t="s">
        <v>1546</v>
      </c>
      <c r="C256" t="s">
        <v>1044</v>
      </c>
      <c r="D256" t="s">
        <v>1045</v>
      </c>
      <c r="AO256">
        <v>0.935005784034729</v>
      </c>
      <c r="AQ256">
        <v>0.87961298227310203</v>
      </c>
      <c r="AS256">
        <v>1.08280909061432</v>
      </c>
      <c r="AU256">
        <v>0.28547692298889199</v>
      </c>
      <c r="AV256">
        <v>8.0440349876880604E-2</v>
      </c>
      <c r="AW256">
        <v>-0.233039826154709</v>
      </c>
      <c r="AX256">
        <v>-6.05432577431202E-2</v>
      </c>
      <c r="AY256">
        <v>0.49083548784255998</v>
      </c>
      <c r="AZ256">
        <v>0.37447804212570202</v>
      </c>
      <c r="BA256">
        <v>0.58265954256057695</v>
      </c>
      <c r="BB256">
        <v>0.44731360673904402</v>
      </c>
      <c r="BC256">
        <v>0.43840393424034102</v>
      </c>
      <c r="BD256">
        <v>0.59124726057052601</v>
      </c>
      <c r="BE256">
        <v>0.63244211673736594</v>
      </c>
      <c r="BF256">
        <v>0.64307260513305697</v>
      </c>
      <c r="BG256">
        <v>0.582419633865356</v>
      </c>
      <c r="BH256">
        <v>0.66289019584655795</v>
      </c>
      <c r="BI256">
        <v>0.385635316371918</v>
      </c>
      <c r="BJ256">
        <v>0.26213830709457397</v>
      </c>
      <c r="BK256">
        <v>0.38623908162116999</v>
      </c>
      <c r="BL256">
        <v>0.118298575282097</v>
      </c>
      <c r="BM256">
        <v>-2.7899732813239101E-2</v>
      </c>
      <c r="BN256">
        <v>-1.44246527925134E-2</v>
      </c>
      <c r="BO256">
        <v>8.7006865069270099E-3</v>
      </c>
      <c r="BP256">
        <v>2.9424749314785E-2</v>
      </c>
    </row>
    <row r="257" spans="1:68" x14ac:dyDescent="0.25">
      <c r="A257" t="s">
        <v>1547</v>
      </c>
      <c r="B257" t="s">
        <v>1548</v>
      </c>
      <c r="C257" t="s">
        <v>1044</v>
      </c>
      <c r="D257" t="s">
        <v>1045</v>
      </c>
      <c r="AO257">
        <v>-0.54373174905777</v>
      </c>
      <c r="AQ257">
        <v>-0.68304944038391102</v>
      </c>
      <c r="AS257">
        <v>-1.3019504547119101</v>
      </c>
      <c r="AU257">
        <v>-1.0568835735321001</v>
      </c>
      <c r="AV257">
        <v>-1.29919517040253</v>
      </c>
      <c r="AW257">
        <v>-1.45551669597626</v>
      </c>
      <c r="AX257">
        <v>-1.9578956365585301</v>
      </c>
      <c r="AY257">
        <v>-1.7846595048904399</v>
      </c>
      <c r="AZ257">
        <v>-1.36203336715698</v>
      </c>
      <c r="BA257">
        <v>-1.2071064710617101</v>
      </c>
      <c r="BB257">
        <v>-0.95055252313613903</v>
      </c>
      <c r="BC257">
        <v>-0.72043812274932895</v>
      </c>
      <c r="BD257">
        <v>-0.59971934556961104</v>
      </c>
      <c r="BE257">
        <v>-0.51873934268951405</v>
      </c>
      <c r="BF257">
        <v>-0.53607898950576804</v>
      </c>
      <c r="BG257">
        <v>-0.273108631372452</v>
      </c>
      <c r="BH257">
        <v>-0.374532461166382</v>
      </c>
      <c r="BI257">
        <v>-0.28075370192527799</v>
      </c>
      <c r="BJ257">
        <v>-0.24497866630554199</v>
      </c>
      <c r="BK257">
        <v>-0.30440109968185403</v>
      </c>
      <c r="BL257">
        <v>-0.296637773513794</v>
      </c>
      <c r="BM257">
        <v>-0.43669804930687001</v>
      </c>
      <c r="BN257">
        <v>-0.25293323397636402</v>
      </c>
      <c r="BO257">
        <v>-0.20133601129055001</v>
      </c>
      <c r="BP257">
        <v>-0.15460996329784399</v>
      </c>
    </row>
    <row r="258" spans="1:68" x14ac:dyDescent="0.25">
      <c r="A258" t="s">
        <v>1549</v>
      </c>
      <c r="B258" t="s">
        <v>1550</v>
      </c>
      <c r="C258" t="s">
        <v>1044</v>
      </c>
      <c r="D258" t="s">
        <v>1045</v>
      </c>
      <c r="AO258">
        <v>1.03555142879486</v>
      </c>
      <c r="AQ258">
        <v>1.11396324634552</v>
      </c>
      <c r="AS258">
        <v>1.22359979152679</v>
      </c>
      <c r="AU258">
        <v>0.36293163895607</v>
      </c>
      <c r="AV258">
        <v>0.76463848352432295</v>
      </c>
      <c r="AW258">
        <v>1.0268239974975599</v>
      </c>
      <c r="AX258">
        <v>1.14758777618408</v>
      </c>
      <c r="AY258">
        <v>1.0591236352920499</v>
      </c>
      <c r="AZ258">
        <v>0.78846377134323098</v>
      </c>
      <c r="BA258">
        <v>0.80057436227798495</v>
      </c>
      <c r="BB258">
        <v>0.728931725025177</v>
      </c>
      <c r="BC258">
        <v>0.79027551412582397</v>
      </c>
      <c r="BD258">
        <v>0.84907835721969604</v>
      </c>
      <c r="BE258">
        <v>0.92888385057449296</v>
      </c>
      <c r="BF258">
        <v>0.85335773229598999</v>
      </c>
      <c r="BG258">
        <v>0.81645041704177901</v>
      </c>
      <c r="BH258">
        <v>0.98756426572799705</v>
      </c>
      <c r="BI258">
        <v>0.99859225749969505</v>
      </c>
      <c r="BJ258">
        <v>0.87110006809234597</v>
      </c>
      <c r="BK258">
        <v>0.82310211658477805</v>
      </c>
      <c r="BL258">
        <v>0.93807965517044101</v>
      </c>
      <c r="BM258">
        <v>1.0326236486434901</v>
      </c>
      <c r="BN258">
        <v>1.04031097888947</v>
      </c>
      <c r="BO258">
        <v>1.0336232185363801</v>
      </c>
      <c r="BP258">
        <v>1.0180191993713399</v>
      </c>
    </row>
    <row r="259" spans="1:68" x14ac:dyDescent="0.25">
      <c r="A259" t="s">
        <v>1551</v>
      </c>
      <c r="B259" t="s">
        <v>1552</v>
      </c>
      <c r="C259" t="s">
        <v>1044</v>
      </c>
      <c r="D259" t="s">
        <v>1045</v>
      </c>
      <c r="AO259">
        <v>-0.584048211574554</v>
      </c>
      <c r="AQ259">
        <v>-0.53771650791168202</v>
      </c>
      <c r="AS259">
        <v>-0.75891697406768799</v>
      </c>
      <c r="AU259">
        <v>-1.3178972005844101</v>
      </c>
      <c r="AV259">
        <v>-1.28644466400146</v>
      </c>
      <c r="AW259">
        <v>-1.3915855884552</v>
      </c>
      <c r="AX259">
        <v>-1.2443324327468901</v>
      </c>
      <c r="AY259">
        <v>-1.25286757946014</v>
      </c>
      <c r="AZ259">
        <v>-1.2296701669693</v>
      </c>
      <c r="BA259">
        <v>-1.31243884563446</v>
      </c>
      <c r="BB259">
        <v>-1.2777894735336299</v>
      </c>
      <c r="BC259">
        <v>-1.25623667240143</v>
      </c>
      <c r="BD259">
        <v>-1.0940459966659499</v>
      </c>
      <c r="BE259">
        <v>-1.02713263034821</v>
      </c>
      <c r="BF259">
        <v>-1.0776324272155799</v>
      </c>
      <c r="BG259">
        <v>-0.85200220346450795</v>
      </c>
      <c r="BH259">
        <v>-0.97167026996612504</v>
      </c>
      <c r="BI259">
        <v>-1.0229766368866</v>
      </c>
      <c r="BJ259">
        <v>-1.2522406578064</v>
      </c>
      <c r="BK259">
        <v>-1.3513343334198</v>
      </c>
      <c r="BL259">
        <v>-1.53851962089539</v>
      </c>
      <c r="BM259">
        <v>-1.5518428087234499</v>
      </c>
      <c r="BN259">
        <v>-1.4549702405929601</v>
      </c>
      <c r="BO259">
        <v>-1.2508064508438099</v>
      </c>
      <c r="BP259">
        <v>-1.1890280246734599</v>
      </c>
    </row>
    <row r="260" spans="1:68" x14ac:dyDescent="0.25">
      <c r="A260" t="s">
        <v>1553</v>
      </c>
      <c r="B260" t="s">
        <v>1554</v>
      </c>
      <c r="C260" t="s">
        <v>1044</v>
      </c>
      <c r="D260" t="s">
        <v>1045</v>
      </c>
    </row>
    <row r="261" spans="1:68" x14ac:dyDescent="0.25">
      <c r="A261" t="s">
        <v>1555</v>
      </c>
      <c r="B261" t="s">
        <v>1556</v>
      </c>
      <c r="C261" t="s">
        <v>1044</v>
      </c>
      <c r="D261" t="s">
        <v>1045</v>
      </c>
      <c r="AW261">
        <v>0.83944320678710904</v>
      </c>
      <c r="AX261">
        <v>0.44266638159751898</v>
      </c>
      <c r="AY261">
        <v>0.50881844758987405</v>
      </c>
      <c r="AZ261">
        <v>0.48324659466743503</v>
      </c>
      <c r="BA261">
        <v>0.50085079669952404</v>
      </c>
      <c r="BB261">
        <v>-0.14322149753570601</v>
      </c>
      <c r="BC261">
        <v>0.33905810117721602</v>
      </c>
      <c r="BD261">
        <v>0.86062306165695202</v>
      </c>
      <c r="BE261">
        <v>0.67957615852356001</v>
      </c>
      <c r="BF261">
        <v>0.84670919179916404</v>
      </c>
      <c r="BG261">
        <v>1.1642549037933301</v>
      </c>
      <c r="BH261">
        <v>1.2200018167495701</v>
      </c>
      <c r="BI261">
        <v>0.975613653659821</v>
      </c>
      <c r="BJ261">
        <v>0.98149091005325295</v>
      </c>
      <c r="BK261">
        <v>0.95618277788162198</v>
      </c>
      <c r="BL261">
        <v>1.05151903629303</v>
      </c>
      <c r="BM261">
        <v>1.0034422874450699</v>
      </c>
      <c r="BN261">
        <v>0.47629314661026001</v>
      </c>
      <c r="BO261">
        <v>0.52978372573852495</v>
      </c>
      <c r="BP261">
        <v>0.53472310304641701</v>
      </c>
    </row>
    <row r="262" spans="1:68" x14ac:dyDescent="0.25">
      <c r="A262" t="s">
        <v>1557</v>
      </c>
      <c r="B262" t="s">
        <v>1558</v>
      </c>
      <c r="C262" t="s">
        <v>1044</v>
      </c>
      <c r="D262" t="s">
        <v>1045</v>
      </c>
      <c r="AO262">
        <v>0.52569550275802601</v>
      </c>
      <c r="AQ262">
        <v>0.31900489330291698</v>
      </c>
      <c r="AS262">
        <v>0.40877357125282299</v>
      </c>
      <c r="AU262">
        <v>0.35368114709854098</v>
      </c>
      <c r="AV262">
        <v>0.12642437219619801</v>
      </c>
      <c r="AW262">
        <v>0.150153517723083</v>
      </c>
      <c r="AX262">
        <v>0.48403766751289401</v>
      </c>
      <c r="AY262">
        <v>0.40512025356292702</v>
      </c>
      <c r="AZ262">
        <v>0.25187197327613797</v>
      </c>
      <c r="BA262">
        <v>0.16526082158088701</v>
      </c>
      <c r="BB262">
        <v>0.27177596092224099</v>
      </c>
      <c r="BC262">
        <v>0.14840787649154699</v>
      </c>
      <c r="BD262">
        <v>0.18908844888210299</v>
      </c>
      <c r="BE262">
        <v>0.26735866069793701</v>
      </c>
      <c r="BF262">
        <v>0.25057727098464999</v>
      </c>
      <c r="BG262">
        <v>-2.2347357124090202E-2</v>
      </c>
      <c r="BH262">
        <v>6.3808225095272106E-2</v>
      </c>
      <c r="BI262">
        <v>0.22683252394199399</v>
      </c>
      <c r="BJ262">
        <v>0.21110217273235299</v>
      </c>
      <c r="BK262">
        <v>3.3082962036132799E-2</v>
      </c>
      <c r="BL262">
        <v>3.9987403899431201E-2</v>
      </c>
      <c r="BM262">
        <v>-3.8989063352346399E-2</v>
      </c>
      <c r="BN262">
        <v>-0.11778243631124501</v>
      </c>
      <c r="BO262">
        <v>-4.61320951581001E-2</v>
      </c>
      <c r="BP262">
        <v>-3.6380734294652897E-2</v>
      </c>
    </row>
    <row r="263" spans="1:68" x14ac:dyDescent="0.25">
      <c r="A263" t="s">
        <v>1559</v>
      </c>
      <c r="B263" t="s">
        <v>1560</v>
      </c>
      <c r="C263" t="s">
        <v>1044</v>
      </c>
      <c r="D263" t="s">
        <v>1045</v>
      </c>
      <c r="AO263">
        <v>1.03555142879486</v>
      </c>
      <c r="AQ263">
        <v>1.11396324634552</v>
      </c>
      <c r="AS263">
        <v>1.22359979152679</v>
      </c>
      <c r="AU263">
        <v>1.16340851783752</v>
      </c>
      <c r="AV263">
        <v>0.76463848352432295</v>
      </c>
      <c r="AW263">
        <v>0.62441092729568504</v>
      </c>
      <c r="AX263">
        <v>1.38492727279663</v>
      </c>
      <c r="AY263">
        <v>1.34965407848358</v>
      </c>
      <c r="AZ263">
        <v>1.23301076889038</v>
      </c>
      <c r="BA263">
        <v>1.1854937076568599</v>
      </c>
      <c r="BB263">
        <v>1.22989845275879</v>
      </c>
      <c r="BC263">
        <v>1.27522957324982</v>
      </c>
      <c r="BD263">
        <v>1.10943698883057</v>
      </c>
      <c r="BE263">
        <v>1.2017008066177399</v>
      </c>
      <c r="BF263">
        <v>1.1603866815567001</v>
      </c>
      <c r="BG263">
        <v>0.63604527711868297</v>
      </c>
      <c r="BH263">
        <v>0.45848679542541498</v>
      </c>
      <c r="BI263">
        <v>0.48971042037010198</v>
      </c>
      <c r="BJ263">
        <v>0.67628520727157604</v>
      </c>
      <c r="BK263">
        <v>0.80256128311157204</v>
      </c>
      <c r="BL263">
        <v>1.00636458396912</v>
      </c>
      <c r="BM263">
        <v>0.88216185569763195</v>
      </c>
      <c r="BN263">
        <v>0.90050464868545499</v>
      </c>
      <c r="BO263">
        <v>0.96186208724975597</v>
      </c>
      <c r="BP263">
        <v>0.93225461244583097</v>
      </c>
    </row>
    <row r="264" spans="1:68" x14ac:dyDescent="0.25">
      <c r="A264" t="s">
        <v>1561</v>
      </c>
      <c r="B264" t="s">
        <v>1562</v>
      </c>
      <c r="C264" t="s">
        <v>1044</v>
      </c>
      <c r="D264" t="s">
        <v>1045</v>
      </c>
    </row>
    <row r="265" spans="1:68" x14ac:dyDescent="0.25">
      <c r="A265" t="s">
        <v>1563</v>
      </c>
      <c r="B265" t="s">
        <v>1564</v>
      </c>
      <c r="C265" t="s">
        <v>1044</v>
      </c>
      <c r="D265" t="s">
        <v>1045</v>
      </c>
      <c r="AO265">
        <v>1.32178819179535</v>
      </c>
      <c r="AQ265">
        <v>1.34391057491302</v>
      </c>
      <c r="AS265">
        <v>1.28314232826233</v>
      </c>
      <c r="AU265">
        <v>1.0971990823745701</v>
      </c>
      <c r="AV265">
        <v>1.27192747592926</v>
      </c>
      <c r="AW265">
        <v>1.15839719772339</v>
      </c>
      <c r="AX265">
        <v>1.13270270824432</v>
      </c>
      <c r="AY265">
        <v>1.0985090732574501</v>
      </c>
      <c r="AZ265">
        <v>1.0049806833267201</v>
      </c>
      <c r="BA265">
        <v>1.0978268384933501</v>
      </c>
      <c r="BB265">
        <v>0.95788419246673595</v>
      </c>
      <c r="BC265">
        <v>0.76569187641143799</v>
      </c>
      <c r="BD265">
        <v>0.98859095573425304</v>
      </c>
      <c r="BE265">
        <v>0.99924015998840299</v>
      </c>
      <c r="BF265">
        <v>0.98900789022445701</v>
      </c>
      <c r="BG265">
        <v>1.1219048500061</v>
      </c>
      <c r="BH265">
        <v>1.16604828834534</v>
      </c>
      <c r="BI265">
        <v>1.1758835315704299</v>
      </c>
      <c r="BJ265">
        <v>1.1616343259811399</v>
      </c>
      <c r="BK265">
        <v>1.1337516307830799</v>
      </c>
      <c r="BL265">
        <v>1.1633777618408201</v>
      </c>
      <c r="BM265">
        <v>1.14782202243805</v>
      </c>
      <c r="BN265">
        <v>1.10797071456909</v>
      </c>
      <c r="BO265">
        <v>1.09655201435089</v>
      </c>
      <c r="BP265">
        <v>1.09818840026855</v>
      </c>
    </row>
    <row r="266" spans="1:68" x14ac:dyDescent="0.25">
      <c r="A266" t="s">
        <v>1565</v>
      </c>
      <c r="B266" t="s">
        <v>1566</v>
      </c>
      <c r="C266" t="s">
        <v>1044</v>
      </c>
      <c r="D266" t="s">
        <v>1045</v>
      </c>
      <c r="BA266">
        <v>1.0120828151702901</v>
      </c>
      <c r="BB266">
        <v>0.43050938844680797</v>
      </c>
      <c r="BC266">
        <v>-1.04482114315033</v>
      </c>
      <c r="BD266">
        <v>-1.04214704036713</v>
      </c>
      <c r="BE266">
        <v>-1.0385023355484</v>
      </c>
      <c r="BF266">
        <v>-0.96614664793014504</v>
      </c>
      <c r="BG266">
        <v>-0.340774536132812</v>
      </c>
      <c r="BH266">
        <v>-0.20040644705295599</v>
      </c>
      <c r="BI266">
        <v>-0.28593334555625899</v>
      </c>
      <c r="BJ266">
        <v>-0.244493052363396</v>
      </c>
      <c r="BK266">
        <v>-0.67537117004394498</v>
      </c>
      <c r="BL266">
        <v>-0.34861594438552901</v>
      </c>
      <c r="BM266">
        <v>-0.27922073006629899</v>
      </c>
      <c r="BN266">
        <v>-0.113572865724564</v>
      </c>
      <c r="BO266">
        <v>-0.19884523749351499</v>
      </c>
      <c r="BP266">
        <v>-0.32251161336898798</v>
      </c>
    </row>
    <row r="267" spans="1:68" x14ac:dyDescent="0.25">
      <c r="A267" t="s">
        <v>1567</v>
      </c>
      <c r="B267" t="s">
        <v>1568</v>
      </c>
      <c r="C267" t="s">
        <v>1044</v>
      </c>
      <c r="D267" t="s">
        <v>1045</v>
      </c>
      <c r="AO267">
        <v>-1.3115378618240401</v>
      </c>
      <c r="AQ267">
        <v>-1.1928474903106701</v>
      </c>
      <c r="AS267">
        <v>-1.14544129371643</v>
      </c>
      <c r="AU267">
        <v>-1.3068804740905799</v>
      </c>
      <c r="AV267">
        <v>-1.48176205158234</v>
      </c>
      <c r="AW267">
        <v>-1.55118668079376</v>
      </c>
      <c r="AX267">
        <v>-1.43667340278625</v>
      </c>
      <c r="AY267">
        <v>-1.3453116416931199</v>
      </c>
      <c r="AZ267">
        <v>-1.5942518711090099</v>
      </c>
      <c r="BA267">
        <v>-2.0127942562103298</v>
      </c>
      <c r="BB267">
        <v>-2.3290207386016801</v>
      </c>
      <c r="BC267">
        <v>-2.4237163066864</v>
      </c>
      <c r="BD267">
        <v>-2.42679643630981</v>
      </c>
      <c r="BE267">
        <v>-2.43066310882568</v>
      </c>
      <c r="BF267">
        <v>-2.37482810020447</v>
      </c>
      <c r="BG267">
        <v>-2.6655750274658199</v>
      </c>
      <c r="BH267">
        <v>-2.6680161952972399</v>
      </c>
      <c r="BI267">
        <v>-2.7844886779785201</v>
      </c>
      <c r="BJ267">
        <v>-2.9343173503875701</v>
      </c>
      <c r="BK267">
        <v>-2.9962346553802499</v>
      </c>
      <c r="BL267">
        <v>-2.7710144519805899</v>
      </c>
      <c r="BM267">
        <v>-2.64773344993591</v>
      </c>
      <c r="BN267">
        <v>-2.5804603099822998</v>
      </c>
      <c r="BO267">
        <v>-2.462735414505</v>
      </c>
      <c r="BP267">
        <v>-2.56293869018555</v>
      </c>
    </row>
    <row r="268" spans="1:68" x14ac:dyDescent="0.25">
      <c r="A268" t="s">
        <v>1569</v>
      </c>
      <c r="B268" t="s">
        <v>1570</v>
      </c>
      <c r="C268" t="s">
        <v>1044</v>
      </c>
      <c r="D268" t="s">
        <v>1045</v>
      </c>
      <c r="AO268">
        <v>-0.37918755412101701</v>
      </c>
      <c r="AQ268">
        <v>-0.54605323076248202</v>
      </c>
      <c r="AS268">
        <v>-0.227864950895309</v>
      </c>
      <c r="AU268">
        <v>-0.254789859056473</v>
      </c>
      <c r="AV268">
        <v>-0.312842577695847</v>
      </c>
      <c r="AW268">
        <v>-0.13172955811023701</v>
      </c>
      <c r="AX268">
        <v>-0.162092119455338</v>
      </c>
      <c r="AY268">
        <v>4.70300763845444E-2</v>
      </c>
      <c r="AZ268">
        <v>0.215346544981003</v>
      </c>
      <c r="BA268">
        <v>4.9528993666172E-2</v>
      </c>
      <c r="BB268">
        <v>-0.114492610096931</v>
      </c>
      <c r="BC268">
        <v>-2.9427003115415601E-2</v>
      </c>
      <c r="BD268">
        <v>2.40315701812506E-2</v>
      </c>
      <c r="BE268">
        <v>-2.5386700406670602E-2</v>
      </c>
      <c r="BF268">
        <v>-4.6294536441564602E-2</v>
      </c>
      <c r="BG268">
        <v>-0.14638896286487599</v>
      </c>
      <c r="BH268">
        <v>-0.220544874668121</v>
      </c>
      <c r="BI268">
        <v>-0.14908500015735601</v>
      </c>
      <c r="BJ268">
        <v>-0.28480362892150901</v>
      </c>
      <c r="BK268">
        <v>-0.237546816468239</v>
      </c>
      <c r="BL268">
        <v>-0.2832210958004</v>
      </c>
      <c r="BM268">
        <v>-0.252867221832275</v>
      </c>
      <c r="BN268">
        <v>-0.75098145008087203</v>
      </c>
      <c r="BO268">
        <v>-0.68138635158538796</v>
      </c>
      <c r="BP268">
        <v>-0.66564202308654796</v>
      </c>
    </row>
    <row r="269" spans="1:68" x14ac:dyDescent="0.25">
      <c r="A269" t="s">
        <v>1571</v>
      </c>
      <c r="B269" t="s">
        <v>1572</v>
      </c>
      <c r="C269" t="s">
        <v>1044</v>
      </c>
      <c r="D269" t="s">
        <v>1045</v>
      </c>
      <c r="AO269">
        <v>-0.159948900341988</v>
      </c>
      <c r="AQ269">
        <v>0.21886819601058999</v>
      </c>
      <c r="AS269">
        <v>3.5720329731702798E-2</v>
      </c>
      <c r="AU269">
        <v>-0.27440547943115201</v>
      </c>
      <c r="AV269">
        <v>0.21837989985942799</v>
      </c>
      <c r="AW269">
        <v>0.19081440567970301</v>
      </c>
      <c r="AX269">
        <v>0.108463242650032</v>
      </c>
      <c r="AY269">
        <v>0.36379221081733698</v>
      </c>
      <c r="AZ269">
        <v>0.36362928152084401</v>
      </c>
      <c r="BA269">
        <v>0.47257286310195901</v>
      </c>
      <c r="BB269">
        <v>0.56958615779876698</v>
      </c>
      <c r="BC269">
        <v>0.51535135507583596</v>
      </c>
      <c r="BD269">
        <v>0.50977379083633401</v>
      </c>
      <c r="BE269">
        <v>0.66096252202987704</v>
      </c>
      <c r="BF269">
        <v>0.43593329191207902</v>
      </c>
      <c r="BG269">
        <v>0.15621201694011699</v>
      </c>
      <c r="BH269">
        <v>0.14470978081226299</v>
      </c>
      <c r="BI269">
        <v>0.132928282022476</v>
      </c>
      <c r="BJ269">
        <v>0.142043307423592</v>
      </c>
      <c r="BK269">
        <v>8.2633055746555301E-2</v>
      </c>
      <c r="BL269">
        <v>-0.11698965728282899</v>
      </c>
      <c r="BM269">
        <v>-0.13097919523716001</v>
      </c>
      <c r="BN269">
        <v>5.2413795143365902E-2</v>
      </c>
      <c r="BO269">
        <v>0.161331877112389</v>
      </c>
      <c r="BP269">
        <v>0.20172728598117801</v>
      </c>
    </row>
    <row r="270" spans="1:68" x14ac:dyDescent="0.25">
      <c r="A270" t="s">
        <v>1573</v>
      </c>
      <c r="B270" t="s">
        <v>1574</v>
      </c>
      <c r="C270" t="s">
        <v>1044</v>
      </c>
      <c r="D270" t="s">
        <v>1045</v>
      </c>
      <c r="AO270">
        <v>-0.46612241864204401</v>
      </c>
      <c r="AQ270">
        <v>-0.74044340848922696</v>
      </c>
      <c r="AS270">
        <v>-1.3188178539276101</v>
      </c>
      <c r="AU270">
        <v>-1.51587021350861</v>
      </c>
      <c r="AV270">
        <v>-1.08758056163788</v>
      </c>
      <c r="AW270">
        <v>-1.2047040462493901</v>
      </c>
      <c r="AX270">
        <v>-1.26764357089996</v>
      </c>
      <c r="AY270">
        <v>-0.93199604749679599</v>
      </c>
      <c r="AZ270">
        <v>-1.1103447675705</v>
      </c>
      <c r="BA270">
        <v>-1.2123380899429299</v>
      </c>
      <c r="BB270">
        <v>-1.16718089580536</v>
      </c>
      <c r="BC270">
        <v>-1.10401391983032</v>
      </c>
      <c r="BD270">
        <v>-0.94532853364944502</v>
      </c>
      <c r="BE270">
        <v>-0.77866202592849698</v>
      </c>
      <c r="BF270">
        <v>-0.66594976186752297</v>
      </c>
      <c r="BG270">
        <v>-0.71357017755508401</v>
      </c>
      <c r="BH270">
        <v>-0.619207262992859</v>
      </c>
      <c r="BI270">
        <v>-0.62080973386764504</v>
      </c>
      <c r="BJ270">
        <v>-0.71043086051940896</v>
      </c>
      <c r="BK270">
        <v>-0.72101205587387096</v>
      </c>
      <c r="BL270">
        <v>-0.94330251216888406</v>
      </c>
      <c r="BM270">
        <v>-1.0527434349060101</v>
      </c>
      <c r="BN270">
        <v>-0.954442739486694</v>
      </c>
      <c r="BO270">
        <v>-0.89497411251068104</v>
      </c>
      <c r="BP270">
        <v>-0.93444746732711803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BQ270"/>
  <sheetViews>
    <sheetView topLeftCell="A106" zoomScale="70" zoomScaleNormal="70" workbookViewId="0">
      <selection activeCell="BP135" sqref="BP135:BQ135"/>
    </sheetView>
  </sheetViews>
  <sheetFormatPr defaultRowHeight="15" x14ac:dyDescent="0.25"/>
  <cols>
    <col min="3" max="35" width="13" hidden="1" customWidth="1"/>
  </cols>
  <sheetData>
    <row r="1" spans="1:69" x14ac:dyDescent="0.25">
      <c r="A1" t="s">
        <v>970</v>
      </c>
      <c r="B1" t="s">
        <v>971</v>
      </c>
    </row>
    <row r="2" spans="1:69" x14ac:dyDescent="0.25">
      <c r="A2" t="s">
        <v>972</v>
      </c>
      <c r="B2" s="24">
        <v>46050</v>
      </c>
    </row>
    <row r="4" spans="1:69" x14ac:dyDescent="0.25">
      <c r="A4" t="s">
        <v>973</v>
      </c>
      <c r="B4" t="s">
        <v>974</v>
      </c>
      <c r="C4" t="s">
        <v>975</v>
      </c>
      <c r="D4" t="s">
        <v>976</v>
      </c>
      <c r="E4" t="s">
        <v>977</v>
      </c>
      <c r="F4" t="s">
        <v>978</v>
      </c>
      <c r="G4" t="s">
        <v>979</v>
      </c>
      <c r="H4" t="s">
        <v>980</v>
      </c>
      <c r="I4" t="s">
        <v>981</v>
      </c>
      <c r="J4" t="s">
        <v>982</v>
      </c>
      <c r="K4" t="s">
        <v>983</v>
      </c>
      <c r="L4" t="s">
        <v>984</v>
      </c>
      <c r="M4" t="s">
        <v>985</v>
      </c>
      <c r="N4" t="s">
        <v>986</v>
      </c>
      <c r="O4" t="s">
        <v>987</v>
      </c>
      <c r="P4" t="s">
        <v>988</v>
      </c>
      <c r="Q4" t="s">
        <v>989</v>
      </c>
      <c r="R4" t="s">
        <v>990</v>
      </c>
      <c r="S4" t="s">
        <v>991</v>
      </c>
      <c r="T4" t="s">
        <v>992</v>
      </c>
      <c r="U4" t="s">
        <v>993</v>
      </c>
      <c r="V4" t="s">
        <v>994</v>
      </c>
      <c r="W4" t="s">
        <v>995</v>
      </c>
      <c r="X4" t="s">
        <v>996</v>
      </c>
      <c r="Y4" t="s">
        <v>997</v>
      </c>
      <c r="Z4" t="s">
        <v>998</v>
      </c>
      <c r="AA4" t="s">
        <v>999</v>
      </c>
      <c r="AB4" t="s">
        <v>1000</v>
      </c>
      <c r="AC4" t="s">
        <v>1001</v>
      </c>
      <c r="AD4" t="s">
        <v>1002</v>
      </c>
      <c r="AE4" t="s">
        <v>1003</v>
      </c>
      <c r="AF4" t="s">
        <v>1004</v>
      </c>
      <c r="AG4" t="s">
        <v>1005</v>
      </c>
      <c r="AH4" t="s">
        <v>1006</v>
      </c>
      <c r="AI4" t="s">
        <v>1007</v>
      </c>
      <c r="AJ4" t="s">
        <v>1008</v>
      </c>
      <c r="AK4" t="s">
        <v>1009</v>
      </c>
      <c r="AL4" t="s">
        <v>1010</v>
      </c>
      <c r="AM4" t="s">
        <v>1011</v>
      </c>
      <c r="AN4" t="s">
        <v>1012</v>
      </c>
      <c r="AO4" t="s">
        <v>1013</v>
      </c>
      <c r="AP4" t="s">
        <v>1014</v>
      </c>
      <c r="AQ4" t="s">
        <v>1015</v>
      </c>
      <c r="AR4" t="s">
        <v>1016</v>
      </c>
      <c r="AS4" t="s">
        <v>1017</v>
      </c>
      <c r="AT4" t="s">
        <v>1018</v>
      </c>
      <c r="AU4" t="s">
        <v>1019</v>
      </c>
      <c r="AV4" t="s">
        <v>1020</v>
      </c>
      <c r="AW4" t="s">
        <v>1021</v>
      </c>
      <c r="AX4" t="s">
        <v>1022</v>
      </c>
      <c r="AY4" t="s">
        <v>1023</v>
      </c>
      <c r="AZ4" t="s">
        <v>1024</v>
      </c>
      <c r="BA4" t="s">
        <v>1025</v>
      </c>
      <c r="BB4" t="s">
        <v>1026</v>
      </c>
      <c r="BC4" t="s">
        <v>1027</v>
      </c>
      <c r="BD4" t="s">
        <v>1028</v>
      </c>
      <c r="BE4" t="s">
        <v>1029</v>
      </c>
      <c r="BF4" t="s">
        <v>1030</v>
      </c>
      <c r="BG4" t="s">
        <v>1031</v>
      </c>
      <c r="BH4" t="s">
        <v>1032</v>
      </c>
      <c r="BI4" t="s">
        <v>1033</v>
      </c>
      <c r="BJ4" t="s">
        <v>1034</v>
      </c>
      <c r="BK4" t="s">
        <v>1035</v>
      </c>
      <c r="BL4" t="s">
        <v>1036</v>
      </c>
      <c r="BM4" t="s">
        <v>1037</v>
      </c>
      <c r="BN4" t="s">
        <v>1038</v>
      </c>
      <c r="BO4" t="s">
        <v>1039</v>
      </c>
      <c r="BP4" t="s">
        <v>1040</v>
      </c>
      <c r="BQ4" t="s">
        <v>1041</v>
      </c>
    </row>
    <row r="5" spans="1:69" x14ac:dyDescent="0.25">
      <c r="A5" t="s">
        <v>1042</v>
      </c>
      <c r="B5" t="s">
        <v>1043</v>
      </c>
      <c r="C5" t="s">
        <v>1575</v>
      </c>
      <c r="D5" t="s">
        <v>1576</v>
      </c>
      <c r="S5" s="27"/>
      <c r="T5" s="27"/>
      <c r="U5" s="27"/>
      <c r="V5" s="27"/>
      <c r="W5" s="27"/>
      <c r="X5" s="27"/>
      <c r="Y5" s="27"/>
      <c r="Z5" s="27"/>
      <c r="AA5" s="27"/>
      <c r="AB5" s="27"/>
      <c r="AC5" s="27"/>
      <c r="AD5" s="27">
        <v>4.0322580562862784</v>
      </c>
      <c r="AE5" s="27">
        <v>1.073966408268288</v>
      </c>
      <c r="AF5" s="27">
        <v>3.6430454581770562</v>
      </c>
      <c r="AG5" s="27">
        <v>3.1218684961072261</v>
      </c>
      <c r="AH5" s="27">
        <v>3.9916280460457529</v>
      </c>
      <c r="AI5" s="27">
        <v>5.8366877515816569</v>
      </c>
      <c r="AJ5" s="27">
        <v>5.5555555555557907</v>
      </c>
      <c r="AK5" s="27">
        <v>3.8733753699647959</v>
      </c>
      <c r="AL5" s="27">
        <v>5.2155599603571021</v>
      </c>
      <c r="AM5" s="27">
        <v>6.3110797127043972</v>
      </c>
      <c r="AN5" s="27">
        <v>3.3613910732089858</v>
      </c>
      <c r="AO5" s="27">
        <v>3.225287972139792</v>
      </c>
      <c r="AP5" s="27">
        <v>2.9999480977841211</v>
      </c>
      <c r="AQ5" s="27">
        <v>1.8694885361554061</v>
      </c>
      <c r="AR5" s="27">
        <v>2.2803719825875319</v>
      </c>
      <c r="AS5" s="27">
        <v>4.0440213119051291</v>
      </c>
      <c r="AT5" s="27">
        <v>2.883604303162639</v>
      </c>
      <c r="AU5" s="27">
        <v>3.3152467858542338</v>
      </c>
      <c r="AV5" s="27">
        <v>3.656365079384182</v>
      </c>
      <c r="AW5" s="27">
        <v>2.5291294693276249</v>
      </c>
      <c r="AX5" s="27">
        <v>3.3977867782880571</v>
      </c>
      <c r="AY5" s="27">
        <v>3.6080243878454099</v>
      </c>
      <c r="AZ5" s="27">
        <v>5.3925678447551686</v>
      </c>
      <c r="BA5" s="27">
        <v>8.9559870517778428</v>
      </c>
      <c r="BB5" s="27">
        <v>-2.1354287204693732</v>
      </c>
      <c r="BC5" s="27">
        <v>2.078140718607866</v>
      </c>
      <c r="BD5" s="27">
        <v>4.3162974219520311</v>
      </c>
      <c r="BE5" s="27">
        <v>0.62747199289337252</v>
      </c>
      <c r="BF5" s="27">
        <v>-2.3720652425226141</v>
      </c>
      <c r="BG5" s="27">
        <v>0.42144091888121449</v>
      </c>
      <c r="BH5" s="27">
        <v>0.47476359734264129</v>
      </c>
      <c r="BI5" s="27">
        <v>-0.93119598707956086</v>
      </c>
      <c r="BJ5" s="27">
        <v>-1.028281787620122</v>
      </c>
      <c r="BK5" s="27">
        <v>3.6260414135296091</v>
      </c>
      <c r="BL5" s="27">
        <v>4.2574620433542778</v>
      </c>
      <c r="BM5" s="27"/>
      <c r="BN5" s="27"/>
      <c r="BO5" s="27"/>
      <c r="BP5" s="27"/>
      <c r="BQ5" s="27"/>
    </row>
    <row r="6" spans="1:69" x14ac:dyDescent="0.25">
      <c r="A6" t="s">
        <v>1046</v>
      </c>
      <c r="B6" t="s">
        <v>1047</v>
      </c>
      <c r="C6" t="s">
        <v>1575</v>
      </c>
      <c r="D6" t="s">
        <v>1576</v>
      </c>
      <c r="S6" s="27">
        <v>19.598393574214821</v>
      </c>
      <c r="T6" s="27">
        <v>15.224098935289121</v>
      </c>
      <c r="U6" s="27">
        <v>11.216481293829361</v>
      </c>
      <c r="V6" s="27">
        <v>14.238055494268149</v>
      </c>
      <c r="W6" s="27">
        <v>12.52689251464006</v>
      </c>
      <c r="X6" s="27">
        <v>15.0698498241015</v>
      </c>
      <c r="Y6" s="27">
        <v>15.06651153725085</v>
      </c>
      <c r="Z6" s="27">
        <v>14.461591074210631</v>
      </c>
      <c r="AA6" s="27">
        <v>12.13991769547337</v>
      </c>
      <c r="AB6" s="27">
        <v>11.56752438340691</v>
      </c>
      <c r="AC6" s="27">
        <v>10.983862571577371</v>
      </c>
      <c r="AD6" s="27">
        <v>13.006566421882701</v>
      </c>
      <c r="AE6" s="27">
        <v>13.891971645556531</v>
      </c>
      <c r="AF6" s="27">
        <v>12.563443221106921</v>
      </c>
      <c r="AG6" s="27">
        <v>12.5222580655931</v>
      </c>
      <c r="AH6" s="27">
        <v>12.558202070701221</v>
      </c>
      <c r="AI6" s="27">
        <v>12.457913978956601</v>
      </c>
      <c r="AJ6" s="27">
        <v>17.678100263852269</v>
      </c>
      <c r="AK6" s="27">
        <v>16.167612396333912</v>
      </c>
      <c r="AL6" s="27">
        <v>13.13566076837237</v>
      </c>
      <c r="AM6" s="27">
        <v>14.852814983396939</v>
      </c>
      <c r="AN6" s="27">
        <v>12.288591260142571</v>
      </c>
      <c r="AO6" s="27">
        <v>9.706586325265036</v>
      </c>
      <c r="AP6" s="27">
        <v>10.24959874030664</v>
      </c>
      <c r="AQ6" s="27">
        <v>7.4952554230560704</v>
      </c>
      <c r="AR6" s="27">
        <v>7.8198647763086244</v>
      </c>
      <c r="AS6" s="27">
        <v>8.6014851485149055</v>
      </c>
      <c r="AT6" s="27">
        <v>5.8403539831155724</v>
      </c>
      <c r="AU6" s="27">
        <v>8.7637552031354318</v>
      </c>
      <c r="AV6" s="27">
        <v>7.4497001400736584</v>
      </c>
      <c r="AW6" s="27">
        <v>5.0234206861628534</v>
      </c>
      <c r="AX6" s="27">
        <v>8.5580380223977848</v>
      </c>
      <c r="AY6" s="27">
        <v>8.8981638021403278</v>
      </c>
      <c r="AZ6" s="27">
        <v>8.4507748063499957</v>
      </c>
      <c r="BA6" s="27">
        <v>12.566644659515649</v>
      </c>
      <c r="BB6" s="27">
        <v>8.9542180239294922</v>
      </c>
      <c r="BC6" s="27">
        <v>5.5375379164567624</v>
      </c>
      <c r="BD6" s="27">
        <v>8.9712064099578779</v>
      </c>
      <c r="BE6" s="27">
        <v>9.1587084316790488</v>
      </c>
      <c r="BF6" s="27">
        <v>5.7488313355345433</v>
      </c>
      <c r="BG6" s="27">
        <v>5.5258192339251728</v>
      </c>
      <c r="BH6" s="27">
        <v>5.0985616436368666</v>
      </c>
      <c r="BI6" s="27">
        <v>6.4468772225558411</v>
      </c>
      <c r="BJ6" s="27">
        <v>6.2213752893311778</v>
      </c>
      <c r="BK6" s="27">
        <v>4.6898064677632991</v>
      </c>
      <c r="BL6" s="27">
        <v>4.1028507546115582</v>
      </c>
      <c r="BM6" s="27">
        <v>5.1916294209285052</v>
      </c>
      <c r="BN6" s="27">
        <v>6.8247270928206696</v>
      </c>
      <c r="BO6" s="27">
        <v>10.88347757260175</v>
      </c>
      <c r="BP6" s="27">
        <v>7.3991855808062663</v>
      </c>
      <c r="BQ6" s="27">
        <v>4.4897885424344786</v>
      </c>
    </row>
    <row r="7" spans="1:69" x14ac:dyDescent="0.25">
      <c r="A7" t="s">
        <v>1048</v>
      </c>
      <c r="B7" t="s">
        <v>1049</v>
      </c>
      <c r="C7" t="s">
        <v>1575</v>
      </c>
      <c r="D7" t="s">
        <v>1576</v>
      </c>
      <c r="AX7">
        <v>12.68626872167151</v>
      </c>
      <c r="AY7">
        <v>6.784596550016551</v>
      </c>
      <c r="AZ7">
        <v>8.6805707851340568</v>
      </c>
      <c r="BA7">
        <v>26.418664154744391</v>
      </c>
      <c r="BB7">
        <v>-6.8111610889899588</v>
      </c>
      <c r="BC7">
        <v>2.1785375238941871</v>
      </c>
      <c r="BD7">
        <v>11.8041858089129</v>
      </c>
      <c r="BE7">
        <v>6.4412128093411702</v>
      </c>
      <c r="BF7">
        <v>7.3857717839785542</v>
      </c>
      <c r="BG7">
        <v>4.6739960353634453</v>
      </c>
      <c r="BH7">
        <v>-0.66170916471374164</v>
      </c>
      <c r="BI7">
        <v>4.3838919551391493</v>
      </c>
      <c r="BJ7">
        <v>4.9759515055383279</v>
      </c>
      <c r="BK7">
        <v>0.62614914916884667</v>
      </c>
      <c r="BL7">
        <v>2.302372515168337</v>
      </c>
      <c r="BM7">
        <v>5.6018879148222416</v>
      </c>
      <c r="BN7">
        <v>5.1332034082496252</v>
      </c>
      <c r="BO7">
        <v>13.712102372006481</v>
      </c>
      <c r="BP7">
        <v>-4.644708707977748</v>
      </c>
      <c r="BQ7">
        <v>-6.6011856407372589</v>
      </c>
    </row>
    <row r="8" spans="1:69" x14ac:dyDescent="0.25">
      <c r="A8" t="s">
        <v>1050</v>
      </c>
      <c r="B8" t="s">
        <v>1051</v>
      </c>
      <c r="C8" t="s">
        <v>1575</v>
      </c>
      <c r="D8" t="s">
        <v>1576</v>
      </c>
      <c r="Z8">
        <v>8.7992108330877699</v>
      </c>
      <c r="AA8">
        <v>12.059765208133671</v>
      </c>
      <c r="AB8">
        <v>10.671936758893381</v>
      </c>
      <c r="AC8">
        <v>11.24999999999971</v>
      </c>
      <c r="AD8">
        <v>7.3549257759783</v>
      </c>
      <c r="AE8">
        <v>5.95096499946618</v>
      </c>
      <c r="AF8">
        <v>0.2487885553547452</v>
      </c>
      <c r="AG8">
        <v>2.5236593059939132</v>
      </c>
      <c r="AH8">
        <v>0.86928702260828783</v>
      </c>
      <c r="AI8">
        <v>1.057361394572089</v>
      </c>
      <c r="AJ8">
        <v>1.7418878593266871</v>
      </c>
      <c r="AK8">
        <v>-6.2999006478703462E-2</v>
      </c>
      <c r="AL8">
        <v>0.55345572354191719</v>
      </c>
      <c r="AM8">
        <v>31.841016841638542</v>
      </c>
      <c r="AN8">
        <v>10.563288669181359</v>
      </c>
      <c r="AO8">
        <v>4.9142397263720143</v>
      </c>
      <c r="AP8">
        <v>3.9971417043930271</v>
      </c>
      <c r="AQ8">
        <v>4.4711254385109882</v>
      </c>
      <c r="AR8">
        <v>0.37226617031192782</v>
      </c>
      <c r="AS8">
        <v>2.5307751673799692</v>
      </c>
      <c r="AT8">
        <v>4.3615291400725642</v>
      </c>
      <c r="AU8">
        <v>3.1886933022058952</v>
      </c>
      <c r="AV8">
        <v>1.760904100996286</v>
      </c>
      <c r="AW8">
        <v>0.69433630594575768</v>
      </c>
      <c r="AX8">
        <v>5.6316335135761317</v>
      </c>
      <c r="AY8">
        <v>4.4158998416956088</v>
      </c>
      <c r="AZ8">
        <v>3.6073676798459631</v>
      </c>
      <c r="BA8">
        <v>8.4529762332675471</v>
      </c>
      <c r="BB8">
        <v>3.2824403758932088</v>
      </c>
      <c r="BC8">
        <v>1.7848442047711299</v>
      </c>
      <c r="BD8">
        <v>4.0186990753449159</v>
      </c>
      <c r="BE8">
        <v>4.578374635159479</v>
      </c>
      <c r="BF8">
        <v>2.439200761041262</v>
      </c>
      <c r="BG8">
        <v>1.7684358214622371</v>
      </c>
      <c r="BH8">
        <v>2.130817380587914</v>
      </c>
      <c r="BI8">
        <v>1.4874155075554589</v>
      </c>
      <c r="BJ8">
        <v>1.725486023747314</v>
      </c>
      <c r="BK8">
        <v>1.784049948320438</v>
      </c>
      <c r="BL8">
        <v>1.9830922848723189</v>
      </c>
      <c r="BM8">
        <v>2.4903778393194909</v>
      </c>
      <c r="BN8">
        <v>3.745567823330092</v>
      </c>
      <c r="BO8">
        <v>7.9492514352401624</v>
      </c>
      <c r="BP8">
        <v>5.2211680132400193</v>
      </c>
      <c r="BQ8">
        <v>3.608044269505664</v>
      </c>
    </row>
    <row r="9" spans="1:69" x14ac:dyDescent="0.25">
      <c r="A9" t="s">
        <v>1052</v>
      </c>
      <c r="B9" t="s">
        <v>1053</v>
      </c>
      <c r="C9" t="s">
        <v>1575</v>
      </c>
      <c r="D9" t="s">
        <v>1576</v>
      </c>
      <c r="AJ9">
        <v>83.783783783783761</v>
      </c>
      <c r="AK9">
        <v>299.50980392156879</v>
      </c>
      <c r="AL9">
        <v>1378.527607361963</v>
      </c>
      <c r="AM9">
        <v>949.79253112033177</v>
      </c>
      <c r="AN9">
        <v>2666.450592885375</v>
      </c>
      <c r="AO9">
        <v>4145.1059822063789</v>
      </c>
      <c r="AP9">
        <v>219.1767211729742</v>
      </c>
      <c r="AQ9">
        <v>107.2848215282982</v>
      </c>
      <c r="AR9">
        <v>248.19590241286809</v>
      </c>
      <c r="AS9">
        <v>324.99687160132072</v>
      </c>
      <c r="AT9">
        <v>152.56102246929879</v>
      </c>
      <c r="AU9">
        <v>108.89743608942899</v>
      </c>
      <c r="AV9">
        <v>98.224143657330416</v>
      </c>
      <c r="AW9">
        <v>43.542106751968689</v>
      </c>
      <c r="AX9">
        <v>22.953513851393989</v>
      </c>
      <c r="AY9">
        <v>13.30521017800316</v>
      </c>
      <c r="AZ9">
        <v>12.251497445948679</v>
      </c>
      <c r="BA9">
        <v>12.47582913263979</v>
      </c>
      <c r="BB9">
        <v>13.73028392884085</v>
      </c>
      <c r="BC9">
        <v>14.469656493257681</v>
      </c>
      <c r="BD9">
        <v>13.482467921851111</v>
      </c>
      <c r="BE9">
        <v>10.277904921883939</v>
      </c>
      <c r="BF9">
        <v>8.7778142933262373</v>
      </c>
      <c r="BG9">
        <v>7.2803873036112066</v>
      </c>
      <c r="BH9">
        <v>9.3559721553378399</v>
      </c>
      <c r="BI9">
        <v>30.694415080671909</v>
      </c>
      <c r="BJ9">
        <v>29.844479901567929</v>
      </c>
      <c r="BK9">
        <v>19.62893797015208</v>
      </c>
      <c r="BL9">
        <v>17.080954143438031</v>
      </c>
      <c r="BM9">
        <v>22.271539247050971</v>
      </c>
      <c r="BN9">
        <v>25.754294884189061</v>
      </c>
      <c r="BO9">
        <v>21.355290132082221</v>
      </c>
      <c r="BP9">
        <v>13.64410177677148</v>
      </c>
      <c r="BQ9">
        <v>28.240494891577239</v>
      </c>
    </row>
    <row r="10" spans="1:69" x14ac:dyDescent="0.25">
      <c r="A10" t="s">
        <v>1054</v>
      </c>
      <c r="B10" t="s">
        <v>1055</v>
      </c>
      <c r="C10" t="s">
        <v>1575</v>
      </c>
      <c r="D10" t="s">
        <v>1576</v>
      </c>
      <c r="AK10">
        <v>226.0054212535257</v>
      </c>
      <c r="AL10">
        <v>85.004751238715585</v>
      </c>
      <c r="AM10">
        <v>22.565052693369591</v>
      </c>
      <c r="AN10">
        <v>7.7932185378921748</v>
      </c>
      <c r="AO10">
        <v>12.725477808710259</v>
      </c>
      <c r="AP10">
        <v>33.180274375395612</v>
      </c>
      <c r="AQ10">
        <v>20.642858867059608</v>
      </c>
      <c r="AR10">
        <v>0.38943765356162829</v>
      </c>
      <c r="AS10">
        <v>5.0018136346823838E-2</v>
      </c>
      <c r="AT10">
        <v>3.107588270314336</v>
      </c>
      <c r="AU10">
        <v>7.7705258343155199</v>
      </c>
      <c r="AV10">
        <v>0.48400261181847831</v>
      </c>
      <c r="AW10">
        <v>2.2800191693810108</v>
      </c>
      <c r="AX10">
        <v>2.3665819567979529</v>
      </c>
      <c r="AY10">
        <v>2.3707283190428181</v>
      </c>
      <c r="AZ10">
        <v>2.9326824816232282</v>
      </c>
      <c r="BA10">
        <v>3.3208709038926498</v>
      </c>
      <c r="BB10">
        <v>2.2669220945083071</v>
      </c>
      <c r="BC10">
        <v>3.6271009151747959</v>
      </c>
      <c r="BD10">
        <v>3.4280713014150308</v>
      </c>
      <c r="BE10">
        <v>2.0315926839529621</v>
      </c>
      <c r="BF10">
        <v>1.9376208020522321</v>
      </c>
      <c r="BG10">
        <v>1.6258650440260449</v>
      </c>
      <c r="BH10">
        <v>1.896174025923657</v>
      </c>
      <c r="BI10">
        <v>1.275431683674233</v>
      </c>
      <c r="BJ10">
        <v>1.986661331711943</v>
      </c>
      <c r="BK10">
        <v>2.0280596307113461</v>
      </c>
      <c r="BL10">
        <v>1.4110907895425071</v>
      </c>
      <c r="BM10">
        <v>1.6208866171700389</v>
      </c>
      <c r="BN10">
        <v>2.0414716313954511</v>
      </c>
      <c r="BO10">
        <v>6.725202715300596</v>
      </c>
      <c r="BP10">
        <v>4.7583455515003861</v>
      </c>
      <c r="BQ10">
        <v>2.2158737508999908</v>
      </c>
    </row>
    <row r="11" spans="1:69" x14ac:dyDescent="0.25">
      <c r="A11" t="s">
        <v>1056</v>
      </c>
      <c r="B11" t="s">
        <v>1057</v>
      </c>
      <c r="C11" t="s">
        <v>1575</v>
      </c>
      <c r="D11" t="s">
        <v>1576</v>
      </c>
    </row>
    <row r="12" spans="1:69" x14ac:dyDescent="0.25">
      <c r="A12" t="s">
        <v>1058</v>
      </c>
      <c r="B12" t="s">
        <v>1059</v>
      </c>
      <c r="C12" t="s">
        <v>1575</v>
      </c>
      <c r="D12" t="s">
        <v>1576</v>
      </c>
      <c r="R12">
        <v>8.2666666660000594</v>
      </c>
      <c r="S12">
        <v>15.528281750266849</v>
      </c>
      <c r="T12">
        <v>9.6696954815124485</v>
      </c>
      <c r="U12">
        <v>10.317415887741349</v>
      </c>
      <c r="V12">
        <v>11.989283322105029</v>
      </c>
      <c r="W12">
        <v>9.7160327495434036</v>
      </c>
      <c r="Y12">
        <v>9.6260566461317794</v>
      </c>
      <c r="Z12">
        <v>10.758503416014481</v>
      </c>
      <c r="AA12">
        <v>8.3312557558115579</v>
      </c>
      <c r="AB12">
        <v>5.4936655143209077</v>
      </c>
      <c r="AC12">
        <v>8.1163979551710046</v>
      </c>
      <c r="AD12">
        <v>7.2543617998163539</v>
      </c>
      <c r="AE12">
        <v>7.4333333333331959</v>
      </c>
      <c r="AF12">
        <v>4.2224166624075146</v>
      </c>
      <c r="AG12">
        <v>5.9115449637348867</v>
      </c>
      <c r="AH12">
        <v>7.7408860396133603</v>
      </c>
      <c r="AI12">
        <v>8.4514624080388163</v>
      </c>
      <c r="AJ12">
        <v>9.0000000000000338</v>
      </c>
      <c r="AK12">
        <v>9.3597515895313528</v>
      </c>
      <c r="AL12">
        <v>9.3703441597146053</v>
      </c>
      <c r="AM12">
        <v>5.1125989044431437</v>
      </c>
      <c r="AN12">
        <v>6.54379068524171</v>
      </c>
      <c r="AO12">
        <v>4.681306239164126</v>
      </c>
      <c r="AP12">
        <v>3.6011610326094581</v>
      </c>
      <c r="AQ12">
        <v>3.4173194897580088</v>
      </c>
      <c r="AR12">
        <v>2.669373690536994</v>
      </c>
      <c r="AS12">
        <v>1.8537903532527671</v>
      </c>
      <c r="AT12">
        <v>1.772204373510166</v>
      </c>
      <c r="AU12">
        <v>1.832993890020495</v>
      </c>
      <c r="AV12">
        <v>2.7125924747435168</v>
      </c>
      <c r="AW12">
        <v>3.6322800495662508</v>
      </c>
      <c r="AX12">
        <v>3.4936853461953081</v>
      </c>
      <c r="AY12">
        <v>3.5449859160503312</v>
      </c>
      <c r="AZ12">
        <v>4.7439063902164751</v>
      </c>
      <c r="BA12">
        <v>11.270665238084799</v>
      </c>
      <c r="BB12">
        <v>2.9208971180536669</v>
      </c>
      <c r="BC12">
        <v>3.9110619553402799</v>
      </c>
      <c r="BD12">
        <v>4.7531638888563004</v>
      </c>
      <c r="BE12">
        <v>4.6118443220663972</v>
      </c>
      <c r="BF12">
        <v>3.2542391099884749</v>
      </c>
      <c r="BG12">
        <v>2.8994790500605698</v>
      </c>
      <c r="BH12">
        <v>1.831352331563685</v>
      </c>
      <c r="BI12">
        <v>2.3650312346107731</v>
      </c>
      <c r="BJ12">
        <v>2.0693292816442379</v>
      </c>
      <c r="BK12">
        <v>2.308746967039383</v>
      </c>
      <c r="BL12">
        <v>1.3360156814765549</v>
      </c>
      <c r="BM12">
        <v>1.4470365699874099</v>
      </c>
      <c r="BN12">
        <v>2.868330277510192</v>
      </c>
      <c r="BO12">
        <v>5.1798084796706103</v>
      </c>
      <c r="BP12">
        <v>4.0002587706014721</v>
      </c>
      <c r="BQ12">
        <v>2.1013557741961222</v>
      </c>
    </row>
    <row r="13" spans="1:69" x14ac:dyDescent="0.25">
      <c r="A13" t="s">
        <v>1060</v>
      </c>
      <c r="B13" t="s">
        <v>1061</v>
      </c>
      <c r="C13" t="s">
        <v>1575</v>
      </c>
      <c r="D13" t="s">
        <v>1576</v>
      </c>
      <c r="BA13">
        <v>12.25042024481392</v>
      </c>
      <c r="BB13">
        <v>1.5618131744907</v>
      </c>
      <c r="BC13">
        <v>0.87798328828586725</v>
      </c>
      <c r="BD13">
        <v>0.87734659568512019</v>
      </c>
      <c r="BE13">
        <v>0.66226890026900875</v>
      </c>
      <c r="BF13">
        <v>1.101118363757104</v>
      </c>
      <c r="BG13">
        <v>2.3462686567164259</v>
      </c>
      <c r="BH13">
        <v>4.0699660836159319</v>
      </c>
      <c r="BI13">
        <v>1.6174880890419769</v>
      </c>
      <c r="BJ13">
        <v>1.9668255781884201</v>
      </c>
      <c r="BK13">
        <v>3.0686337925199672</v>
      </c>
      <c r="BL13">
        <v>-1.9310811478217269</v>
      </c>
      <c r="BM13">
        <v>-2.0794031794094381</v>
      </c>
      <c r="BN13">
        <v>0.17993533617443139</v>
      </c>
      <c r="BO13">
        <v>5.2912260437684937</v>
      </c>
      <c r="BP13">
        <v>1.6267083721324831</v>
      </c>
      <c r="BQ13">
        <v>1.66336510224894</v>
      </c>
    </row>
    <row r="14" spans="1:69" x14ac:dyDescent="0.25">
      <c r="A14" t="s">
        <v>1062</v>
      </c>
      <c r="B14" t="s">
        <v>1063</v>
      </c>
      <c r="C14" t="s">
        <v>1575</v>
      </c>
      <c r="D14" t="s">
        <v>1576</v>
      </c>
      <c r="BK14">
        <v>34.277223713100319</v>
      </c>
      <c r="BL14">
        <v>53.548304349233902</v>
      </c>
      <c r="BM14">
        <v>42.01509473765087</v>
      </c>
      <c r="BN14">
        <v>48.409378625519913</v>
      </c>
      <c r="BO14">
        <v>72.430757531824042</v>
      </c>
      <c r="BP14">
        <v>133.4889355941749</v>
      </c>
      <c r="BQ14">
        <v>219.883929014578</v>
      </c>
    </row>
    <row r="15" spans="1:69" x14ac:dyDescent="0.25">
      <c r="A15" t="s">
        <v>1064</v>
      </c>
      <c r="B15" t="s">
        <v>1065</v>
      </c>
      <c r="C15" t="s">
        <v>1575</v>
      </c>
      <c r="D15" t="s">
        <v>1576</v>
      </c>
      <c r="AM15">
        <v>3373.759443362932</v>
      </c>
      <c r="AN15">
        <v>175.95132553458299</v>
      </c>
      <c r="AO15">
        <v>18.681185640036041</v>
      </c>
      <c r="AP15">
        <v>13.960764121791041</v>
      </c>
      <c r="AQ15">
        <v>8.6724863238515777</v>
      </c>
      <c r="AR15">
        <v>0.64824576047038529</v>
      </c>
      <c r="AS15">
        <v>-0.7908837689347572</v>
      </c>
      <c r="AT15">
        <v>3.1459046468501999</v>
      </c>
      <c r="AU15">
        <v>1.060049293416667</v>
      </c>
      <c r="AV15">
        <v>4.7215533660534019</v>
      </c>
      <c r="AW15">
        <v>6.9612613587579517</v>
      </c>
      <c r="AX15">
        <v>0.63892800241009728</v>
      </c>
      <c r="AY15">
        <v>2.8923566245900392</v>
      </c>
      <c r="AZ15">
        <v>4.4073608964451632</v>
      </c>
      <c r="BA15">
        <v>8.9499533535338713</v>
      </c>
      <c r="BB15">
        <v>3.4067668268380129</v>
      </c>
      <c r="BC15">
        <v>8.1763613847395185</v>
      </c>
      <c r="BD15">
        <v>7.6500080785929434</v>
      </c>
      <c r="BE15">
        <v>2.5580200775790729</v>
      </c>
      <c r="BF15">
        <v>5.7896677854465066</v>
      </c>
      <c r="BG15">
        <v>2.981308689336724</v>
      </c>
      <c r="BH15">
        <v>3.7316911926169349</v>
      </c>
      <c r="BI15">
        <v>-1.403607559008996</v>
      </c>
      <c r="BJ15">
        <v>0.96955326881613779</v>
      </c>
      <c r="BK15">
        <v>2.5202338200163772</v>
      </c>
      <c r="BL15">
        <v>1.4434466077069821</v>
      </c>
      <c r="BM15">
        <v>1.2114357783846459</v>
      </c>
      <c r="BN15">
        <v>7.1848362944337074</v>
      </c>
      <c r="BO15">
        <v>8.6409110897385464</v>
      </c>
      <c r="BP15">
        <v>1.9804187761555361</v>
      </c>
      <c r="BQ15">
        <v>0.26951197825912548</v>
      </c>
    </row>
    <row r="16" spans="1:69" x14ac:dyDescent="0.25">
      <c r="A16" t="s">
        <v>1066</v>
      </c>
      <c r="B16" t="s">
        <v>1067</v>
      </c>
      <c r="C16" t="s">
        <v>1575</v>
      </c>
      <c r="D16" t="s">
        <v>1576</v>
      </c>
    </row>
    <row r="17" spans="1:69" x14ac:dyDescent="0.25">
      <c r="A17" t="s">
        <v>1068</v>
      </c>
      <c r="B17" t="s">
        <v>1069</v>
      </c>
      <c r="C17" t="s">
        <v>1575</v>
      </c>
      <c r="D17" t="s">
        <v>1576</v>
      </c>
      <c r="AR17">
        <v>1.1212878957114609</v>
      </c>
      <c r="AS17">
        <v>0.77177979690018006</v>
      </c>
      <c r="AT17">
        <v>1.4027966357398809</v>
      </c>
      <c r="AU17">
        <v>2.4076580129349092</v>
      </c>
      <c r="AV17">
        <v>1.993530551524539</v>
      </c>
      <c r="AW17">
        <v>2.0300775785323641</v>
      </c>
      <c r="AX17">
        <v>2.0987519670930799</v>
      </c>
      <c r="AY17">
        <v>1.7877853741912051</v>
      </c>
      <c r="AZ17">
        <v>1.416052594097406</v>
      </c>
      <c r="BA17">
        <v>5.3338063982023316</v>
      </c>
      <c r="BB17">
        <v>-0.5501599955089137</v>
      </c>
      <c r="BC17">
        <v>3.3700254022014788</v>
      </c>
      <c r="BD17">
        <v>3.4567496723461</v>
      </c>
      <c r="BE17">
        <v>3.3768804433887398</v>
      </c>
      <c r="BF17">
        <v>1.059497823561693</v>
      </c>
      <c r="BG17">
        <v>1.089441574353553</v>
      </c>
      <c r="BH17">
        <v>0.96899345882563825</v>
      </c>
      <c r="BI17">
        <v>-0.48943779623049871</v>
      </c>
      <c r="BJ17">
        <v>2.4324878904136278</v>
      </c>
      <c r="BK17">
        <v>1.207157933670076</v>
      </c>
      <c r="BL17">
        <v>1.431355981829838</v>
      </c>
      <c r="BM17">
        <v>0.62598970704671941</v>
      </c>
      <c r="BN17">
        <v>2.062996385453344</v>
      </c>
      <c r="BO17">
        <v>7.531078346342885</v>
      </c>
      <c r="BP17">
        <v>5.0671386536421288</v>
      </c>
      <c r="BQ17">
        <v>6.1988669884211571</v>
      </c>
    </row>
    <row r="18" spans="1:69" x14ac:dyDescent="0.25">
      <c r="A18" t="s">
        <v>1070</v>
      </c>
      <c r="B18" t="s">
        <v>1071</v>
      </c>
      <c r="C18" t="s">
        <v>1575</v>
      </c>
      <c r="D18" t="s">
        <v>1576</v>
      </c>
      <c r="E18">
        <v>3.7288135593220288</v>
      </c>
      <c r="F18">
        <v>2.2875816993464051</v>
      </c>
      <c r="G18">
        <v>-0.31948881789137901</v>
      </c>
      <c r="H18">
        <v>0.64102564102565152</v>
      </c>
      <c r="I18">
        <v>2.8662420382165581</v>
      </c>
      <c r="J18">
        <v>3.4055727554179529</v>
      </c>
      <c r="K18">
        <v>3.293413173652691</v>
      </c>
      <c r="L18">
        <v>3.4782608695652191</v>
      </c>
      <c r="M18">
        <v>2.5210084033613431</v>
      </c>
      <c r="N18">
        <v>3.2786885245901649</v>
      </c>
      <c r="O18">
        <v>3.4391534391534142</v>
      </c>
      <c r="P18">
        <v>6.138107416879838</v>
      </c>
      <c r="Q18">
        <v>6.0240963855421272</v>
      </c>
      <c r="R18">
        <v>9.0909090909091539</v>
      </c>
      <c r="S18">
        <v>15.416666666666631</v>
      </c>
      <c r="T18">
        <v>15.16245487364621</v>
      </c>
      <c r="U18">
        <v>13.322884012539189</v>
      </c>
      <c r="V18">
        <v>12.3098201936376</v>
      </c>
      <c r="W18">
        <v>8.0049261083743986</v>
      </c>
      <c r="X18">
        <v>9.122006841505149</v>
      </c>
      <c r="Y18">
        <v>10.13584117032392</v>
      </c>
      <c r="Z18">
        <v>9.4876660341556054</v>
      </c>
      <c r="AA18">
        <v>11.35181975736567</v>
      </c>
      <c r="AB18">
        <v>10.03891050583659</v>
      </c>
      <c r="AC18">
        <v>3.960396039603959</v>
      </c>
      <c r="AD18">
        <v>6.7346938775509964</v>
      </c>
      <c r="AE18">
        <v>9.0503505417463419</v>
      </c>
      <c r="AF18">
        <v>8.5330216247808259</v>
      </c>
      <c r="AG18">
        <v>7.2159396876682846</v>
      </c>
      <c r="AH18">
        <v>7.5339025615268786</v>
      </c>
      <c r="AI18">
        <v>7.3330219523587168</v>
      </c>
      <c r="AJ18">
        <v>3.1766753698868482</v>
      </c>
      <c r="AK18">
        <v>1.0122311261071351</v>
      </c>
      <c r="AL18">
        <v>1.7536534446764089</v>
      </c>
      <c r="AM18">
        <v>1.969634796881409</v>
      </c>
      <c r="AN18">
        <v>4.6277665995975914</v>
      </c>
      <c r="AO18">
        <v>2.615384615384611</v>
      </c>
      <c r="AP18">
        <v>0.224887556221887</v>
      </c>
      <c r="AQ18">
        <v>0.86013462976814159</v>
      </c>
      <c r="AR18">
        <v>1.483129403040411</v>
      </c>
      <c r="AS18">
        <v>4.4574351479722383</v>
      </c>
      <c r="AT18">
        <v>4.4071353620146896</v>
      </c>
      <c r="AU18">
        <v>2.9815745393634798</v>
      </c>
      <c r="AV18">
        <v>2.7325959661678589</v>
      </c>
      <c r="AW18">
        <v>2.343255224825834</v>
      </c>
      <c r="AX18">
        <v>2.691831683168322</v>
      </c>
      <c r="AY18">
        <v>3.5552877372702598</v>
      </c>
      <c r="AZ18">
        <v>2.3276112889147562</v>
      </c>
      <c r="BA18">
        <v>4.3502985499004811</v>
      </c>
      <c r="BB18">
        <v>1.7711171662125369</v>
      </c>
      <c r="BC18">
        <v>2.9183400267737571</v>
      </c>
      <c r="BD18">
        <v>3.3038501560874001</v>
      </c>
      <c r="BE18">
        <v>1.7627801561319569</v>
      </c>
      <c r="BF18">
        <v>2.4498886414254009</v>
      </c>
      <c r="BG18">
        <v>2.4879227053140438</v>
      </c>
      <c r="BH18">
        <v>1.5083667216592129</v>
      </c>
      <c r="BI18">
        <v>1.2769909449732351</v>
      </c>
      <c r="BJ18">
        <v>1.9486474094452719</v>
      </c>
      <c r="BK18">
        <v>1.911400944456912</v>
      </c>
      <c r="BL18">
        <v>1.61076787290379</v>
      </c>
      <c r="BM18">
        <v>0.84690553745930475</v>
      </c>
      <c r="BN18">
        <v>2.8639104220499392</v>
      </c>
      <c r="BO18">
        <v>6.5940967134184616</v>
      </c>
      <c r="BP18">
        <v>5.5970149253731014</v>
      </c>
      <c r="BQ18">
        <v>3.161614283057498</v>
      </c>
    </row>
    <row r="19" spans="1:69" x14ac:dyDescent="0.25">
      <c r="A19" t="s">
        <v>1072</v>
      </c>
      <c r="B19" t="s">
        <v>1073</v>
      </c>
      <c r="C19" t="s">
        <v>1575</v>
      </c>
      <c r="D19" t="s">
        <v>1576</v>
      </c>
      <c r="E19">
        <v>1.9457493519864519</v>
      </c>
      <c r="F19">
        <v>3.5422398672755731</v>
      </c>
      <c r="G19">
        <v>4.3817986385117766</v>
      </c>
      <c r="H19">
        <v>2.7087669949983302</v>
      </c>
      <c r="I19">
        <v>3.8685635493662902</v>
      </c>
      <c r="J19">
        <v>4.9309163767626876</v>
      </c>
      <c r="K19">
        <v>2.054820592579865</v>
      </c>
      <c r="L19">
        <v>3.9746729289883249</v>
      </c>
      <c r="M19">
        <v>2.764864473397675</v>
      </c>
      <c r="N19">
        <v>3.0804041953953201</v>
      </c>
      <c r="O19">
        <v>4.3728244158213876</v>
      </c>
      <c r="P19">
        <v>4.7042581382869564</v>
      </c>
      <c r="Q19">
        <v>6.3551461268678731</v>
      </c>
      <c r="R19">
        <v>7.531078038271164</v>
      </c>
      <c r="S19">
        <v>9.5217881974223797</v>
      </c>
      <c r="T19">
        <v>8.4452586391797375</v>
      </c>
      <c r="U19">
        <v>7.3186854510692347</v>
      </c>
      <c r="V19">
        <v>5.4946156812766587</v>
      </c>
      <c r="W19">
        <v>3.5743185755122062</v>
      </c>
      <c r="X19">
        <v>3.7074009635340959</v>
      </c>
      <c r="Y19">
        <v>6.3283253622610136</v>
      </c>
      <c r="Z19">
        <v>6.8030417759925674</v>
      </c>
      <c r="AA19">
        <v>5.436030825128471</v>
      </c>
      <c r="AB19">
        <v>3.3391645340953389</v>
      </c>
      <c r="AC19">
        <v>5.6631857390935068</v>
      </c>
      <c r="AD19">
        <v>3.18951681805193</v>
      </c>
      <c r="AE19">
        <v>1.70544456731973</v>
      </c>
      <c r="AF19">
        <v>1.4019527178396971</v>
      </c>
      <c r="AG19">
        <v>1.9157168467125769</v>
      </c>
      <c r="AH19">
        <v>2.5683482902937169</v>
      </c>
      <c r="AI19">
        <v>3.2618723187857821</v>
      </c>
      <c r="AJ19">
        <v>3.3374270347478849</v>
      </c>
      <c r="AK19">
        <v>4.0208478003855728</v>
      </c>
      <c r="AL19">
        <v>3.6317852494317622</v>
      </c>
      <c r="AM19">
        <v>2.9534093676107922</v>
      </c>
      <c r="AN19">
        <v>2.243366315009049</v>
      </c>
      <c r="AO19">
        <v>1.8609711576043291</v>
      </c>
      <c r="AP19">
        <v>1.305978572276925</v>
      </c>
      <c r="AQ19">
        <v>0.92246719668079891</v>
      </c>
      <c r="AR19">
        <v>0.56899376588556805</v>
      </c>
      <c r="AS19">
        <v>2.34486285357282</v>
      </c>
      <c r="AT19">
        <v>2.6500007727952819</v>
      </c>
      <c r="AU19">
        <v>1.8103578776412741</v>
      </c>
      <c r="AV19">
        <v>1.355553708964522</v>
      </c>
      <c r="AW19">
        <v>2.061206180328615</v>
      </c>
      <c r="AX19">
        <v>2.2991378563928491</v>
      </c>
      <c r="AY19">
        <v>1.4415485111902011</v>
      </c>
      <c r="AZ19">
        <v>2.1685552880074921</v>
      </c>
      <c r="BA19">
        <v>3.215950332398863</v>
      </c>
      <c r="BB19">
        <v>0.50630882769651475</v>
      </c>
      <c r="BC19">
        <v>1.813534389950618</v>
      </c>
      <c r="BD19">
        <v>3.2865791487538001</v>
      </c>
      <c r="BE19">
        <v>2.4856756217701461</v>
      </c>
      <c r="BF19">
        <v>2.0001561690059741</v>
      </c>
      <c r="BG19">
        <v>1.6058118295447359</v>
      </c>
      <c r="BH19">
        <v>0.89656333526031984</v>
      </c>
      <c r="BI19">
        <v>0.89159175265536239</v>
      </c>
      <c r="BJ19">
        <v>2.081269113855869</v>
      </c>
      <c r="BK19">
        <v>1.998379814295401</v>
      </c>
      <c r="BL19">
        <v>1.530895641526439</v>
      </c>
      <c r="BM19">
        <v>1.3819106335186231</v>
      </c>
      <c r="BN19">
        <v>2.7666666666666999</v>
      </c>
      <c r="BO19">
        <v>8.5468699318844958</v>
      </c>
      <c r="BP19">
        <v>7.8141341700283169</v>
      </c>
      <c r="BQ19">
        <v>2.9379157427938298</v>
      </c>
    </row>
    <row r="20" spans="1:69" x14ac:dyDescent="0.25">
      <c r="A20" t="s">
        <v>1074</v>
      </c>
      <c r="B20" t="s">
        <v>1075</v>
      </c>
      <c r="C20" t="s">
        <v>1575</v>
      </c>
      <c r="D20" t="s">
        <v>1576</v>
      </c>
      <c r="AK20">
        <v>-10.63009715762008</v>
      </c>
      <c r="AL20">
        <v>1128.000024294043</v>
      </c>
      <c r="AM20">
        <v>1662.2159487589911</v>
      </c>
      <c r="AN20">
        <v>411.75964177726792</v>
      </c>
      <c r="AO20">
        <v>19.794802806189839</v>
      </c>
      <c r="AP20">
        <v>3.6743480968472961</v>
      </c>
      <c r="AQ20">
        <v>-0.77269788603316669</v>
      </c>
      <c r="AR20">
        <v>-8.5251700053606392</v>
      </c>
      <c r="AS20">
        <v>1.8050030370435639</v>
      </c>
      <c r="AT20">
        <v>1.547195901522799</v>
      </c>
      <c r="AU20">
        <v>2.7711647199827012</v>
      </c>
      <c r="AV20">
        <v>2.2338649296704962</v>
      </c>
      <c r="AW20">
        <v>6.7089304279778439</v>
      </c>
      <c r="AX20">
        <v>9.6795073191705683</v>
      </c>
      <c r="AY20">
        <v>8.3289248286320969</v>
      </c>
      <c r="AZ20">
        <v>16.69975496182445</v>
      </c>
      <c r="BA20">
        <v>20.84908717727123</v>
      </c>
      <c r="BB20">
        <v>1.4570483597032129</v>
      </c>
      <c r="BC20">
        <v>5.7268722466960504</v>
      </c>
      <c r="BD20">
        <v>7.8583333333334</v>
      </c>
      <c r="BE20">
        <v>1.0662133972030281</v>
      </c>
      <c r="BF20">
        <v>2.4157174527941909</v>
      </c>
      <c r="BG20">
        <v>1.37344181533176</v>
      </c>
      <c r="BH20">
        <v>4.0276857374272588</v>
      </c>
      <c r="BI20">
        <v>12.443374858437229</v>
      </c>
      <c r="BJ20">
        <v>12.93591841873347</v>
      </c>
      <c r="BK20">
        <v>2.268546903739991</v>
      </c>
      <c r="BL20">
        <v>2.6105718279921519</v>
      </c>
      <c r="BM20">
        <v>2.7598094700812719</v>
      </c>
      <c r="BN20">
        <v>6.650299127087786</v>
      </c>
      <c r="BO20">
        <v>13.8522590144267</v>
      </c>
      <c r="BP20">
        <v>8.7854304984908076</v>
      </c>
      <c r="BQ20">
        <v>2.2121718891990141</v>
      </c>
    </row>
    <row r="21" spans="1:69" x14ac:dyDescent="0.25">
      <c r="A21" t="s">
        <v>1076</v>
      </c>
      <c r="B21" t="s">
        <v>1077</v>
      </c>
      <c r="C21" t="s">
        <v>1575</v>
      </c>
      <c r="D21" t="s">
        <v>1576</v>
      </c>
      <c r="K21">
        <v>4.4368600676908816</v>
      </c>
      <c r="L21">
        <v>-1.0893246187425341</v>
      </c>
      <c r="M21">
        <v>6.0572687222251833</v>
      </c>
      <c r="N21">
        <v>4.0238836973312226</v>
      </c>
      <c r="O21">
        <v>-0.19965061143022531</v>
      </c>
      <c r="P21">
        <v>3.8509627404445399</v>
      </c>
      <c r="Q21">
        <v>3.8285576691733381</v>
      </c>
      <c r="R21">
        <v>6.0064935067530598</v>
      </c>
      <c r="S21">
        <v>15.72230729909378</v>
      </c>
      <c r="T21">
        <v>15.70987459882328</v>
      </c>
      <c r="U21">
        <v>6.8565515736453868</v>
      </c>
      <c r="V21">
        <v>6.8345140413648879</v>
      </c>
      <c r="W21">
        <v>23.895620646930279</v>
      </c>
      <c r="X21">
        <v>36.540756998092498</v>
      </c>
      <c r="Y21">
        <v>2.49851950030166</v>
      </c>
      <c r="Z21">
        <v>12.16739434879382</v>
      </c>
      <c r="AA21">
        <v>5.8680963572266114</v>
      </c>
      <c r="AB21">
        <v>8.1512313562263117</v>
      </c>
      <c r="AC21">
        <v>14.316869788325841</v>
      </c>
      <c r="AD21">
        <v>3.804286836494247</v>
      </c>
      <c r="AE21">
        <v>1.675675675675466</v>
      </c>
      <c r="AF21">
        <v>7.1132376395533674</v>
      </c>
      <c r="AG21">
        <v>4.4867976970417693</v>
      </c>
      <c r="AH21">
        <v>11.661599847995831</v>
      </c>
      <c r="AI21">
        <v>7.0021695665112151</v>
      </c>
      <c r="AJ21">
        <v>8.9969387349433099</v>
      </c>
      <c r="AK21">
        <v>1.823333333333079</v>
      </c>
      <c r="AL21">
        <v>9.6793465806792813</v>
      </c>
      <c r="AM21">
        <v>14.852814983396939</v>
      </c>
      <c r="AN21">
        <v>19.263253638253769</v>
      </c>
      <c r="AO21">
        <v>26.436781609195119</v>
      </c>
      <c r="AP21">
        <v>31.111589831969471</v>
      </c>
      <c r="AQ21">
        <v>12.500410765337801</v>
      </c>
      <c r="AR21">
        <v>3.3854242734045492</v>
      </c>
      <c r="AS21">
        <v>24.432024210215101</v>
      </c>
      <c r="AT21">
        <v>9.2961877134188882</v>
      </c>
      <c r="AU21">
        <v>-1.365680053280599</v>
      </c>
      <c r="AV21">
        <v>10.647464565830569</v>
      </c>
      <c r="AW21">
        <v>8.1764293748205343</v>
      </c>
      <c r="AX21">
        <v>13.25206991882235</v>
      </c>
      <c r="AY21">
        <v>2.7454200021424091</v>
      </c>
      <c r="AZ21">
        <v>8.4120628577254379</v>
      </c>
      <c r="BA21">
        <v>24.406951035391369</v>
      </c>
      <c r="BB21">
        <v>10.555435529952931</v>
      </c>
      <c r="BC21">
        <v>6.4932659147399336</v>
      </c>
      <c r="BD21">
        <v>9.5921660597966998</v>
      </c>
      <c r="BE21">
        <v>18.161045306545081</v>
      </c>
      <c r="BF21">
        <v>7.9379580749241754</v>
      </c>
      <c r="BG21">
        <v>4.4053523418529297</v>
      </c>
      <c r="BH21">
        <v>5.5446889125977936</v>
      </c>
      <c r="BI21">
        <v>5.5576896140096501</v>
      </c>
      <c r="BJ21">
        <v>16.052535303039178</v>
      </c>
      <c r="BK21">
        <v>-2.8146980766846501</v>
      </c>
      <c r="BL21">
        <v>-0.68677217079735875</v>
      </c>
      <c r="BM21">
        <v>7.321106434155209</v>
      </c>
      <c r="BN21">
        <v>8.4045384507634076</v>
      </c>
      <c r="BO21">
        <v>18.800878666494459</v>
      </c>
      <c r="BP21">
        <v>26.941483576245339</v>
      </c>
      <c r="BQ21">
        <v>20.212492502784698</v>
      </c>
    </row>
    <row r="22" spans="1:69" x14ac:dyDescent="0.25">
      <c r="A22" t="s">
        <v>1078</v>
      </c>
      <c r="B22" t="s">
        <v>1079</v>
      </c>
      <c r="C22" t="s">
        <v>1575</v>
      </c>
      <c r="D22" t="s">
        <v>1576</v>
      </c>
      <c r="E22">
        <v>0.29946725476969482</v>
      </c>
      <c r="F22">
        <v>0.99267626076733939</v>
      </c>
      <c r="G22">
        <v>1.4046070354351421</v>
      </c>
      <c r="H22">
        <v>2.1480034133220229</v>
      </c>
      <c r="I22">
        <v>4.1687605856437031</v>
      </c>
      <c r="J22">
        <v>4.0652013747464322</v>
      </c>
      <c r="K22">
        <v>4.1743476185299491</v>
      </c>
      <c r="L22">
        <v>2.730302685909074</v>
      </c>
      <c r="M22">
        <v>2.7014498293134919</v>
      </c>
      <c r="N22">
        <v>3.7539922905328438</v>
      </c>
      <c r="O22">
        <v>3.908472384719099</v>
      </c>
      <c r="P22">
        <v>4.3436285461209154</v>
      </c>
      <c r="Q22">
        <v>5.448431284380848</v>
      </c>
      <c r="R22">
        <v>6.9552800871991396</v>
      </c>
      <c r="S22">
        <v>12.677887751345191</v>
      </c>
      <c r="T22">
        <v>12.768198592051469</v>
      </c>
      <c r="U22">
        <v>9.0686098105496828</v>
      </c>
      <c r="V22">
        <v>7.0960005913259803</v>
      </c>
      <c r="W22">
        <v>4.4705933159294418</v>
      </c>
      <c r="X22">
        <v>4.4690839490047871</v>
      </c>
      <c r="Y22">
        <v>6.6486882965535594</v>
      </c>
      <c r="Z22">
        <v>7.6274865681427624</v>
      </c>
      <c r="AA22">
        <v>8.7265490655546891</v>
      </c>
      <c r="AB22">
        <v>7.6616098374388288</v>
      </c>
      <c r="AC22">
        <v>6.3417749100912566</v>
      </c>
      <c r="AD22">
        <v>4.8687339949694399</v>
      </c>
      <c r="AE22">
        <v>1.2943681910248019</v>
      </c>
      <c r="AF22">
        <v>1.553382613149483</v>
      </c>
      <c r="AG22">
        <v>1.1609349341532491</v>
      </c>
      <c r="AH22">
        <v>3.1070506511109368</v>
      </c>
      <c r="AI22">
        <v>3.4483121796180778</v>
      </c>
      <c r="AJ22">
        <v>3.2153106926080972</v>
      </c>
      <c r="AK22">
        <v>2.4279556716461528</v>
      </c>
      <c r="AL22">
        <v>2.7544264347346101</v>
      </c>
      <c r="AM22">
        <v>2.3775408447639772</v>
      </c>
      <c r="AN22">
        <v>1.4679669909027191</v>
      </c>
      <c r="AO22">
        <v>2.0770210735067391</v>
      </c>
      <c r="AP22">
        <v>1.6281604951295841</v>
      </c>
      <c r="AQ22">
        <v>0.94925028835061043</v>
      </c>
      <c r="AR22">
        <v>1.12084823417845</v>
      </c>
      <c r="AS22">
        <v>2.5445177619090771</v>
      </c>
      <c r="AT22">
        <v>2.4692582308607771</v>
      </c>
      <c r="AU22">
        <v>1.6452143617535719</v>
      </c>
      <c r="AV22">
        <v>1.5889639997038021</v>
      </c>
      <c r="AW22">
        <v>2.0972831123931441</v>
      </c>
      <c r="AX22">
        <v>2.7814326367002238</v>
      </c>
      <c r="AY22">
        <v>1.791207700704595</v>
      </c>
      <c r="AZ22">
        <v>1.823056300268084</v>
      </c>
      <c r="BA22">
        <v>4.4894442050840144</v>
      </c>
      <c r="BB22">
        <v>-5.3145674125376859E-2</v>
      </c>
      <c r="BC22">
        <v>2.1892992042245738</v>
      </c>
      <c r="BD22">
        <v>3.5320821072274211</v>
      </c>
      <c r="BE22">
        <v>2.8396634344589948</v>
      </c>
      <c r="BF22">
        <v>1.1130959402753959</v>
      </c>
      <c r="BG22">
        <v>0.34000283335692172</v>
      </c>
      <c r="BH22">
        <v>0.56142915279006522</v>
      </c>
      <c r="BI22">
        <v>1.9738526465318129</v>
      </c>
      <c r="BJ22">
        <v>2.1259708600260701</v>
      </c>
      <c r="BK22">
        <v>2.0531649986518641</v>
      </c>
      <c r="BL22">
        <v>1.4368195699642941</v>
      </c>
      <c r="BM22">
        <v>0.74079181222034363</v>
      </c>
      <c r="BN22">
        <v>2.4402485114408399</v>
      </c>
      <c r="BO22">
        <v>9.5975117287249994</v>
      </c>
      <c r="BP22">
        <v>4.0490107761394141</v>
      </c>
      <c r="BQ22">
        <v>3.1434913650004139</v>
      </c>
    </row>
    <row r="23" spans="1:69" x14ac:dyDescent="0.25">
      <c r="A23" t="s">
        <v>1080</v>
      </c>
      <c r="B23" t="s">
        <v>1081</v>
      </c>
      <c r="C23" t="s">
        <v>1575</v>
      </c>
      <c r="D23" t="s">
        <v>1576</v>
      </c>
      <c r="AL23">
        <v>0.44059921493179388</v>
      </c>
      <c r="AM23">
        <v>38.530866166853791</v>
      </c>
      <c r="AN23">
        <v>14.462548218089401</v>
      </c>
      <c r="AO23">
        <v>4.9142397263720143</v>
      </c>
      <c r="AP23">
        <v>3.4662959056477609</v>
      </c>
      <c r="AQ23">
        <v>5.7533145841706412</v>
      </c>
      <c r="AR23">
        <v>0.32672289339686622</v>
      </c>
      <c r="AS23">
        <v>4.1654044229028262</v>
      </c>
      <c r="AT23">
        <v>3.9842954776789341</v>
      </c>
      <c r="AU23">
        <v>2.4891623549154098</v>
      </c>
      <c r="AV23">
        <v>1.487242461454418</v>
      </c>
      <c r="AW23">
        <v>0.87389083086849983</v>
      </c>
      <c r="AX23">
        <v>5.364520858323421</v>
      </c>
      <c r="AY23">
        <v>3.7821769654037469</v>
      </c>
      <c r="AZ23">
        <v>1.2980681333415209</v>
      </c>
      <c r="BA23">
        <v>7.9472987606785406</v>
      </c>
      <c r="BB23">
        <v>0.89607235574906918</v>
      </c>
      <c r="BC23">
        <v>2.2078353253652372</v>
      </c>
      <c r="BD23">
        <v>2.7042390774728</v>
      </c>
      <c r="BE23">
        <v>6.7446825334071221</v>
      </c>
      <c r="BF23">
        <v>0.4288888888888836</v>
      </c>
      <c r="BG23">
        <v>-0.54875755094818091</v>
      </c>
      <c r="BH23">
        <v>0.21878592353624529</v>
      </c>
      <c r="BI23">
        <v>-0.79331014578562398</v>
      </c>
      <c r="BJ23">
        <v>4.3264855510360807E-2</v>
      </c>
      <c r="BK23">
        <v>0.91917071788605376</v>
      </c>
      <c r="BL23">
        <v>0.73284937124106642</v>
      </c>
      <c r="BM23">
        <v>3.0227211966375922</v>
      </c>
      <c r="BN23">
        <v>1.733539626940358</v>
      </c>
      <c r="BO23">
        <v>1.350778635835274</v>
      </c>
      <c r="BP23">
        <v>2.738700784060748</v>
      </c>
      <c r="BQ23">
        <v>1.1609308964041509</v>
      </c>
    </row>
    <row r="24" spans="1:69" x14ac:dyDescent="0.25">
      <c r="A24" t="s">
        <v>1082</v>
      </c>
      <c r="B24" t="s">
        <v>1083</v>
      </c>
      <c r="C24" t="s">
        <v>1575</v>
      </c>
      <c r="D24" t="s">
        <v>1576</v>
      </c>
      <c r="E24">
        <v>7.7881619937688331</v>
      </c>
      <c r="F24">
        <v>18.562138728107879</v>
      </c>
      <c r="G24">
        <v>1.6759095614017501</v>
      </c>
      <c r="H24">
        <v>5.5742028291508836</v>
      </c>
      <c r="I24">
        <v>1.845123197749968</v>
      </c>
      <c r="J24">
        <v>-0.730252522661333</v>
      </c>
      <c r="K24">
        <v>2.3641060198333932</v>
      </c>
      <c r="L24">
        <v>-4.333753908569058</v>
      </c>
      <c r="M24">
        <v>-0.28671368777001038</v>
      </c>
      <c r="N24">
        <v>9.6555293576211785</v>
      </c>
      <c r="O24">
        <v>1.7726033145133731</v>
      </c>
      <c r="P24">
        <v>2.0612181799522871</v>
      </c>
      <c r="Q24">
        <v>-2.9233565586795169</v>
      </c>
      <c r="R24">
        <v>7.603890362542975</v>
      </c>
      <c r="S24">
        <v>8.7196094542842228</v>
      </c>
      <c r="T24">
        <v>18.756946605863401</v>
      </c>
      <c r="U24">
        <v>-8.4007187782054533</v>
      </c>
      <c r="V24">
        <v>29.986104299714121</v>
      </c>
      <c r="W24">
        <v>8.269140072140468</v>
      </c>
      <c r="X24">
        <v>14.99346595035952</v>
      </c>
      <c r="Y24">
        <v>12.20263649682987</v>
      </c>
      <c r="Z24">
        <v>7.5557056044093889</v>
      </c>
      <c r="AA24">
        <v>12.059765208133671</v>
      </c>
      <c r="AB24">
        <v>8.1537627742042655</v>
      </c>
      <c r="AC24">
        <v>4.8469576818608484</v>
      </c>
      <c r="AD24">
        <v>6.9060578214046657</v>
      </c>
      <c r="AE24">
        <v>-2.6117429247678321</v>
      </c>
      <c r="AF24">
        <v>-2.6817842351159551</v>
      </c>
      <c r="AG24">
        <v>4.255616017859416</v>
      </c>
      <c r="AH24">
        <v>-0.48179871520333373</v>
      </c>
      <c r="AI24">
        <v>-0.50430338891891247</v>
      </c>
      <c r="AJ24">
        <v>2.162600527134233</v>
      </c>
      <c r="AK24">
        <v>-1.9911358073689429</v>
      </c>
      <c r="AL24">
        <v>0.55345572354191719</v>
      </c>
      <c r="AM24">
        <v>25.17787622499625</v>
      </c>
      <c r="AN24">
        <v>7.4588449782832429</v>
      </c>
      <c r="AO24">
        <v>6.0978043912174149</v>
      </c>
      <c r="AP24">
        <v>2.3186906217668328</v>
      </c>
      <c r="AQ24">
        <v>5.0843334414532402</v>
      </c>
      <c r="AR24">
        <v>-1.0726136275953371</v>
      </c>
      <c r="AS24">
        <v>-0.30421216848680283</v>
      </c>
      <c r="AT24">
        <v>5.0074329082237314</v>
      </c>
      <c r="AU24">
        <v>2.1756948066460811</v>
      </c>
      <c r="AV24">
        <v>2.0345657405381532</v>
      </c>
      <c r="AW24">
        <v>-0.40022870211545181</v>
      </c>
      <c r="AX24">
        <v>6.415040183696842</v>
      </c>
      <c r="AY24">
        <v>2.3331085637221989</v>
      </c>
      <c r="AZ24">
        <v>-0.23062730627304931</v>
      </c>
      <c r="BA24">
        <v>10.659797899742401</v>
      </c>
      <c r="BB24">
        <v>2.6081766636831398</v>
      </c>
      <c r="BC24">
        <v>-0.76423073467676805</v>
      </c>
      <c r="BD24">
        <v>2.7597672485453408</v>
      </c>
      <c r="BE24">
        <v>3.8181524025238032</v>
      </c>
      <c r="BF24">
        <v>0.53373850709053627</v>
      </c>
      <c r="BG24">
        <v>-0.2580895175352913</v>
      </c>
      <c r="BH24">
        <v>0.72483898107051681</v>
      </c>
      <c r="BI24">
        <v>0.44104144805880902</v>
      </c>
      <c r="BJ24">
        <v>1.482998971613255</v>
      </c>
      <c r="BK24">
        <v>1.9559430267253239</v>
      </c>
      <c r="BL24">
        <v>-3.2333893398332152</v>
      </c>
      <c r="BM24">
        <v>1.884700665188471</v>
      </c>
      <c r="BN24">
        <v>3.6532676182550889</v>
      </c>
      <c r="BO24">
        <v>14.2902354303358</v>
      </c>
      <c r="BP24">
        <v>0.74291042866891754</v>
      </c>
      <c r="BQ24">
        <v>4.1908172134452348</v>
      </c>
    </row>
    <row r="25" spans="1:69" x14ac:dyDescent="0.25">
      <c r="A25" t="s">
        <v>1084</v>
      </c>
      <c r="B25" t="s">
        <v>1085</v>
      </c>
      <c r="C25" t="s">
        <v>1575</v>
      </c>
      <c r="D25" t="s">
        <v>1576</v>
      </c>
      <c r="AF25">
        <v>9.8746960912663262</v>
      </c>
      <c r="AG25">
        <v>7.4127659574466627</v>
      </c>
      <c r="AH25">
        <v>6.045479755962436</v>
      </c>
      <c r="AI25">
        <v>6.1267184698145787</v>
      </c>
      <c r="AJ25">
        <v>6.3573641227823421</v>
      </c>
      <c r="AK25">
        <v>3.6340769179849111</v>
      </c>
      <c r="AL25">
        <v>3.0148185998979851</v>
      </c>
      <c r="AM25">
        <v>5.3137400793649787</v>
      </c>
      <c r="AN25">
        <v>10.2978117947206</v>
      </c>
      <c r="AO25">
        <v>2.3771290295322332</v>
      </c>
      <c r="AP25">
        <v>5.3056010566880163</v>
      </c>
      <c r="AQ25">
        <v>8.4022379561322804</v>
      </c>
      <c r="AR25">
        <v>6.1066958984195816</v>
      </c>
      <c r="AS25">
        <v>2.2082562093753508</v>
      </c>
      <c r="AT25">
        <v>2.0071737421384008</v>
      </c>
      <c r="AU25">
        <v>3.3325649327191269</v>
      </c>
      <c r="AV25">
        <v>5.6687077344147623</v>
      </c>
      <c r="AW25">
        <v>7.5875363850468958</v>
      </c>
      <c r="AX25">
        <v>7.0466181622203878</v>
      </c>
      <c r="AY25">
        <v>6.7652611705475723</v>
      </c>
      <c r="AZ25">
        <v>9.106984969053828</v>
      </c>
      <c r="BA25">
        <v>8.9019448946515372</v>
      </c>
      <c r="BB25">
        <v>5.4234723617467928</v>
      </c>
      <c r="BC25">
        <v>8.1266763916991742</v>
      </c>
      <c r="BD25">
        <v>11.395165155239919</v>
      </c>
      <c r="BE25">
        <v>6.217504220692839</v>
      </c>
      <c r="BF25">
        <v>7.5304064091317224</v>
      </c>
      <c r="BG25">
        <v>6.9916388922084884</v>
      </c>
      <c r="BH25">
        <v>6.1942802298498361</v>
      </c>
      <c r="BI25">
        <v>5.5135257269299531</v>
      </c>
      <c r="BJ25">
        <v>5.7020701571723889</v>
      </c>
      <c r="BK25">
        <v>5.543621394864763</v>
      </c>
      <c r="BL25">
        <v>5.5919963993062911</v>
      </c>
      <c r="BM25">
        <v>5.6910747474621139</v>
      </c>
      <c r="BN25">
        <v>5.5456543077347309</v>
      </c>
      <c r="BO25">
        <v>7.6969543717689817</v>
      </c>
      <c r="BP25">
        <v>9.8835030377921012</v>
      </c>
      <c r="BQ25">
        <v>10.46574827634125</v>
      </c>
    </row>
    <row r="26" spans="1:69" x14ac:dyDescent="0.25">
      <c r="A26" t="s">
        <v>1086</v>
      </c>
      <c r="B26" t="s">
        <v>1087</v>
      </c>
      <c r="C26" t="s">
        <v>1575</v>
      </c>
      <c r="D26" t="s">
        <v>1576</v>
      </c>
      <c r="AE26">
        <v>2.699999999999863</v>
      </c>
      <c r="AF26">
        <v>2.7263875365140899</v>
      </c>
      <c r="AG26">
        <v>2.369668246445519</v>
      </c>
      <c r="AH26">
        <v>6.3888888888887818</v>
      </c>
      <c r="AI26">
        <v>23.80000000000031</v>
      </c>
      <c r="AJ26">
        <v>338.4491114701118</v>
      </c>
      <c r="AK26">
        <v>91.297932726930327</v>
      </c>
      <c r="AL26">
        <v>72.878791386633324</v>
      </c>
      <c r="AM26">
        <v>96.05733826865054</v>
      </c>
      <c r="AN26">
        <v>62.05483368379921</v>
      </c>
      <c r="AO26">
        <v>121.60754244925</v>
      </c>
      <c r="AP26">
        <v>1058.373559219734</v>
      </c>
      <c r="AQ26">
        <v>18.672204442064011</v>
      </c>
      <c r="AR26">
        <v>2.5730428189020609</v>
      </c>
      <c r="AS26">
        <v>10.31626212899898</v>
      </c>
      <c r="AT26">
        <v>7.3609392723184399</v>
      </c>
      <c r="AU26">
        <v>5.8101436572182532</v>
      </c>
      <c r="AV26">
        <v>2.3486416958275451</v>
      </c>
      <c r="AW26">
        <v>6.1471307424627302</v>
      </c>
      <c r="AX26">
        <v>5.0388380711190246</v>
      </c>
      <c r="AY26">
        <v>7.2615946276994423</v>
      </c>
      <c r="AZ26">
        <v>8.4025341900590131</v>
      </c>
      <c r="BA26">
        <v>12.348719599402081</v>
      </c>
      <c r="BB26">
        <v>2.7532022391481612</v>
      </c>
      <c r="BC26">
        <v>2.4389906050411301</v>
      </c>
      <c r="BD26">
        <v>4.2199034660187307</v>
      </c>
      <c r="BE26">
        <v>2.9545682983102171</v>
      </c>
      <c r="BF26">
        <v>0.89009354091300241</v>
      </c>
      <c r="BG26">
        <v>-1.4181838026483979</v>
      </c>
      <c r="BH26">
        <v>-0.10463326100838539</v>
      </c>
      <c r="BI26">
        <v>-0.79864988645371016</v>
      </c>
      <c r="BJ26">
        <v>2.0615961944314138</v>
      </c>
      <c r="BK26">
        <v>2.8145447382482871</v>
      </c>
      <c r="BL26">
        <v>3.1037294479678068</v>
      </c>
      <c r="BM26">
        <v>1.6724409685575621</v>
      </c>
      <c r="BN26">
        <v>3.2977443529951489</v>
      </c>
      <c r="BO26">
        <v>15.325258926436639</v>
      </c>
      <c r="BP26">
        <v>9.4428414008856407</v>
      </c>
      <c r="BQ26">
        <v>2.4465194300607891</v>
      </c>
    </row>
    <row r="27" spans="1:69" x14ac:dyDescent="0.25">
      <c r="A27" t="s">
        <v>1088</v>
      </c>
      <c r="B27" t="s">
        <v>1089</v>
      </c>
      <c r="C27" t="s">
        <v>1575</v>
      </c>
      <c r="D27" t="s">
        <v>1576</v>
      </c>
      <c r="K27">
        <v>2.1344717185224051</v>
      </c>
      <c r="L27">
        <v>4.2580982230929028</v>
      </c>
      <c r="M27">
        <v>3.2573289902446181</v>
      </c>
      <c r="N27">
        <v>-0.1941276389239199</v>
      </c>
      <c r="O27">
        <v>1.628981278393512</v>
      </c>
      <c r="P27">
        <v>5.7894736849840447</v>
      </c>
      <c r="Q27">
        <v>5.0881953864881471</v>
      </c>
      <c r="R27">
        <v>14.331826984997839</v>
      </c>
      <c r="S27">
        <v>24.392998306179841</v>
      </c>
      <c r="T27">
        <v>16.15978211537066</v>
      </c>
      <c r="U27">
        <v>22.495766575963991</v>
      </c>
      <c r="V27">
        <v>17.731120894237272</v>
      </c>
      <c r="W27">
        <v>15.78553759419869</v>
      </c>
      <c r="X27">
        <v>2.205991951167666</v>
      </c>
      <c r="Y27">
        <v>3.8695250594150261</v>
      </c>
      <c r="Z27">
        <v>11.344596808397529</v>
      </c>
      <c r="AA27">
        <v>8.8857130847145882</v>
      </c>
      <c r="AB27">
        <v>2.9723991507507281</v>
      </c>
      <c r="AC27">
        <v>0.32239925023532612</v>
      </c>
      <c r="AD27">
        <v>-2.6359693029697011</v>
      </c>
      <c r="AE27">
        <v>-2.296093214195603</v>
      </c>
      <c r="AF27">
        <v>-1.7450017537706</v>
      </c>
      <c r="AG27">
        <v>0.3034359660865778</v>
      </c>
      <c r="AH27">
        <v>1.485897321825715</v>
      </c>
      <c r="AI27">
        <v>0.92933543748909264</v>
      </c>
      <c r="AJ27">
        <v>0.76441973592760859</v>
      </c>
      <c r="AK27">
        <v>-0.1724137931033124</v>
      </c>
      <c r="AL27">
        <v>2.5388601036269538</v>
      </c>
      <c r="AM27">
        <v>0.8169108977597781</v>
      </c>
      <c r="AN27">
        <v>2.704034750647041</v>
      </c>
      <c r="AO27">
        <v>-0.45222738253034772</v>
      </c>
      <c r="AP27">
        <v>2.4315513395592641</v>
      </c>
      <c r="AQ27">
        <v>-0.366533864541774</v>
      </c>
      <c r="AR27">
        <v>-1.287587971849095</v>
      </c>
      <c r="AS27">
        <v>-0.70485295309078988</v>
      </c>
      <c r="AT27">
        <v>-1.2075718015665931</v>
      </c>
      <c r="AU27">
        <v>-0.49554013875115432</v>
      </c>
      <c r="AV27">
        <v>1.5936254980078659</v>
      </c>
      <c r="AW27">
        <v>2.352941176470619</v>
      </c>
      <c r="AX27">
        <v>2.5862068965517282</v>
      </c>
      <c r="AY27">
        <v>2.00746965452849</v>
      </c>
      <c r="AZ27">
        <v>3.256666666667031</v>
      </c>
      <c r="BA27">
        <v>3.5260031636372111</v>
      </c>
      <c r="BB27">
        <v>2.795512835504117</v>
      </c>
      <c r="BC27">
        <v>1.96188468334623</v>
      </c>
      <c r="BD27">
        <v>-0.40004069748808002</v>
      </c>
      <c r="BE27">
        <v>2.7573966996297918</v>
      </c>
      <c r="BF27">
        <v>3.3000115688844232</v>
      </c>
      <c r="BG27">
        <v>2.6475532124618888</v>
      </c>
      <c r="BH27">
        <v>1.8486274237497671</v>
      </c>
      <c r="BI27">
        <v>2.7867934760204429</v>
      </c>
      <c r="BJ27">
        <v>1.3867183057640611</v>
      </c>
      <c r="BK27">
        <v>2.0876693804697801</v>
      </c>
      <c r="BL27">
        <v>1.005820047021369</v>
      </c>
      <c r="BM27">
        <v>-2.3177062933137869</v>
      </c>
      <c r="BN27">
        <v>-0.60631938514085015</v>
      </c>
      <c r="BO27">
        <v>3.6257410430448198</v>
      </c>
      <c r="BP27">
        <v>7.4620678219225564E-2</v>
      </c>
      <c r="BQ27">
        <v>0.91963545981765116</v>
      </c>
    </row>
    <row r="28" spans="1:69" x14ac:dyDescent="0.25">
      <c r="A28" t="s">
        <v>1090</v>
      </c>
      <c r="B28" t="s">
        <v>1091</v>
      </c>
      <c r="C28" t="s">
        <v>1575</v>
      </c>
      <c r="D28" t="s">
        <v>1576</v>
      </c>
      <c r="L28">
        <v>5.4377564990479756</v>
      </c>
      <c r="M28">
        <v>4.5410314628756243</v>
      </c>
      <c r="N28">
        <v>8.9357741228943421</v>
      </c>
      <c r="O28">
        <v>6.1520934213004796</v>
      </c>
      <c r="P28">
        <v>4.6149718266825133</v>
      </c>
      <c r="Q28">
        <v>6.8308113190236908</v>
      </c>
      <c r="R28">
        <v>5.4817541616989702</v>
      </c>
      <c r="S28">
        <v>13.07184583870124</v>
      </c>
      <c r="T28">
        <v>10.35963499730509</v>
      </c>
      <c r="U28">
        <v>4.2558365758381074</v>
      </c>
      <c r="V28">
        <v>3.1898763705574038</v>
      </c>
      <c r="W28">
        <v>6.1090703589987392</v>
      </c>
      <c r="X28">
        <v>9.0913932679241345</v>
      </c>
      <c r="Y28">
        <v>12.097837231068221</v>
      </c>
      <c r="Z28">
        <v>11.1144984973891</v>
      </c>
      <c r="AA28">
        <v>6.0126210166749772</v>
      </c>
      <c r="AB28">
        <v>3.999999999999944</v>
      </c>
      <c r="AC28">
        <v>3.9663461538461502</v>
      </c>
      <c r="AD28">
        <v>4.6050096339113518</v>
      </c>
      <c r="AE28">
        <v>5.4337815435623309</v>
      </c>
      <c r="AF28">
        <v>5.7564640111813583</v>
      </c>
      <c r="AG28">
        <v>4.4024118278676356</v>
      </c>
      <c r="AH28">
        <v>5.3876582278480694</v>
      </c>
      <c r="AI28">
        <v>4.6693191201867634</v>
      </c>
      <c r="AJ28">
        <v>7.1146812020362793</v>
      </c>
      <c r="AK28">
        <v>5.738198861734471</v>
      </c>
      <c r="AL28">
        <v>2.7228976697059082</v>
      </c>
      <c r="AM28">
        <v>1.3993342374554829</v>
      </c>
      <c r="AN28">
        <v>2.066994954100418</v>
      </c>
      <c r="AO28">
        <v>1.379137412236664</v>
      </c>
      <c r="AP28">
        <v>0.5441503833786876</v>
      </c>
      <c r="AQ28">
        <v>1.3366133661337081</v>
      </c>
      <c r="AR28">
        <v>1.254248260236301</v>
      </c>
      <c r="AS28">
        <v>1.6063294174057889</v>
      </c>
      <c r="AT28">
        <v>2.044989775051206</v>
      </c>
      <c r="AU28">
        <v>2.17357792508093</v>
      </c>
      <c r="AV28">
        <v>3.0250452625223598</v>
      </c>
      <c r="AW28">
        <v>0.98191403675766209</v>
      </c>
      <c r="AX28">
        <v>1.5916061807980211</v>
      </c>
      <c r="AY28">
        <v>2.3898262743925409</v>
      </c>
      <c r="AZ28">
        <v>2.4925779493939628</v>
      </c>
      <c r="BA28">
        <v>4.4895599537505984</v>
      </c>
      <c r="BB28">
        <v>2.062734734526817</v>
      </c>
      <c r="BC28">
        <v>1.344027383928359</v>
      </c>
      <c r="BD28">
        <v>3.1987814166031998</v>
      </c>
      <c r="BE28">
        <v>1.97336755976254</v>
      </c>
      <c r="BF28">
        <v>0.7224147845305513</v>
      </c>
      <c r="BG28">
        <v>1.5137564305083131</v>
      </c>
      <c r="BH28">
        <v>1.8614830286337101</v>
      </c>
      <c r="BI28">
        <v>-0.3463769299893969</v>
      </c>
      <c r="BJ28">
        <v>1.5182070073614731</v>
      </c>
      <c r="BK28">
        <v>2.2658634667873558</v>
      </c>
      <c r="BL28">
        <v>2.4912352736804588</v>
      </c>
      <c r="BM28">
        <v>3.8521098005455751E-2</v>
      </c>
      <c r="BN28">
        <v>2.9049126292847829</v>
      </c>
      <c r="BO28">
        <v>5.6054063358304376</v>
      </c>
      <c r="BP28">
        <v>3.0529157896974279</v>
      </c>
      <c r="BQ28">
        <v>0.40916248908328617</v>
      </c>
    </row>
    <row r="29" spans="1:69" x14ac:dyDescent="0.25">
      <c r="A29" t="s">
        <v>1092</v>
      </c>
      <c r="B29" t="s">
        <v>1093</v>
      </c>
      <c r="C29" t="s">
        <v>1575</v>
      </c>
      <c r="D29" t="s">
        <v>1576</v>
      </c>
      <c r="AY29">
        <v>6.1255661562028472</v>
      </c>
      <c r="AZ29">
        <v>1.5007771061154169</v>
      </c>
      <c r="BA29">
        <v>7.4270431033295257</v>
      </c>
      <c r="BB29">
        <v>-0.38146428245305691</v>
      </c>
      <c r="BC29">
        <v>1.996212367458867</v>
      </c>
      <c r="BD29">
        <v>3.6712500000000001</v>
      </c>
      <c r="BE29">
        <v>2.0526745200171699</v>
      </c>
      <c r="BF29">
        <v>-9.3045683831758805E-2</v>
      </c>
      <c r="BG29">
        <v>-0.89719405419433318</v>
      </c>
      <c r="BH29">
        <v>-1.036023034254743</v>
      </c>
      <c r="BI29">
        <v>-1.584100000000018</v>
      </c>
      <c r="BJ29">
        <v>0.81013332195303867</v>
      </c>
      <c r="BK29">
        <v>1.4171081401803369</v>
      </c>
      <c r="BL29">
        <v>0.56278215406123</v>
      </c>
      <c r="BM29">
        <v>-1.0512960076348981</v>
      </c>
      <c r="BN29">
        <v>1.9816390058762201</v>
      </c>
      <c r="BO29">
        <v>14.020844082677099</v>
      </c>
      <c r="BP29">
        <v>6.1059011284827998</v>
      </c>
      <c r="BQ29">
        <v>1.692127335997238</v>
      </c>
    </row>
    <row r="30" spans="1:69" x14ac:dyDescent="0.25">
      <c r="A30" t="s">
        <v>1094</v>
      </c>
      <c r="B30" t="s">
        <v>1095</v>
      </c>
      <c r="C30" t="s">
        <v>1575</v>
      </c>
      <c r="D30" t="s">
        <v>1576</v>
      </c>
      <c r="AL30">
        <v>1190.22923349187</v>
      </c>
      <c r="AM30">
        <v>2221.0165699203922</v>
      </c>
      <c r="AN30">
        <v>709.34603211860633</v>
      </c>
      <c r="AO30">
        <v>52.712076753195419</v>
      </c>
      <c r="AP30">
        <v>63.937366335747839</v>
      </c>
      <c r="AQ30">
        <v>72.869717053535439</v>
      </c>
      <c r="AR30">
        <v>293.67875088977252</v>
      </c>
      <c r="AS30">
        <v>168.62023585093351</v>
      </c>
      <c r="AT30">
        <v>61.134933161847648</v>
      </c>
      <c r="AU30">
        <v>42.537548134879437</v>
      </c>
      <c r="AV30">
        <v>28.397839913347369</v>
      </c>
      <c r="AW30">
        <v>18.108242493764621</v>
      </c>
      <c r="AX30">
        <v>10.33887944579325</v>
      </c>
      <c r="AY30">
        <v>6.9971290353558464</v>
      </c>
      <c r="AZ30">
        <v>8.4267527350530926</v>
      </c>
      <c r="BA30">
        <v>14.83787648282542</v>
      </c>
      <c r="BB30">
        <v>12.94565634104014</v>
      </c>
      <c r="BC30">
        <v>7.7357480431250032</v>
      </c>
      <c r="BD30">
        <v>53.228698311817404</v>
      </c>
      <c r="BE30">
        <v>59.219736023251834</v>
      </c>
      <c r="BF30">
        <v>18.312261037787302</v>
      </c>
      <c r="BG30">
        <v>18.119554352673411</v>
      </c>
      <c r="BH30">
        <v>13.53448976497349</v>
      </c>
      <c r="BI30">
        <v>11.836580765349639</v>
      </c>
      <c r="BJ30">
        <v>6.0318372517778531</v>
      </c>
      <c r="BK30">
        <v>4.872302205506899</v>
      </c>
      <c r="BL30">
        <v>5.5981559503985379</v>
      </c>
      <c r="BM30">
        <v>5.5481435745651062</v>
      </c>
      <c r="BN30">
        <v>9.4602838962310578</v>
      </c>
      <c r="BO30">
        <v>15.20967527408096</v>
      </c>
      <c r="BP30">
        <v>5.0005990309131274</v>
      </c>
      <c r="BQ30">
        <v>5.7853191042799894</v>
      </c>
    </row>
    <row r="31" spans="1:69" x14ac:dyDescent="0.25">
      <c r="A31" t="s">
        <v>1096</v>
      </c>
      <c r="B31" t="s">
        <v>1097</v>
      </c>
      <c r="C31" t="s">
        <v>1575</v>
      </c>
      <c r="D31" t="s">
        <v>1576</v>
      </c>
      <c r="Z31">
        <v>11.2244897960225</v>
      </c>
      <c r="AA31">
        <v>6.83903252716288</v>
      </c>
      <c r="AB31">
        <v>4.99609679980487</v>
      </c>
      <c r="AC31">
        <v>3.3828996286370701</v>
      </c>
      <c r="AD31">
        <v>6.2371661180554963</v>
      </c>
      <c r="AE31">
        <v>0.79977149385895252</v>
      </c>
      <c r="AF31">
        <v>2.011901388495295</v>
      </c>
      <c r="AG31">
        <v>3.1388888888889408</v>
      </c>
      <c r="AH31">
        <v>2.1276595744680722</v>
      </c>
      <c r="AI31">
        <v>3.0590717299578589</v>
      </c>
      <c r="AJ31">
        <v>0.76195150080687957</v>
      </c>
      <c r="AK31">
        <v>2.396700730251883</v>
      </c>
      <c r="AL31">
        <v>1.472596946936799</v>
      </c>
      <c r="AM31">
        <v>2.5693430464429499</v>
      </c>
      <c r="AN31">
        <v>2.889615843721514</v>
      </c>
      <c r="AO31">
        <v>5.9650209753724237</v>
      </c>
      <c r="AP31">
        <v>1.149037567605397</v>
      </c>
      <c r="AQ31">
        <v>2.1952625003758999</v>
      </c>
      <c r="AR31">
        <v>2.6213952458274621</v>
      </c>
      <c r="AS31">
        <v>3.0674396693058532</v>
      </c>
      <c r="AT31">
        <v>3.6514178656150231</v>
      </c>
      <c r="AU31">
        <v>4.2402666068864523</v>
      </c>
      <c r="AV31">
        <v>2.3180827466310121</v>
      </c>
      <c r="AW31">
        <v>6.3944309974239886</v>
      </c>
      <c r="AX31">
        <v>-1.104310444119097</v>
      </c>
      <c r="AY31">
        <v>-7.1137677126501391</v>
      </c>
      <c r="AZ31">
        <v>2.3180827464202052</v>
      </c>
      <c r="BA31">
        <v>6.3944310025003359</v>
      </c>
      <c r="BB31">
        <v>-1.104310448643554</v>
      </c>
      <c r="BC31">
        <v>0.91797737880888775</v>
      </c>
      <c r="BD31">
        <v>1.6020561564019999</v>
      </c>
      <c r="BE31">
        <v>1.3005807454785809</v>
      </c>
      <c r="BF31">
        <v>0.50974776898322038</v>
      </c>
      <c r="BG31">
        <v>1.2013996448105759</v>
      </c>
      <c r="BH31">
        <v>-0.86158400942774771</v>
      </c>
      <c r="BI31">
        <v>0.66342716791760115</v>
      </c>
      <c r="BJ31">
        <v>1.1476533930581601</v>
      </c>
      <c r="BK31">
        <v>0.26998262264633538</v>
      </c>
      <c r="BL31">
        <v>0.1870693851814241</v>
      </c>
      <c r="BM31">
        <v>0.1214346446148936</v>
      </c>
      <c r="BN31">
        <v>3.2356365923707089</v>
      </c>
      <c r="BO31">
        <v>6.2768931944754369</v>
      </c>
      <c r="BP31">
        <v>4.389840174876749</v>
      </c>
      <c r="BQ31">
        <v>3.289559859527682</v>
      </c>
    </row>
    <row r="32" spans="1:69" x14ac:dyDescent="0.25">
      <c r="A32" t="s">
        <v>1098</v>
      </c>
      <c r="B32" t="s">
        <v>1099</v>
      </c>
      <c r="C32" t="s">
        <v>1575</v>
      </c>
      <c r="D32" t="s">
        <v>1576</v>
      </c>
    </row>
    <row r="33" spans="1:69" x14ac:dyDescent="0.25">
      <c r="A33" t="s">
        <v>1100</v>
      </c>
      <c r="B33" t="s">
        <v>1101</v>
      </c>
      <c r="C33" t="s">
        <v>1575</v>
      </c>
      <c r="D33" t="s">
        <v>1576</v>
      </c>
      <c r="E33">
        <v>11.533152575619541</v>
      </c>
      <c r="F33">
        <v>7.5614930718389912</v>
      </c>
      <c r="G33">
        <v>5.8793314222529629</v>
      </c>
      <c r="H33">
        <v>-0.70635721455238853</v>
      </c>
      <c r="I33">
        <v>10.18181818181808</v>
      </c>
      <c r="J33">
        <v>2.8602860286027121</v>
      </c>
      <c r="K33">
        <v>6.9518716577540429</v>
      </c>
      <c r="L33">
        <v>11.199999999000109</v>
      </c>
      <c r="M33">
        <v>5.4706235016229856</v>
      </c>
      <c r="N33">
        <v>2.2097484725132439</v>
      </c>
      <c r="O33">
        <v>3.9555092109976919</v>
      </c>
      <c r="P33">
        <v>3.674614305750322</v>
      </c>
      <c r="Q33">
        <v>6.5115440115436964</v>
      </c>
      <c r="R33">
        <v>31.486028789161789</v>
      </c>
      <c r="S33">
        <v>62.83607560292387</v>
      </c>
      <c r="T33">
        <v>7.9767460254686551</v>
      </c>
      <c r="U33">
        <v>4.4940116470721634</v>
      </c>
      <c r="V33">
        <v>8.1072555205041485</v>
      </c>
      <c r="W33">
        <v>10.35567227571913</v>
      </c>
      <c r="X33">
        <v>19.719716778799871</v>
      </c>
      <c r="Y33">
        <v>47.241650101842609</v>
      </c>
      <c r="Z33">
        <v>32.133601113342429</v>
      </c>
      <c r="AA33">
        <v>123.5357185653292</v>
      </c>
      <c r="AB33">
        <v>275.58628356036161</v>
      </c>
      <c r="AC33">
        <v>1281.3499417448579</v>
      </c>
      <c r="AD33">
        <v>11749.63963214385</v>
      </c>
      <c r="AE33">
        <v>276.33596756320162</v>
      </c>
      <c r="AF33">
        <v>14.57869844891913</v>
      </c>
      <c r="AG33">
        <v>16.002091054939061</v>
      </c>
      <c r="AH33">
        <v>15.173468112573151</v>
      </c>
      <c r="AI33">
        <v>17.11877460482394</v>
      </c>
      <c r="AJ33">
        <v>21.447069817114059</v>
      </c>
      <c r="AK33">
        <v>12.06032360182898</v>
      </c>
      <c r="AL33">
        <v>8.5278769568800268</v>
      </c>
      <c r="AM33">
        <v>7.8740442146743419</v>
      </c>
      <c r="AN33">
        <v>10.193206763074549</v>
      </c>
      <c r="AO33">
        <v>12.4254866180049</v>
      </c>
      <c r="AP33">
        <v>4.7084443602819279</v>
      </c>
      <c r="AQ33">
        <v>7.6732289567508341</v>
      </c>
      <c r="AR33">
        <v>2.1595162683559761</v>
      </c>
      <c r="AS33">
        <v>4.6082299887259799</v>
      </c>
      <c r="AT33">
        <v>1.5896537787956759</v>
      </c>
      <c r="AU33">
        <v>0.9282588516110698</v>
      </c>
      <c r="AV33">
        <v>3.337274996715339</v>
      </c>
      <c r="AW33">
        <v>4.4373808010172464</v>
      </c>
      <c r="AX33">
        <v>5.3932310689066298</v>
      </c>
      <c r="AY33">
        <v>4.2823960480256149</v>
      </c>
      <c r="AZ33">
        <v>8.7056092357886907</v>
      </c>
      <c r="BA33">
        <v>14.00681077025194</v>
      </c>
      <c r="BB33">
        <v>3.3464542014201362</v>
      </c>
      <c r="BC33">
        <v>2.503276058442407</v>
      </c>
      <c r="BD33">
        <v>9.8844641982388328</v>
      </c>
      <c r="BE33">
        <v>4.5156029139937592</v>
      </c>
      <c r="BF33">
        <v>5.7364002371960687</v>
      </c>
      <c r="BG33">
        <v>5.7666007457914361</v>
      </c>
      <c r="BH33">
        <v>4.059610411356446</v>
      </c>
      <c r="BI33">
        <v>3.6232143176413811</v>
      </c>
      <c r="BJ33">
        <v>2.822758055471704</v>
      </c>
      <c r="BK33">
        <v>2.2720598723015488</v>
      </c>
      <c r="BL33">
        <v>1.839545049690259</v>
      </c>
      <c r="BM33">
        <v>0.94074215338184908</v>
      </c>
      <c r="BN33">
        <v>0.7373837214522746</v>
      </c>
      <c r="BO33">
        <v>1.7463287294596861</v>
      </c>
      <c r="BP33">
        <v>2.5768880048919209</v>
      </c>
      <c r="BQ33">
        <v>5.0997656831742724</v>
      </c>
    </row>
    <row r="34" spans="1:69" x14ac:dyDescent="0.25">
      <c r="A34" t="s">
        <v>1102</v>
      </c>
      <c r="B34" t="s">
        <v>1103</v>
      </c>
      <c r="C34" t="s">
        <v>1575</v>
      </c>
      <c r="D34" t="s">
        <v>1576</v>
      </c>
      <c r="Z34">
        <v>101.7250729579271</v>
      </c>
      <c r="AA34">
        <v>100.5433591948496</v>
      </c>
      <c r="AB34">
        <v>135.02768223047269</v>
      </c>
      <c r="AC34">
        <v>192.12173313205059</v>
      </c>
      <c r="AD34">
        <v>225.98966521189519</v>
      </c>
      <c r="AE34">
        <v>147.1428262376044</v>
      </c>
      <c r="AF34">
        <v>228.33616257551279</v>
      </c>
      <c r="AG34">
        <v>629.11450912089731</v>
      </c>
      <c r="AH34">
        <v>1430.723725147205</v>
      </c>
      <c r="AI34">
        <v>2947.7327724829952</v>
      </c>
      <c r="AJ34">
        <v>432.78666192646131</v>
      </c>
      <c r="AK34">
        <v>951.96205305281785</v>
      </c>
      <c r="AL34">
        <v>1927.380790160265</v>
      </c>
      <c r="AM34">
        <v>2075.8883975732501</v>
      </c>
      <c r="AN34">
        <v>66.007033554248139</v>
      </c>
      <c r="AO34">
        <v>15.757665600260641</v>
      </c>
      <c r="AP34">
        <v>6.9267125162915404</v>
      </c>
      <c r="AQ34">
        <v>3.1950762928005152</v>
      </c>
      <c r="AR34">
        <v>4.8584474990266662</v>
      </c>
      <c r="AS34">
        <v>7.0441410594726577</v>
      </c>
      <c r="AT34">
        <v>6.8403590248752328</v>
      </c>
      <c r="AU34">
        <v>8.4501643770833148</v>
      </c>
      <c r="AV34">
        <v>14.71491972281472</v>
      </c>
      <c r="AW34">
        <v>6.5971850998596331</v>
      </c>
      <c r="AX34">
        <v>6.86953720898964</v>
      </c>
      <c r="AY34">
        <v>4.1835681289690898</v>
      </c>
      <c r="AZ34">
        <v>3.641272991026522</v>
      </c>
      <c r="BA34">
        <v>5.6785939028416799</v>
      </c>
      <c r="BB34">
        <v>4.8880347987679862</v>
      </c>
      <c r="BC34">
        <v>5.0387269010807474</v>
      </c>
      <c r="BD34">
        <v>6.6364496221309004</v>
      </c>
      <c r="BE34">
        <v>5.4034991403699708</v>
      </c>
      <c r="BF34">
        <v>6.2043106664010068</v>
      </c>
      <c r="BG34">
        <v>6.3290401551613886</v>
      </c>
      <c r="BH34">
        <v>9.0299010241613633</v>
      </c>
      <c r="BI34">
        <v>8.7391435232939312</v>
      </c>
      <c r="BJ34">
        <v>3.446373350326692</v>
      </c>
      <c r="BK34">
        <v>3.6648502837672878</v>
      </c>
      <c r="BL34">
        <v>3.732976212168936</v>
      </c>
      <c r="BM34">
        <v>3.2117680380337621</v>
      </c>
      <c r="BN34">
        <v>8.3016597558567309</v>
      </c>
      <c r="BO34">
        <v>9.2801060895687275</v>
      </c>
      <c r="BP34">
        <v>4.5935628228320393</v>
      </c>
      <c r="BQ34">
        <v>4.3674640765233654</v>
      </c>
    </row>
    <row r="35" spans="1:69" x14ac:dyDescent="0.25">
      <c r="A35" t="s">
        <v>1104</v>
      </c>
      <c r="B35" t="s">
        <v>1105</v>
      </c>
      <c r="C35" t="s">
        <v>1575</v>
      </c>
      <c r="D35" t="s">
        <v>1576</v>
      </c>
      <c r="L35">
        <v>3.6348751533575729</v>
      </c>
      <c r="M35">
        <v>7.4887431868761718</v>
      </c>
      <c r="N35">
        <v>5.8352318660549427</v>
      </c>
      <c r="O35">
        <v>7.284216373685207</v>
      </c>
      <c r="P35">
        <v>7.4692556635386298</v>
      </c>
      <c r="Q35">
        <v>11.87665622753279</v>
      </c>
      <c r="R35">
        <v>16.855081826021319</v>
      </c>
      <c r="S35">
        <v>38.922928087811002</v>
      </c>
      <c r="T35">
        <v>20.294468762528961</v>
      </c>
      <c r="U35">
        <v>4.9867681111318651</v>
      </c>
      <c r="V35">
        <v>8.3523696993499783</v>
      </c>
      <c r="W35">
        <v>9.4823825910176343</v>
      </c>
      <c r="X35">
        <v>13.1698355431799</v>
      </c>
      <c r="Y35">
        <v>14.43051972039428</v>
      </c>
      <c r="Z35">
        <v>14.56756321468861</v>
      </c>
      <c r="AA35">
        <v>10.332466437056119</v>
      </c>
      <c r="AB35">
        <v>5.2302987828883891</v>
      </c>
      <c r="AC35">
        <v>4.6857973118560183</v>
      </c>
      <c r="AD35">
        <v>3.915105250827938</v>
      </c>
      <c r="AE35">
        <v>1.330068451619157</v>
      </c>
      <c r="AF35">
        <v>3.3117311074325482</v>
      </c>
      <c r="AG35">
        <v>4.8588591781404764</v>
      </c>
      <c r="AH35">
        <v>6.1901140684412104</v>
      </c>
      <c r="AI35">
        <v>3.0745727107801679</v>
      </c>
      <c r="AJ35">
        <v>6.2575266327002117</v>
      </c>
      <c r="AK35">
        <v>6.0938930299463836</v>
      </c>
      <c r="AL35">
        <v>1.113439336044846</v>
      </c>
      <c r="AM35">
        <v>7.7204388460249365E-2</v>
      </c>
      <c r="AN35">
        <v>1.8788627935722859</v>
      </c>
      <c r="AO35">
        <v>2.3861522284232479</v>
      </c>
      <c r="AP35">
        <v>7.7105387896988482</v>
      </c>
      <c r="AQ35">
        <v>-1.2688866070121201</v>
      </c>
      <c r="AR35">
        <v>1.5600624024960501</v>
      </c>
      <c r="AS35">
        <v>2.4358130348913671</v>
      </c>
      <c r="AT35">
        <v>2.5778349043128932</v>
      </c>
      <c r="AU35">
        <v>0.1252494580559905</v>
      </c>
      <c r="AV35">
        <v>1.6194331983805521</v>
      </c>
      <c r="AW35">
        <v>1.394422310756912</v>
      </c>
      <c r="AX35">
        <v>6.0821872953504297</v>
      </c>
      <c r="AY35">
        <v>7.3076626282893891</v>
      </c>
      <c r="AZ35">
        <v>4.0342298288507088</v>
      </c>
      <c r="BA35">
        <v>8.1081081081078228</v>
      </c>
      <c r="BB35">
        <v>3.6438618925833368</v>
      </c>
      <c r="BC35">
        <v>5.8242185331186631</v>
      </c>
      <c r="BD35">
        <v>9.4322024017722104</v>
      </c>
      <c r="BE35">
        <v>4.5333475388876572</v>
      </c>
      <c r="BF35">
        <v>1.8141043604910509</v>
      </c>
      <c r="BG35">
        <v>1.7695032208972881</v>
      </c>
      <c r="BH35">
        <v>-1.112789925109668</v>
      </c>
      <c r="BI35">
        <v>1.2819281306189541</v>
      </c>
      <c r="BJ35">
        <v>4.6601846395599571</v>
      </c>
      <c r="BK35">
        <v>3.673814104068009</v>
      </c>
      <c r="BL35">
        <v>4.1002896451846089</v>
      </c>
      <c r="BP35">
        <v>9.7920707712644681</v>
      </c>
      <c r="BQ35">
        <v>-0.44011294020520392</v>
      </c>
    </row>
    <row r="36" spans="1:69" x14ac:dyDescent="0.25">
      <c r="A36" t="s">
        <v>1106</v>
      </c>
      <c r="B36" t="s">
        <v>1107</v>
      </c>
      <c r="C36" t="s">
        <v>1575</v>
      </c>
      <c r="D36" t="s">
        <v>1576</v>
      </c>
      <c r="Z36">
        <v>9.1370558375633859</v>
      </c>
      <c r="AA36">
        <v>6.3565891472868783</v>
      </c>
      <c r="AB36">
        <v>1.166180758017495</v>
      </c>
      <c r="AC36">
        <v>3.0739673390972722</v>
      </c>
      <c r="AD36">
        <v>2.3532152842492771</v>
      </c>
      <c r="AE36">
        <v>1.7812428864106451</v>
      </c>
      <c r="AF36">
        <v>1.246854906345793</v>
      </c>
      <c r="AG36">
        <v>1.1928429423459621</v>
      </c>
      <c r="AH36">
        <v>1.3043003710982259</v>
      </c>
      <c r="AI36">
        <v>2.1386629316379522</v>
      </c>
      <c r="AJ36">
        <v>1.600000000000005</v>
      </c>
      <c r="AK36">
        <v>1.279527559055146</v>
      </c>
      <c r="AL36">
        <v>4.2517006802721227</v>
      </c>
      <c r="AM36">
        <v>2.4625184494678969</v>
      </c>
      <c r="AN36">
        <v>5.9666413949961257</v>
      </c>
      <c r="AO36">
        <v>1.9961365099807771</v>
      </c>
      <c r="AP36">
        <v>1.711560044893353</v>
      </c>
      <c r="AQ36">
        <v>-0.44137931034489952</v>
      </c>
      <c r="AR36">
        <v>-0.41562759767245361</v>
      </c>
      <c r="AS36">
        <v>1.5581524763494581</v>
      </c>
      <c r="AT36">
        <v>0.59589041095898987</v>
      </c>
      <c r="AU36">
        <v>-2.3149724245932068</v>
      </c>
      <c r="AV36">
        <v>0.29999999999996702</v>
      </c>
      <c r="AW36">
        <v>0.81422399468261264</v>
      </c>
      <c r="AX36">
        <v>1.244437118839653</v>
      </c>
      <c r="AY36">
        <v>0.15988807834512089</v>
      </c>
      <c r="AZ36">
        <v>0.96777411952510106</v>
      </c>
      <c r="BA36">
        <v>2.0849802371541539</v>
      </c>
      <c r="BB36">
        <v>1.0357177427161339</v>
      </c>
      <c r="BC36">
        <v>0.3568691320175606</v>
      </c>
      <c r="BD36">
        <v>0.13791156316954009</v>
      </c>
      <c r="BE36">
        <v>0.1117662614003067</v>
      </c>
      <c r="BF36">
        <v>0.38920505312363218</v>
      </c>
      <c r="BG36">
        <v>-0.2071087317198223</v>
      </c>
      <c r="BH36">
        <v>-0.488347420743522</v>
      </c>
      <c r="BI36">
        <v>-0.27869326575308317</v>
      </c>
      <c r="BJ36">
        <v>-1.2605056462896029</v>
      </c>
      <c r="BK36">
        <v>1.0250517929021219</v>
      </c>
      <c r="BL36">
        <v>-0.39052206916552901</v>
      </c>
      <c r="BM36">
        <v>1.940319966071838</v>
      </c>
      <c r="BN36">
        <v>1.733413884505931</v>
      </c>
      <c r="BO36">
        <v>3.6822503060421559</v>
      </c>
      <c r="BP36">
        <v>0.3570643115368905</v>
      </c>
      <c r="BQ36">
        <v>-0.38867416503646057</v>
      </c>
    </row>
    <row r="37" spans="1:69" x14ac:dyDescent="0.25">
      <c r="A37" t="s">
        <v>1108</v>
      </c>
      <c r="B37" t="s">
        <v>1109</v>
      </c>
      <c r="C37" t="s">
        <v>1575</v>
      </c>
      <c r="D37" t="s">
        <v>1576</v>
      </c>
      <c r="Z37">
        <v>9.9723756906077359</v>
      </c>
      <c r="AA37">
        <v>9.8467721677970363</v>
      </c>
      <c r="AB37">
        <v>18.057778794115411</v>
      </c>
      <c r="AC37">
        <v>7.0377066115702478</v>
      </c>
      <c r="AD37">
        <v>1.8820123054650739</v>
      </c>
      <c r="AE37">
        <v>9.9644760213143861</v>
      </c>
      <c r="AF37">
        <v>6.3317719269907933</v>
      </c>
      <c r="AG37">
        <v>10.09671375765862</v>
      </c>
      <c r="AH37">
        <v>8.779837188980407</v>
      </c>
      <c r="AI37">
        <v>10.0118383223406</v>
      </c>
      <c r="AJ37">
        <v>12.27517294388927</v>
      </c>
      <c r="AK37">
        <v>15.97521736153899</v>
      </c>
      <c r="AL37">
        <v>11.198016587467899</v>
      </c>
      <c r="AM37">
        <v>7.0099535500995094</v>
      </c>
      <c r="AN37">
        <v>9.4875483678936927</v>
      </c>
      <c r="AO37">
        <v>8.7900138193516213</v>
      </c>
      <c r="AP37">
        <v>6.5054871826908629</v>
      </c>
      <c r="AQ37">
        <v>10.5855899892463</v>
      </c>
      <c r="AR37">
        <v>6.776993935536324</v>
      </c>
      <c r="AS37">
        <v>4.0121208107034212</v>
      </c>
      <c r="AT37">
        <v>3.4147894611159431</v>
      </c>
      <c r="AU37">
        <v>2.4553571428571428</v>
      </c>
      <c r="AV37">
        <v>2.5723086169333942</v>
      </c>
      <c r="AW37">
        <v>4.1059369827295757</v>
      </c>
      <c r="AX37">
        <v>5.3126310463774997</v>
      </c>
      <c r="AY37">
        <v>5.000454380225408</v>
      </c>
      <c r="AZ37">
        <v>5.1561113875846258</v>
      </c>
      <c r="BA37">
        <v>8.327160493827126</v>
      </c>
      <c r="BB37">
        <v>4.3611221911980458</v>
      </c>
      <c r="BC37">
        <v>7.0363831607301863</v>
      </c>
      <c r="BD37">
        <v>8.8489856994680007</v>
      </c>
      <c r="BE37">
        <v>10.91965694468303</v>
      </c>
      <c r="BF37">
        <v>8.7763834526821256</v>
      </c>
      <c r="BG37">
        <v>8.2710609394932781</v>
      </c>
      <c r="BH37">
        <v>4.54814395082205</v>
      </c>
      <c r="BI37">
        <v>3.2198868939571792</v>
      </c>
      <c r="BJ37">
        <v>4.9550836698512937</v>
      </c>
      <c r="BK37">
        <v>2.723963861837134</v>
      </c>
      <c r="BL37">
        <v>2.7264303738883249</v>
      </c>
      <c r="BM37">
        <v>5.6293652263250786</v>
      </c>
      <c r="BN37">
        <v>7.3468144053353024</v>
      </c>
      <c r="BO37">
        <v>5.6391667139637018</v>
      </c>
      <c r="BP37">
        <v>4.2293441992925116</v>
      </c>
      <c r="BQ37">
        <v>2.7613156962409762</v>
      </c>
    </row>
    <row r="38" spans="1:69" x14ac:dyDescent="0.25">
      <c r="A38" t="s">
        <v>1110</v>
      </c>
      <c r="B38" t="s">
        <v>1111</v>
      </c>
      <c r="C38" t="s">
        <v>1575</v>
      </c>
      <c r="D38" t="s">
        <v>1576</v>
      </c>
      <c r="T38">
        <v>11.974755024095311</v>
      </c>
      <c r="U38">
        <v>11.732423613641981</v>
      </c>
      <c r="V38">
        <v>13.168724280107879</v>
      </c>
      <c r="W38">
        <v>9.0439882701036165</v>
      </c>
      <c r="X38">
        <v>11.7362306367885</v>
      </c>
      <c r="Y38">
        <v>13.63242514708946</v>
      </c>
      <c r="Z38">
        <v>16.42802677257119</v>
      </c>
      <c r="AA38">
        <v>11.13720642746893</v>
      </c>
      <c r="AB38">
        <v>10.477143810523749</v>
      </c>
      <c r="AC38">
        <v>8.5774690425190592</v>
      </c>
      <c r="AD38">
        <v>8.0945757997594097</v>
      </c>
      <c r="AE38">
        <v>10.00171556060223</v>
      </c>
      <c r="AF38">
        <v>9.8019338739867479</v>
      </c>
      <c r="AG38">
        <v>8.3516795682121927</v>
      </c>
      <c r="AH38">
        <v>11.57501474732852</v>
      </c>
      <c r="AI38">
        <v>11.39634611995559</v>
      </c>
      <c r="AJ38">
        <v>11.765016083953469</v>
      </c>
      <c r="AK38">
        <v>16.167612396333912</v>
      </c>
      <c r="AL38">
        <v>14.330803336588779</v>
      </c>
      <c r="AM38">
        <v>10.54292099382184</v>
      </c>
      <c r="AN38">
        <v>10.512546081579011</v>
      </c>
      <c r="AO38">
        <v>10.08285806521079</v>
      </c>
      <c r="AP38">
        <v>8.7199312714774688</v>
      </c>
      <c r="AQ38">
        <v>6.6613986566575214</v>
      </c>
      <c r="AR38">
        <v>7.7492961920284813</v>
      </c>
      <c r="AS38">
        <v>8.6014851485149055</v>
      </c>
      <c r="AT38">
        <v>6.5590376701486184</v>
      </c>
      <c r="AU38">
        <v>8.0327966252748588</v>
      </c>
      <c r="AV38">
        <v>9.1899026563273907</v>
      </c>
      <c r="AW38">
        <v>6.9457036365467459</v>
      </c>
      <c r="AX38">
        <v>8.6102252854643986</v>
      </c>
      <c r="AY38">
        <v>11.5552187914379</v>
      </c>
      <c r="AZ38">
        <v>7.0809984717269261</v>
      </c>
      <c r="BA38">
        <v>12.702188392007571</v>
      </c>
      <c r="BB38">
        <v>8.0272970310958183</v>
      </c>
      <c r="BC38">
        <v>6.9488765874310348</v>
      </c>
      <c r="BD38">
        <v>8.4598723340858335</v>
      </c>
      <c r="BE38">
        <v>7.5369026109191601</v>
      </c>
      <c r="BF38">
        <v>5.8846070705681663</v>
      </c>
      <c r="BG38">
        <v>4.4022530924342744</v>
      </c>
      <c r="BH38">
        <v>3.062031695805576</v>
      </c>
      <c r="BI38">
        <v>2.8149579136194389</v>
      </c>
      <c r="BJ38">
        <v>3.3082807676821901</v>
      </c>
      <c r="BK38">
        <v>3.2380155894771532</v>
      </c>
      <c r="BL38">
        <v>2.7728644286332069</v>
      </c>
      <c r="BM38">
        <v>1.8903591682420999</v>
      </c>
      <c r="BN38">
        <v>7.2409776558844232</v>
      </c>
      <c r="BO38">
        <v>11.66556747880202</v>
      </c>
      <c r="BP38">
        <v>5.0676154934382982</v>
      </c>
      <c r="BQ38">
        <v>2.8183513167625112</v>
      </c>
    </row>
    <row r="39" spans="1:69" x14ac:dyDescent="0.25">
      <c r="A39" t="s">
        <v>1112</v>
      </c>
      <c r="B39" t="s">
        <v>1113</v>
      </c>
      <c r="C39" t="s">
        <v>1575</v>
      </c>
      <c r="D39" t="s">
        <v>1576</v>
      </c>
      <c r="Z39">
        <v>-3.3333333333409099E-2</v>
      </c>
      <c r="AA39">
        <v>13.296098699566279</v>
      </c>
      <c r="AB39">
        <v>14.6126112868811</v>
      </c>
      <c r="AC39">
        <v>2.5422096681004702</v>
      </c>
      <c r="AD39">
        <v>10.42384023038864</v>
      </c>
      <c r="AE39">
        <v>2.2451525116226918</v>
      </c>
      <c r="AF39">
        <v>-6.9868027059997351</v>
      </c>
      <c r="AG39">
        <v>-3.9644688207936598</v>
      </c>
      <c r="AH39">
        <v>0.68905580731273774</v>
      </c>
      <c r="AI39">
        <v>-1.233045622721015E-2</v>
      </c>
      <c r="AJ39">
        <v>-2.7623628067576229</v>
      </c>
      <c r="AK39">
        <v>-1.0336081166777711</v>
      </c>
      <c r="AL39">
        <v>-2.9153584929833491</v>
      </c>
      <c r="AM39">
        <v>24.57101372756048</v>
      </c>
      <c r="AN39">
        <v>19.189403973509819</v>
      </c>
      <c r="AO39">
        <v>3.724941103258018</v>
      </c>
      <c r="AP39">
        <v>1.6113134776091069</v>
      </c>
      <c r="AQ39">
        <v>-1.8852009615791041</v>
      </c>
      <c r="AR39">
        <v>-1.4142022008255131</v>
      </c>
      <c r="AS39">
        <v>3.2034009156311241</v>
      </c>
      <c r="AT39">
        <v>3.8348606023736171</v>
      </c>
      <c r="AU39">
        <v>2.3318170351623491</v>
      </c>
      <c r="AV39">
        <v>4.1347090515099589</v>
      </c>
      <c r="AW39">
        <v>-2.0664060113630258</v>
      </c>
      <c r="AX39">
        <v>2.8835207335902169</v>
      </c>
      <c r="AY39">
        <v>6.6952646577335431</v>
      </c>
      <c r="AZ39">
        <v>0.95991761945710963</v>
      </c>
      <c r="BA39">
        <v>9.2589509941707604</v>
      </c>
      <c r="BB39">
        <v>3.5212622723864269</v>
      </c>
      <c r="BC39">
        <v>1.4910237004780209</v>
      </c>
      <c r="BD39">
        <v>1.1944757244985</v>
      </c>
      <c r="BE39">
        <v>5.4782959434611698</v>
      </c>
      <c r="BF39">
        <v>6.9887934197019801</v>
      </c>
      <c r="BG39">
        <v>14.898684179754991</v>
      </c>
      <c r="BH39">
        <v>1.402970171368163</v>
      </c>
      <c r="BI39">
        <v>4.9454327610651818</v>
      </c>
      <c r="BJ39">
        <v>4.1807233187126656</v>
      </c>
      <c r="BK39">
        <v>1.612156869915552</v>
      </c>
      <c r="BL39">
        <v>2.685373552667865</v>
      </c>
      <c r="BM39">
        <v>1.710156595231529</v>
      </c>
      <c r="BN39">
        <v>4.2593641754286837</v>
      </c>
      <c r="BO39">
        <v>5.5831673518324667</v>
      </c>
      <c r="BP39">
        <v>2.9791385261893679</v>
      </c>
      <c r="BQ39">
        <v>1.477336007187436</v>
      </c>
    </row>
    <row r="40" spans="1:69" x14ac:dyDescent="0.25">
      <c r="A40" t="s">
        <v>1114</v>
      </c>
      <c r="B40" t="s">
        <v>1115</v>
      </c>
      <c r="C40" t="s">
        <v>1575</v>
      </c>
      <c r="D40" t="s">
        <v>1576</v>
      </c>
      <c r="E40">
        <v>1.358695652173918</v>
      </c>
      <c r="F40">
        <v>1.018766756032107</v>
      </c>
      <c r="G40">
        <v>1.061571125265353</v>
      </c>
      <c r="H40">
        <v>1.6281512605042769</v>
      </c>
      <c r="I40">
        <v>1.9121447028423739</v>
      </c>
      <c r="J40">
        <v>2.3326572008113491</v>
      </c>
      <c r="K40">
        <v>3.8156590683845311</v>
      </c>
      <c r="L40">
        <v>3.5799522673031179</v>
      </c>
      <c r="M40">
        <v>4.0552995391704698</v>
      </c>
      <c r="N40">
        <v>4.5615589016829237</v>
      </c>
      <c r="O40">
        <v>3.34603981363832</v>
      </c>
      <c r="P40">
        <v>2.7049180327868458</v>
      </c>
      <c r="Q40">
        <v>4.9880287310455129</v>
      </c>
      <c r="R40">
        <v>7.4876472824021096</v>
      </c>
      <c r="S40">
        <v>10.99717114568597</v>
      </c>
      <c r="T40">
        <v>10.67218859509404</v>
      </c>
      <c r="U40">
        <v>7.5417386298214764</v>
      </c>
      <c r="V40">
        <v>7.9764453961456976</v>
      </c>
      <c r="W40">
        <v>8.9737233515121417</v>
      </c>
      <c r="X40">
        <v>9.1446769790718125</v>
      </c>
      <c r="Y40">
        <v>10.12922050854529</v>
      </c>
      <c r="Z40">
        <v>12.47161241483721</v>
      </c>
      <c r="AA40">
        <v>10.76897189971392</v>
      </c>
      <c r="AB40">
        <v>5.863588029773676</v>
      </c>
      <c r="AC40">
        <v>4.3047783039173666</v>
      </c>
      <c r="AD40">
        <v>3.9620305406520462</v>
      </c>
      <c r="AE40">
        <v>4.1947862908562064</v>
      </c>
      <c r="AF40">
        <v>4.3561087122174031</v>
      </c>
      <c r="AG40">
        <v>4.02823414871611</v>
      </c>
      <c r="AH40">
        <v>4.9836218998595756</v>
      </c>
      <c r="AI40">
        <v>4.780476933363043</v>
      </c>
      <c r="AJ40">
        <v>5.6258640859300524</v>
      </c>
      <c r="AK40">
        <v>1.490132903745452</v>
      </c>
      <c r="AL40">
        <v>1.8650793650793891</v>
      </c>
      <c r="AM40">
        <v>0.16556291390729139</v>
      </c>
      <c r="AN40">
        <v>2.1487603305784901</v>
      </c>
      <c r="AO40">
        <v>1.5705311250713789</v>
      </c>
      <c r="AP40">
        <v>1.6212163808453059</v>
      </c>
      <c r="AQ40">
        <v>0.9959424566580195</v>
      </c>
      <c r="AR40">
        <v>1.734842951059185</v>
      </c>
      <c r="AS40">
        <v>2.719439956919762</v>
      </c>
      <c r="AT40">
        <v>2.5251201397990561</v>
      </c>
      <c r="AU40">
        <v>2.2583944094085511</v>
      </c>
      <c r="AV40">
        <v>2.7585632136011209</v>
      </c>
      <c r="AW40">
        <v>1.857258718572564</v>
      </c>
      <c r="AX40">
        <v>2.2135520343976749</v>
      </c>
      <c r="AY40">
        <v>2.0020253953416129</v>
      </c>
      <c r="AZ40">
        <v>2.1383839926683699</v>
      </c>
      <c r="BA40">
        <v>2.3702706744429851</v>
      </c>
      <c r="BB40">
        <v>0.29946680300929901</v>
      </c>
      <c r="BC40">
        <v>1.7768715409262701</v>
      </c>
      <c r="BD40">
        <v>2.91213508872351</v>
      </c>
      <c r="BE40">
        <v>1.515678231245166</v>
      </c>
      <c r="BF40">
        <v>0.93829189781531686</v>
      </c>
      <c r="BG40">
        <v>1.9066359071786141</v>
      </c>
      <c r="BH40">
        <v>1.1252413609427749</v>
      </c>
      <c r="BI40">
        <v>1.4287595470108549</v>
      </c>
      <c r="BJ40">
        <v>1.5968841285297659</v>
      </c>
      <c r="BK40">
        <v>2.2682256724810328</v>
      </c>
      <c r="BL40">
        <v>1.949269024115927</v>
      </c>
      <c r="BM40">
        <v>0.71699963230782737</v>
      </c>
      <c r="BN40">
        <v>3.3951931852752781</v>
      </c>
      <c r="BO40">
        <v>6.8028011534161283</v>
      </c>
      <c r="BP40">
        <v>3.8790015978842551</v>
      </c>
      <c r="BQ40">
        <v>2.3815838328117311</v>
      </c>
    </row>
    <row r="41" spans="1:69" x14ac:dyDescent="0.25">
      <c r="A41" t="s">
        <v>1116</v>
      </c>
      <c r="B41" t="s">
        <v>1117</v>
      </c>
      <c r="C41" t="s">
        <v>1575</v>
      </c>
      <c r="D41" t="s">
        <v>1576</v>
      </c>
      <c r="AJ41">
        <v>118.5275789059841</v>
      </c>
      <c r="AK41">
        <v>150.61583195687601</v>
      </c>
      <c r="AL41">
        <v>72.878791386633324</v>
      </c>
      <c r="AM41">
        <v>35.924705392964221</v>
      </c>
      <c r="AN41">
        <v>27.951388563304022</v>
      </c>
      <c r="AO41">
        <v>19.794966919670689</v>
      </c>
      <c r="AP41">
        <v>8.8810484846589208</v>
      </c>
      <c r="AQ41">
        <v>8.2083333333329787</v>
      </c>
      <c r="AR41">
        <v>4.0191387559808556</v>
      </c>
      <c r="AS41">
        <v>8.9117441865876899</v>
      </c>
      <c r="AT41">
        <v>5.7482798165137297</v>
      </c>
      <c r="AU41">
        <v>3.127142229846084</v>
      </c>
      <c r="AV41">
        <v>2.3486416958275451</v>
      </c>
      <c r="AW41">
        <v>3.5929759424950878</v>
      </c>
      <c r="AX41">
        <v>3.3171782444804521</v>
      </c>
      <c r="AY41">
        <v>3.9303260384100138</v>
      </c>
      <c r="AZ41">
        <v>4.8373292831398906</v>
      </c>
      <c r="BA41">
        <v>6.3586638015237327</v>
      </c>
      <c r="BB41">
        <v>2.7532022391481612</v>
      </c>
      <c r="BC41">
        <v>1.8011702213713401</v>
      </c>
      <c r="BD41">
        <v>4.1302756264508522</v>
      </c>
      <c r="BE41">
        <v>3.3349226769344211</v>
      </c>
      <c r="BF41">
        <v>1.438297872340401</v>
      </c>
      <c r="BG41">
        <v>5.3821313239980163E-2</v>
      </c>
      <c r="BH41">
        <v>-0.46449900464491062</v>
      </c>
      <c r="BI41">
        <v>-5.4999541670473967E-2</v>
      </c>
      <c r="BJ41">
        <v>2.0759355367384962</v>
      </c>
      <c r="BK41">
        <v>2.5344542418659808</v>
      </c>
      <c r="BL41">
        <v>2.6645613342543131</v>
      </c>
      <c r="BM41">
        <v>1.6724409685575621</v>
      </c>
      <c r="BN41">
        <v>3.839844915001462</v>
      </c>
      <c r="BO41">
        <v>14.60814394924334</v>
      </c>
      <c r="BP41">
        <v>9.4428414008856407</v>
      </c>
      <c r="BQ41">
        <v>2.7576090942427181</v>
      </c>
    </row>
    <row r="42" spans="1:69" x14ac:dyDescent="0.25">
      <c r="A42" t="s">
        <v>1118</v>
      </c>
      <c r="B42" t="s">
        <v>1119</v>
      </c>
      <c r="C42" t="s">
        <v>1575</v>
      </c>
      <c r="D42" t="s">
        <v>1576</v>
      </c>
      <c r="E42">
        <v>1.4387947032109181</v>
      </c>
      <c r="F42">
        <v>1.8453978744865751</v>
      </c>
      <c r="G42">
        <v>4.3159928775438887</v>
      </c>
      <c r="H42">
        <v>3.4402128804295549</v>
      </c>
      <c r="I42">
        <v>3.0805568710180551</v>
      </c>
      <c r="J42">
        <v>3.4144786084618048</v>
      </c>
      <c r="K42">
        <v>4.7759795956369606</v>
      </c>
      <c r="L42">
        <v>4.0051962156387129</v>
      </c>
      <c r="M42">
        <v>2.395822269570163</v>
      </c>
      <c r="N42">
        <v>2.489035989593769</v>
      </c>
      <c r="O42">
        <v>3.6159867862951751</v>
      </c>
      <c r="P42">
        <v>6.5732211192579451</v>
      </c>
      <c r="Q42">
        <v>6.6600070416023938</v>
      </c>
      <c r="R42">
        <v>8.7546703302463857</v>
      </c>
      <c r="S42">
        <v>9.7674143191302445</v>
      </c>
      <c r="T42">
        <v>6.6965952250783012</v>
      </c>
      <c r="U42">
        <v>1.7154763228565491</v>
      </c>
      <c r="V42">
        <v>1.2959991627832139</v>
      </c>
      <c r="W42">
        <v>1.028792894874254</v>
      </c>
      <c r="X42">
        <v>3.6476401055878549</v>
      </c>
      <c r="Y42">
        <v>4.0225008483900284</v>
      </c>
      <c r="Z42">
        <v>6.4903096400571858</v>
      </c>
      <c r="AA42">
        <v>5.6551018239234274</v>
      </c>
      <c r="AB42">
        <v>2.949794435457235</v>
      </c>
      <c r="AC42">
        <v>2.9314566913662459</v>
      </c>
      <c r="AD42">
        <v>3.4353993529826909</v>
      </c>
      <c r="AE42">
        <v>0.75030983941078333</v>
      </c>
      <c r="AF42">
        <v>1.4403218804172211</v>
      </c>
      <c r="AG42">
        <v>1.8724685973187289</v>
      </c>
      <c r="AH42">
        <v>3.155269797109082</v>
      </c>
      <c r="AI42">
        <v>5.4039590921894032</v>
      </c>
      <c r="AJ42">
        <v>5.8595966346866968</v>
      </c>
      <c r="AK42">
        <v>4.0370302077873896</v>
      </c>
      <c r="AL42">
        <v>3.2926218031361061</v>
      </c>
      <c r="AM42">
        <v>0.85211699512069994</v>
      </c>
      <c r="AN42">
        <v>1.799827768671441</v>
      </c>
      <c r="AO42">
        <v>0.81163406462821053</v>
      </c>
      <c r="AP42">
        <v>0.52022542273665195</v>
      </c>
      <c r="AQ42">
        <v>1.7938437843909801E-2</v>
      </c>
      <c r="AR42">
        <v>0.80644438095944859</v>
      </c>
      <c r="AS42">
        <v>1.5585291967901049</v>
      </c>
      <c r="AT42">
        <v>0.98902032983254595</v>
      </c>
      <c r="AU42">
        <v>0.64271150654327835</v>
      </c>
      <c r="AV42">
        <v>0.63827293088720083</v>
      </c>
      <c r="AW42">
        <v>0.80290873095522652</v>
      </c>
      <c r="AX42">
        <v>1.171954203337026</v>
      </c>
      <c r="AY42">
        <v>1.059509283248016</v>
      </c>
      <c r="AZ42">
        <v>0.73235060312224753</v>
      </c>
      <c r="BA42">
        <v>2.4260411706015761</v>
      </c>
      <c r="BB42">
        <v>-0.48048193642327502</v>
      </c>
      <c r="BC42">
        <v>0.68823870722002556</v>
      </c>
      <c r="BD42">
        <v>0.2313492076509</v>
      </c>
      <c r="BE42">
        <v>-0.69255201810525324</v>
      </c>
      <c r="BF42">
        <v>-0.21732315511569289</v>
      </c>
      <c r="BG42">
        <v>-1.3202538751493889E-2</v>
      </c>
      <c r="BH42">
        <v>-1.143908672281833</v>
      </c>
      <c r="BI42">
        <v>-0.43461866428583529</v>
      </c>
      <c r="BJ42">
        <v>0.53378783982589695</v>
      </c>
      <c r="BK42">
        <v>0.93633546411356294</v>
      </c>
      <c r="BL42">
        <v>0.3628861799406139</v>
      </c>
      <c r="BM42">
        <v>-0.72587493331338371</v>
      </c>
      <c r="BN42">
        <v>0.58181416848985634</v>
      </c>
      <c r="BO42">
        <v>2.8350279864446262</v>
      </c>
      <c r="BP42">
        <v>2.1354008801637692</v>
      </c>
      <c r="BQ42">
        <v>1.0623404197659501</v>
      </c>
    </row>
    <row r="43" spans="1:69" x14ac:dyDescent="0.25">
      <c r="A43" t="s">
        <v>1120</v>
      </c>
      <c r="B43" t="s">
        <v>1121</v>
      </c>
      <c r="C43" t="s">
        <v>1575</v>
      </c>
      <c r="D43" t="s">
        <v>1576</v>
      </c>
    </row>
    <row r="44" spans="1:69" x14ac:dyDescent="0.25">
      <c r="A44" t="s">
        <v>1122</v>
      </c>
      <c r="B44" t="s">
        <v>1123</v>
      </c>
      <c r="C44" t="s">
        <v>1575</v>
      </c>
      <c r="D44" t="s">
        <v>1576</v>
      </c>
      <c r="P44">
        <v>20.052231204053601</v>
      </c>
      <c r="Q44">
        <v>77.795740475520375</v>
      </c>
      <c r="R44">
        <v>352.81098657302908</v>
      </c>
      <c r="S44">
        <v>504.73854121597799</v>
      </c>
      <c r="T44">
        <v>374.73527423263482</v>
      </c>
      <c r="U44">
        <v>211.924302225904</v>
      </c>
      <c r="V44">
        <v>91.954132556510416</v>
      </c>
      <c r="W44">
        <v>40.087224631385439</v>
      </c>
      <c r="X44">
        <v>33.389219010225183</v>
      </c>
      <c r="Y44">
        <v>35.138340533048549</v>
      </c>
      <c r="Z44">
        <v>19.686832708431918</v>
      </c>
      <c r="AA44">
        <v>9.9410269304183227</v>
      </c>
      <c r="AB44">
        <v>27.257194672620439</v>
      </c>
      <c r="AC44">
        <v>19.860205660262601</v>
      </c>
      <c r="AD44">
        <v>30.70349890961506</v>
      </c>
      <c r="AE44">
        <v>19.476837923258199</v>
      </c>
      <c r="AF44">
        <v>19.880845720190511</v>
      </c>
      <c r="AG44">
        <v>14.68435125008199</v>
      </c>
      <c r="AH44">
        <v>17.027936730896158</v>
      </c>
      <c r="AI44">
        <v>26.0364811362364</v>
      </c>
      <c r="AJ44">
        <v>21.784412427775749</v>
      </c>
      <c r="AK44">
        <v>15.42580646889275</v>
      </c>
      <c r="AL44">
        <v>12.72776694909637</v>
      </c>
      <c r="AM44">
        <v>11.443119644497269</v>
      </c>
      <c r="AN44">
        <v>8.2326303411611423</v>
      </c>
      <c r="AO44">
        <v>7.3591178178876708</v>
      </c>
      <c r="AP44">
        <v>6.1338646435792743</v>
      </c>
      <c r="AQ44">
        <v>5.1102495451755932</v>
      </c>
      <c r="AR44">
        <v>3.3368791752602331</v>
      </c>
      <c r="AS44">
        <v>3.8432729570656519</v>
      </c>
      <c r="AT44">
        <v>3.569100530014667</v>
      </c>
      <c r="AU44">
        <v>2.4893981665070508</v>
      </c>
      <c r="AV44">
        <v>2.810178757436101</v>
      </c>
      <c r="AW44">
        <v>1.0547387140351681</v>
      </c>
      <c r="AX44">
        <v>3.052576213878492</v>
      </c>
      <c r="AY44">
        <v>3.3920173369940532</v>
      </c>
      <c r="AZ44">
        <v>4.4077993839804428</v>
      </c>
      <c r="BA44">
        <v>8.716268730396072</v>
      </c>
      <c r="BB44">
        <v>0.35304517836093668</v>
      </c>
      <c r="BC44">
        <v>1.410711079543209</v>
      </c>
      <c r="BD44">
        <v>3.3412169425930212</v>
      </c>
      <c r="BE44">
        <v>3.0074484021304739</v>
      </c>
      <c r="BF44">
        <v>1.7895555398459031</v>
      </c>
      <c r="BG44">
        <v>4.7186752785467174</v>
      </c>
      <c r="BH44">
        <v>4.3487735321704406</v>
      </c>
      <c r="BI44">
        <v>3.7861935589311839</v>
      </c>
      <c r="BJ44">
        <v>2.1827184686851928</v>
      </c>
      <c r="BK44">
        <v>2.4348898135305719</v>
      </c>
      <c r="BL44">
        <v>2.5575447570332659</v>
      </c>
      <c r="BM44">
        <v>3.045490848043265</v>
      </c>
      <c r="BN44">
        <v>4.5245683825914371</v>
      </c>
      <c r="BO44">
        <v>11.64386671105596</v>
      </c>
      <c r="BP44">
        <v>7.581682514079624</v>
      </c>
      <c r="BQ44">
        <v>4.2976389157252397</v>
      </c>
    </row>
    <row r="45" spans="1:69" x14ac:dyDescent="0.25">
      <c r="A45" t="s">
        <v>1124</v>
      </c>
      <c r="B45" t="s">
        <v>1125</v>
      </c>
      <c r="C45" t="s">
        <v>1575</v>
      </c>
      <c r="D45" t="s">
        <v>1576</v>
      </c>
      <c r="AF45">
        <v>7.2338355306560906</v>
      </c>
      <c r="AG45">
        <v>18.811817944875251</v>
      </c>
      <c r="AH45">
        <v>18.245638362164751</v>
      </c>
      <c r="AI45">
        <v>3.0522901207523332</v>
      </c>
      <c r="AJ45">
        <v>3.5566856522045249</v>
      </c>
      <c r="AK45">
        <v>6.3539813402486853</v>
      </c>
      <c r="AL45">
        <v>14.610078635660249</v>
      </c>
      <c r="AM45">
        <v>24.256989724336101</v>
      </c>
      <c r="AN45">
        <v>16.791225165091639</v>
      </c>
      <c r="AO45">
        <v>8.3131602889390859</v>
      </c>
      <c r="AP45">
        <v>2.7864650553188168</v>
      </c>
      <c r="AQ45">
        <v>-0.77318601154931832</v>
      </c>
      <c r="AR45">
        <v>-1.4014726827646491</v>
      </c>
      <c r="AS45">
        <v>0.34781122686458688</v>
      </c>
      <c r="AT45">
        <v>0.7191256091201137</v>
      </c>
      <c r="AU45">
        <v>-0.73197090235024365</v>
      </c>
      <c r="AV45">
        <v>1.1276034872963721</v>
      </c>
      <c r="AW45">
        <v>3.8246374310815949</v>
      </c>
      <c r="AX45">
        <v>1.7764140766757071</v>
      </c>
      <c r="AY45">
        <v>1.6494309945585981</v>
      </c>
      <c r="AZ45">
        <v>4.8167676737883447</v>
      </c>
      <c r="BA45">
        <v>5.9252513704109182</v>
      </c>
      <c r="BB45">
        <v>-0.72816525093289819</v>
      </c>
      <c r="BC45">
        <v>3.1753247526919912</v>
      </c>
      <c r="BD45">
        <v>5.5538989225749322</v>
      </c>
      <c r="BE45">
        <v>2.619524326455406</v>
      </c>
      <c r="BF45">
        <v>2.621050017481148</v>
      </c>
      <c r="BG45">
        <v>1.921641627885208</v>
      </c>
      <c r="BH45">
        <v>1.4370238093565479</v>
      </c>
      <c r="BI45">
        <v>2.000001821919434</v>
      </c>
      <c r="BJ45">
        <v>1.593136000714356</v>
      </c>
      <c r="BK45">
        <v>2.0747903996557602</v>
      </c>
      <c r="BL45">
        <v>2.8992341635822672</v>
      </c>
      <c r="BM45">
        <v>2.4194218945778232</v>
      </c>
      <c r="BN45">
        <v>0.98101513554488162</v>
      </c>
      <c r="BO45">
        <v>1.9735755573905061</v>
      </c>
      <c r="BP45">
        <v>0.2348368288930508</v>
      </c>
      <c r="BQ45">
        <v>0.21812893843917719</v>
      </c>
    </row>
    <row r="46" spans="1:69" x14ac:dyDescent="0.25">
      <c r="A46" t="s">
        <v>1126</v>
      </c>
      <c r="B46" t="s">
        <v>1127</v>
      </c>
      <c r="C46" t="s">
        <v>1575</v>
      </c>
      <c r="D46" t="s">
        <v>1576</v>
      </c>
      <c r="F46">
        <v>11.61649214689896</v>
      </c>
      <c r="G46">
        <v>-1.3412489012052871</v>
      </c>
      <c r="H46">
        <v>0.94346631046019847</v>
      </c>
      <c r="I46">
        <v>0.61819252274366776</v>
      </c>
      <c r="J46">
        <v>2.611176126330117</v>
      </c>
      <c r="K46">
        <v>4.1913179840566848</v>
      </c>
      <c r="L46">
        <v>2.2918519534945689</v>
      </c>
      <c r="M46">
        <v>5.3504547886787952</v>
      </c>
      <c r="N46">
        <v>4.4502285422332539</v>
      </c>
      <c r="O46">
        <v>8.2051905431071983</v>
      </c>
      <c r="P46">
        <v>-0.44374543627574509</v>
      </c>
      <c r="Q46">
        <v>0.31031369888391053</v>
      </c>
      <c r="R46">
        <v>11.10298666982289</v>
      </c>
      <c r="S46">
        <v>17.359388447064759</v>
      </c>
      <c r="T46">
        <v>11.444223967011361</v>
      </c>
      <c r="U46">
        <v>12.07664021695663</v>
      </c>
      <c r="V46">
        <v>27.421861509147622</v>
      </c>
      <c r="W46">
        <v>13.242986854592729</v>
      </c>
      <c r="X46">
        <v>16.342356573625121</v>
      </c>
      <c r="Y46">
        <v>14.700981299786569</v>
      </c>
      <c r="Z46">
        <v>8.7992108330877699</v>
      </c>
      <c r="AA46">
        <v>7.5831258964214987</v>
      </c>
      <c r="AB46">
        <v>5.6404284334212553</v>
      </c>
      <c r="AC46">
        <v>4.2847611036187052</v>
      </c>
      <c r="AD46">
        <v>1.8638032715062769</v>
      </c>
      <c r="AE46">
        <v>9.6829547311651432</v>
      </c>
      <c r="AF46">
        <v>6.9433062653657371</v>
      </c>
      <c r="AG46">
        <v>6.9306861720651494</v>
      </c>
      <c r="AH46">
        <v>1.0495182379038379</v>
      </c>
      <c r="AI46">
        <v>-0.80587969827806039</v>
      </c>
      <c r="AJ46">
        <v>1.683348498634796</v>
      </c>
      <c r="AK46">
        <v>4.2313838286996761</v>
      </c>
      <c r="AL46">
        <v>2.1647145397675409</v>
      </c>
      <c r="AM46">
        <v>26.08157199471616</v>
      </c>
      <c r="AN46">
        <v>14.295069085194459</v>
      </c>
      <c r="AO46">
        <v>2.4808066918755109</v>
      </c>
      <c r="AP46">
        <v>4.0208333333330577</v>
      </c>
      <c r="AQ46">
        <v>4.6114475951537237</v>
      </c>
      <c r="AR46">
        <v>0.70237580595596094</v>
      </c>
      <c r="AS46">
        <v>2.5307751673799692</v>
      </c>
      <c r="AT46">
        <v>4.3615291400725642</v>
      </c>
      <c r="AU46">
        <v>3.077264851574272</v>
      </c>
      <c r="AV46">
        <v>3.2968074697420802</v>
      </c>
      <c r="AW46">
        <v>1.4579883560074141</v>
      </c>
      <c r="AX46">
        <v>3.8858303988648188</v>
      </c>
      <c r="AY46">
        <v>2.4671914859691482</v>
      </c>
      <c r="AZ46">
        <v>1.8920062934959789</v>
      </c>
      <c r="BA46">
        <v>6.3085276915257813</v>
      </c>
      <c r="BB46">
        <v>1.019504577311376</v>
      </c>
      <c r="BC46">
        <v>1.226456121354798</v>
      </c>
      <c r="BD46">
        <v>4.9124339505245</v>
      </c>
      <c r="BE46">
        <v>1.304511199156063</v>
      </c>
      <c r="BF46">
        <v>2.581170372529356</v>
      </c>
      <c r="BG46">
        <v>0.44868207676614119</v>
      </c>
      <c r="BH46">
        <v>1.251499547814676</v>
      </c>
      <c r="BI46">
        <v>0.72317845751330811</v>
      </c>
      <c r="BJ46">
        <v>0.68588106530460313</v>
      </c>
      <c r="BK46">
        <v>0.40129781726354702</v>
      </c>
      <c r="BL46">
        <v>0.79085551205366067</v>
      </c>
      <c r="BM46">
        <v>2.4125261718905291</v>
      </c>
      <c r="BN46">
        <v>4.1591965791179764</v>
      </c>
      <c r="BO46">
        <v>5.2335285610084252</v>
      </c>
      <c r="BP46">
        <v>4.3697225486747424</v>
      </c>
      <c r="BQ46">
        <v>3.4505302813101881</v>
      </c>
    </row>
    <row r="47" spans="1:69" x14ac:dyDescent="0.25">
      <c r="A47" t="s">
        <v>1128</v>
      </c>
      <c r="B47" t="s">
        <v>1129</v>
      </c>
      <c r="C47" t="s">
        <v>1575</v>
      </c>
      <c r="D47" t="s">
        <v>1576</v>
      </c>
      <c r="N47">
        <v>-1.1015911872741011</v>
      </c>
      <c r="O47">
        <v>5.8580858085174041</v>
      </c>
      <c r="P47">
        <v>4.0140296180985651</v>
      </c>
      <c r="Q47">
        <v>8.0929186957962109</v>
      </c>
      <c r="R47">
        <v>10.38474870038392</v>
      </c>
      <c r="S47">
        <v>17.232933492330609</v>
      </c>
      <c r="T47">
        <v>13.55332940512621</v>
      </c>
      <c r="U47">
        <v>9.9306505636972453</v>
      </c>
      <c r="V47">
        <v>14.698309158155361</v>
      </c>
      <c r="W47">
        <v>12.46305234417868</v>
      </c>
      <c r="X47">
        <v>6.5806108190271599</v>
      </c>
      <c r="Y47">
        <v>9.5517542764286638</v>
      </c>
      <c r="Z47">
        <v>10.72750000000042</v>
      </c>
      <c r="AA47">
        <v>13.25701986107039</v>
      </c>
      <c r="AB47">
        <v>16.6312264100787</v>
      </c>
      <c r="AC47">
        <v>11.37332209029373</v>
      </c>
      <c r="AD47">
        <v>8.508374343915948</v>
      </c>
      <c r="AE47">
        <v>7.7700249870353222</v>
      </c>
      <c r="AF47">
        <v>13.140499844701001</v>
      </c>
      <c r="AG47">
        <v>1.6823326077120959</v>
      </c>
      <c r="AH47">
        <v>-1.6655258955054371</v>
      </c>
      <c r="AI47">
        <v>1.0993812838360839</v>
      </c>
      <c r="AJ47">
        <v>6.0051330500345487E-2</v>
      </c>
      <c r="AK47">
        <v>-1.6055045871741822E-2</v>
      </c>
      <c r="AL47">
        <v>-3.2065545691586799</v>
      </c>
      <c r="AM47">
        <v>35.094461845946412</v>
      </c>
      <c r="AN47">
        <v>9.0696907192150906</v>
      </c>
      <c r="AO47">
        <v>3.9240637274979822</v>
      </c>
      <c r="AP47">
        <v>4.7862388186037554</v>
      </c>
      <c r="AQ47">
        <v>3.1707518538690662</v>
      </c>
      <c r="AR47">
        <v>1.8717450067200849</v>
      </c>
      <c r="AS47">
        <v>1.227190129761323</v>
      </c>
      <c r="AT47">
        <v>4.4197724588114582</v>
      </c>
      <c r="AU47">
        <v>2.8344226012806679</v>
      </c>
      <c r="AV47">
        <v>0.62316355737431639</v>
      </c>
      <c r="AW47">
        <v>0.23364738006758351</v>
      </c>
      <c r="AX47">
        <v>2.013539501759865</v>
      </c>
      <c r="AY47">
        <v>5.117578160194693</v>
      </c>
      <c r="AZ47">
        <v>0.92140224565009543</v>
      </c>
      <c r="BA47">
        <v>5.3378062762749847</v>
      </c>
      <c r="BB47">
        <v>3.0436184793999912</v>
      </c>
      <c r="BC47">
        <v>1.2753804624233831</v>
      </c>
      <c r="BD47">
        <v>2.9396994630509101</v>
      </c>
      <c r="BE47">
        <v>2.7352967752953932</v>
      </c>
      <c r="BF47">
        <v>2.050347180017408</v>
      </c>
      <c r="BG47">
        <v>1.854898503667769</v>
      </c>
      <c r="BH47">
        <v>2.6762353141989959</v>
      </c>
      <c r="BI47">
        <v>0.87419038328885601</v>
      </c>
      <c r="BJ47">
        <v>0.64040914988195019</v>
      </c>
      <c r="BK47">
        <v>1.068858113129201</v>
      </c>
      <c r="BL47">
        <v>2.4528021406273242</v>
      </c>
      <c r="BM47">
        <v>2.4376088218223639</v>
      </c>
      <c r="BN47">
        <v>2.2718576250363709</v>
      </c>
      <c r="BO47">
        <v>6.2476771334386116</v>
      </c>
      <c r="BP47">
        <v>7.3828138428098367</v>
      </c>
      <c r="BQ47">
        <v>4.5333134971160636</v>
      </c>
    </row>
    <row r="48" spans="1:69" x14ac:dyDescent="0.25">
      <c r="A48" t="s">
        <v>1130</v>
      </c>
      <c r="B48" t="s">
        <v>1131</v>
      </c>
      <c r="C48" t="s">
        <v>1575</v>
      </c>
      <c r="D48" t="s">
        <v>1576</v>
      </c>
      <c r="I48">
        <v>35.421064977788298</v>
      </c>
      <c r="J48">
        <v>-2.726980277629155</v>
      </c>
      <c r="K48">
        <v>15.780101249114081</v>
      </c>
      <c r="L48">
        <v>36.926524872831848</v>
      </c>
      <c r="M48">
        <v>53.321672710773868</v>
      </c>
      <c r="N48">
        <v>6.1761957352231374</v>
      </c>
      <c r="O48">
        <v>8.0252840454848684</v>
      </c>
      <c r="P48">
        <v>5.7773498259651621</v>
      </c>
      <c r="Q48">
        <v>15.804215390795051</v>
      </c>
      <c r="R48">
        <v>15.642762123819381</v>
      </c>
      <c r="S48">
        <v>29.46928104599451</v>
      </c>
      <c r="T48">
        <v>28.657970195226831</v>
      </c>
      <c r="U48">
        <v>80.385959075414036</v>
      </c>
      <c r="V48">
        <v>68.947708198999734</v>
      </c>
      <c r="W48">
        <v>48.769037611520247</v>
      </c>
      <c r="X48">
        <v>101.0512604114971</v>
      </c>
      <c r="Y48">
        <v>46.625906830330841</v>
      </c>
      <c r="Z48">
        <v>35.408264874429392</v>
      </c>
      <c r="AA48">
        <v>36.69969757409141</v>
      </c>
      <c r="AB48">
        <v>76.526697666265846</v>
      </c>
      <c r="AC48">
        <v>52.227011357320848</v>
      </c>
      <c r="AD48">
        <v>23.82078452133495</v>
      </c>
      <c r="AE48">
        <v>44.4</v>
      </c>
      <c r="AF48">
        <v>78.670360110803259</v>
      </c>
      <c r="AG48">
        <v>71.091731266150319</v>
      </c>
      <c r="AH48">
        <v>104.0652294282603</v>
      </c>
      <c r="AI48">
        <v>81.295404814004002</v>
      </c>
      <c r="AJ48">
        <v>2154.4368271134072</v>
      </c>
      <c r="AK48">
        <v>4129.1698566155828</v>
      </c>
      <c r="AL48">
        <v>1986.904761904759</v>
      </c>
      <c r="AM48">
        <v>23773.13177410157</v>
      </c>
      <c r="AN48">
        <v>541.90888323902686</v>
      </c>
      <c r="AO48">
        <v>492.44185023541411</v>
      </c>
      <c r="AP48">
        <v>198.51670741646271</v>
      </c>
      <c r="AQ48">
        <v>29.14880692366523</v>
      </c>
      <c r="AR48">
        <v>284.89497591408679</v>
      </c>
      <c r="AS48">
        <v>513.90684374753539</v>
      </c>
      <c r="AT48">
        <v>359.93661426458578</v>
      </c>
      <c r="AU48">
        <v>31.522582602549519</v>
      </c>
      <c r="AV48">
        <v>12.873965718740481</v>
      </c>
      <c r="AW48">
        <v>3.9943840081597082</v>
      </c>
      <c r="AX48">
        <v>21.316816722934082</v>
      </c>
      <c r="AY48">
        <v>13.052694974510111</v>
      </c>
      <c r="AZ48">
        <v>16.945100654194992</v>
      </c>
      <c r="BA48">
        <v>17.30138457001566</v>
      </c>
      <c r="BB48">
        <v>2.7999999999998169</v>
      </c>
      <c r="BC48">
        <v>7.1000000000003709</v>
      </c>
      <c r="BD48">
        <v>15.316515913949001</v>
      </c>
      <c r="BE48">
        <v>9.7218280627336426</v>
      </c>
      <c r="BF48">
        <v>0.80822310148711063</v>
      </c>
      <c r="BG48">
        <v>1.243038897608026</v>
      </c>
      <c r="BH48">
        <v>0.74419899478147</v>
      </c>
      <c r="BI48">
        <v>2.8858510728998841</v>
      </c>
    </row>
    <row r="49" spans="1:69" x14ac:dyDescent="0.25">
      <c r="A49" t="s">
        <v>1132</v>
      </c>
      <c r="B49" t="s">
        <v>1133</v>
      </c>
      <c r="C49" t="s">
        <v>1575</v>
      </c>
      <c r="D49" t="s">
        <v>1576</v>
      </c>
      <c r="AE49">
        <v>4.1581108829567839</v>
      </c>
      <c r="AF49">
        <v>0.44356826022684442</v>
      </c>
      <c r="AG49">
        <v>1.030421982335505</v>
      </c>
      <c r="AH49">
        <v>-1.796988829528847</v>
      </c>
      <c r="AI49">
        <v>2.8890537421694669</v>
      </c>
      <c r="AJ49">
        <v>-1.678349689565368</v>
      </c>
      <c r="AK49">
        <v>-3.9354681007088148</v>
      </c>
      <c r="AL49">
        <v>4.9236641221374331</v>
      </c>
      <c r="AM49">
        <v>42.439675033345232</v>
      </c>
      <c r="AN49">
        <v>9.4180074345222753</v>
      </c>
      <c r="AO49">
        <v>10.03112033195028</v>
      </c>
      <c r="AR49">
        <v>4.1426713728404847</v>
      </c>
      <c r="AS49">
        <v>-0.88199151702543088</v>
      </c>
      <c r="AT49">
        <v>5.5989921814058291E-2</v>
      </c>
      <c r="AU49">
        <v>4.3787597178087259</v>
      </c>
      <c r="AV49">
        <v>-0.63184498736315597</v>
      </c>
      <c r="AW49">
        <v>2.429766079617993</v>
      </c>
      <c r="AX49">
        <v>3.0944901145618182</v>
      </c>
      <c r="AY49">
        <v>6.537843952996039</v>
      </c>
      <c r="AZ49">
        <v>2.6546464506070251</v>
      </c>
      <c r="BA49">
        <v>4.9587509202315188</v>
      </c>
      <c r="BB49">
        <v>4.4150037479522322</v>
      </c>
      <c r="BC49">
        <v>0.39152501122761207</v>
      </c>
      <c r="BD49">
        <v>1.7595870427380309</v>
      </c>
      <c r="BE49">
        <v>5.0101877313447103</v>
      </c>
      <c r="BF49">
        <v>4.6316161972946128</v>
      </c>
      <c r="BG49">
        <v>0.91213954545009746</v>
      </c>
      <c r="BH49">
        <v>3.1690979675082942</v>
      </c>
      <c r="BI49">
        <v>3.190561797237732</v>
      </c>
      <c r="BJ49">
        <v>0.45006382328554639</v>
      </c>
      <c r="BK49">
        <v>1.1527789637552319</v>
      </c>
      <c r="BL49">
        <v>2.2060730578152521</v>
      </c>
      <c r="BM49">
        <v>1.7953714708310751</v>
      </c>
      <c r="BN49">
        <v>1.715642754512603</v>
      </c>
      <c r="BO49">
        <v>3.043443346984775</v>
      </c>
      <c r="BP49">
        <v>4.3017456359101631</v>
      </c>
      <c r="BQ49">
        <v>3.0914363091916641</v>
      </c>
    </row>
    <row r="50" spans="1:69" x14ac:dyDescent="0.25">
      <c r="A50" t="s">
        <v>1134</v>
      </c>
      <c r="B50" t="s">
        <v>1135</v>
      </c>
      <c r="C50" t="s">
        <v>1575</v>
      </c>
      <c r="D50" t="s">
        <v>1576</v>
      </c>
      <c r="E50">
        <v>5.8140762820498617</v>
      </c>
      <c r="F50">
        <v>8.2831904564871603</v>
      </c>
      <c r="G50">
        <v>4.697093950624704</v>
      </c>
      <c r="H50">
        <v>26.355435525046651</v>
      </c>
      <c r="I50">
        <v>17.072435216455379</v>
      </c>
      <c r="J50">
        <v>7.5906836693158004</v>
      </c>
      <c r="K50">
        <v>16.72816827485979</v>
      </c>
      <c r="L50">
        <v>8.3281913642594763</v>
      </c>
      <c r="M50">
        <v>7.4475387831777038</v>
      </c>
      <c r="N50">
        <v>6.9816630795537513</v>
      </c>
      <c r="O50">
        <v>6.9086227584824069</v>
      </c>
      <c r="P50">
        <v>11.940261697921629</v>
      </c>
      <c r="Q50">
        <v>12.44445899077289</v>
      </c>
      <c r="R50">
        <v>22.529648678184259</v>
      </c>
      <c r="S50">
        <v>23.870957365669661</v>
      </c>
      <c r="T50">
        <v>23.43750256505545</v>
      </c>
      <c r="U50">
        <v>19.831224916793079</v>
      </c>
      <c r="V50">
        <v>33.802818357981977</v>
      </c>
      <c r="W50">
        <v>17.763159085346231</v>
      </c>
      <c r="X50">
        <v>24.13407574404555</v>
      </c>
      <c r="Y50">
        <v>26.552653149535601</v>
      </c>
      <c r="Z50">
        <v>27.453762434799319</v>
      </c>
      <c r="AA50">
        <v>24.720988252858529</v>
      </c>
      <c r="AB50">
        <v>19.597317062476471</v>
      </c>
      <c r="AC50">
        <v>16.161617136142631</v>
      </c>
      <c r="AD50">
        <v>24.090174368125041</v>
      </c>
      <c r="AE50">
        <v>18.842463161240591</v>
      </c>
      <c r="AF50">
        <v>23.302028364018049</v>
      </c>
      <c r="AG50">
        <v>28.10839697717039</v>
      </c>
      <c r="AH50">
        <v>25.867548083198759</v>
      </c>
      <c r="AI50">
        <v>29.152024597621541</v>
      </c>
      <c r="AJ50">
        <v>30.387820485443559</v>
      </c>
      <c r="AK50">
        <v>27.01062662313608</v>
      </c>
      <c r="AL50">
        <v>22.442482853327508</v>
      </c>
      <c r="AM50">
        <v>22.846241755304479</v>
      </c>
      <c r="AN50">
        <v>20.891793019484901</v>
      </c>
      <c r="AO50">
        <v>20.79757551274016</v>
      </c>
      <c r="AP50">
        <v>18.47002171190891</v>
      </c>
      <c r="AQ50">
        <v>18.67697992766719</v>
      </c>
      <c r="AR50">
        <v>10.87368708574707</v>
      </c>
      <c r="AS50">
        <v>9.2253481858536581</v>
      </c>
      <c r="AT50">
        <v>7.9655609030483401</v>
      </c>
      <c r="AU50">
        <v>6.3515072877887224</v>
      </c>
      <c r="AV50">
        <v>7.1297886294186021</v>
      </c>
      <c r="AW50">
        <v>5.904020055465022</v>
      </c>
      <c r="AX50">
        <v>5.0510196268969567</v>
      </c>
      <c r="AY50">
        <v>4.2934236362892664</v>
      </c>
      <c r="AZ50">
        <v>5.5443848581515551</v>
      </c>
      <c r="BA50">
        <v>6.9968849555451094</v>
      </c>
      <c r="BB50">
        <v>4.2025166121648159</v>
      </c>
      <c r="BC50">
        <v>2.2720022789200809</v>
      </c>
      <c r="BD50">
        <v>3.4150334477625002</v>
      </c>
      <c r="BE50">
        <v>3.169301888400553</v>
      </c>
      <c r="BF50">
        <v>2.0169922431038341</v>
      </c>
      <c r="BG50">
        <v>2.898837877617376</v>
      </c>
      <c r="BH50">
        <v>4.9898311584952992</v>
      </c>
      <c r="BI50">
        <v>7.513460246276745</v>
      </c>
      <c r="BJ50">
        <v>4.3143132569501068</v>
      </c>
      <c r="BK50">
        <v>3.2405693293056941</v>
      </c>
      <c r="BL50">
        <v>3.523019327414469</v>
      </c>
      <c r="BM50">
        <v>2.5266350008470622</v>
      </c>
      <c r="BN50">
        <v>3.4950575739944831</v>
      </c>
      <c r="BO50">
        <v>10.17723135461662</v>
      </c>
      <c r="BP50">
        <v>11.73590449486894</v>
      </c>
      <c r="BQ50">
        <v>6.6090859372822814</v>
      </c>
    </row>
    <row r="51" spans="1:69" x14ac:dyDescent="0.25">
      <c r="A51" t="s">
        <v>1136</v>
      </c>
      <c r="B51" t="s">
        <v>1137</v>
      </c>
      <c r="C51" t="s">
        <v>1575</v>
      </c>
      <c r="D51" t="s">
        <v>1576</v>
      </c>
      <c r="AT51">
        <v>5.5545939481681241</v>
      </c>
      <c r="AU51">
        <v>3.5330421430807761</v>
      </c>
      <c r="AV51">
        <v>3.7990813667190042</v>
      </c>
      <c r="AW51">
        <v>4.4749928907810652</v>
      </c>
      <c r="AX51">
        <v>3.0133239505812019</v>
      </c>
      <c r="AY51">
        <v>3.374363601212043</v>
      </c>
      <c r="AZ51">
        <v>4.4661671009813189</v>
      </c>
      <c r="BA51">
        <v>1.7007817628453039</v>
      </c>
      <c r="BB51">
        <v>4.3623482932571944</v>
      </c>
      <c r="BC51">
        <v>3.3547577032891942</v>
      </c>
      <c r="BD51">
        <v>1.8426630075618999</v>
      </c>
      <c r="BE51">
        <v>6.3147445031517737</v>
      </c>
      <c r="BF51">
        <v>-4.294873315367564</v>
      </c>
      <c r="BG51">
        <v>7.5475537909671129</v>
      </c>
      <c r="BH51">
        <v>-0.1171738841900699</v>
      </c>
      <c r="BI51">
        <v>0.79751743088848714</v>
      </c>
      <c r="BJ51">
        <v>-0.23736222415461339</v>
      </c>
      <c r="BK51">
        <v>2.1515508441303339</v>
      </c>
      <c r="BL51">
        <v>3.5821354446921112</v>
      </c>
      <c r="BM51">
        <v>0.78664192949915146</v>
      </c>
      <c r="BN51">
        <v>-4.4179368234698816E-3</v>
      </c>
      <c r="BO51">
        <v>12.532031457099871</v>
      </c>
      <c r="BP51">
        <v>8.3737395549099567</v>
      </c>
      <c r="BQ51">
        <v>5.0519260958821839</v>
      </c>
    </row>
    <row r="52" spans="1:69" x14ac:dyDescent="0.25">
      <c r="A52" t="s">
        <v>1138</v>
      </c>
      <c r="B52" t="s">
        <v>1139</v>
      </c>
      <c r="C52" t="s">
        <v>1575</v>
      </c>
      <c r="D52" t="s">
        <v>1576</v>
      </c>
      <c r="AC52">
        <v>11.24999999999971</v>
      </c>
      <c r="AD52">
        <v>5.3932584269663879</v>
      </c>
      <c r="AE52">
        <v>10.87420042643914</v>
      </c>
      <c r="AF52">
        <v>3.846153846154087</v>
      </c>
      <c r="AG52">
        <v>4.0740740740738444</v>
      </c>
      <c r="AH52">
        <v>4.5551601423488419</v>
      </c>
      <c r="AI52">
        <v>10.65350578624912</v>
      </c>
      <c r="AJ52">
        <v>9.5509074131036087</v>
      </c>
      <c r="AK52">
        <v>3.1166643268286092</v>
      </c>
      <c r="AL52">
        <v>5.7883959044369746</v>
      </c>
      <c r="AM52">
        <v>3.45205833010708</v>
      </c>
      <c r="AN52">
        <v>8.3515249797292714</v>
      </c>
      <c r="AO52">
        <v>5.9636196177757554</v>
      </c>
      <c r="AP52">
        <v>8.5560625814863371</v>
      </c>
      <c r="AQ52">
        <v>4.3942350998347726</v>
      </c>
      <c r="AR52">
        <v>4.3564337451045256</v>
      </c>
      <c r="AS52">
        <v>-2.4774566851983502</v>
      </c>
      <c r="AT52">
        <v>3.3499647231789438</v>
      </c>
      <c r="AU52">
        <v>1.884534100767649</v>
      </c>
      <c r="AV52">
        <v>1.188170386205281</v>
      </c>
      <c r="AW52">
        <v>-1.890821723061803</v>
      </c>
      <c r="AX52">
        <v>0.41889161285517013</v>
      </c>
      <c r="AY52">
        <v>5.3690768706554888</v>
      </c>
      <c r="AZ52">
        <v>4.4109970419348876</v>
      </c>
      <c r="BA52">
        <v>6.7744354637114288</v>
      </c>
      <c r="BB52">
        <v>0.99110348056808495</v>
      </c>
      <c r="BC52">
        <v>2.0786647090642392</v>
      </c>
      <c r="BD52">
        <v>4.473883421650231</v>
      </c>
      <c r="BE52">
        <v>2.5403964416710858</v>
      </c>
      <c r="BF52">
        <v>1.506542857014072</v>
      </c>
      <c r="BG52">
        <v>-0.23877814499062361</v>
      </c>
      <c r="BH52">
        <v>0.1311879990245447</v>
      </c>
      <c r="BI52">
        <v>-1.407816370917059</v>
      </c>
      <c r="BJ52">
        <v>0.78441525110133437</v>
      </c>
      <c r="BK52">
        <v>1.2569956669050919</v>
      </c>
      <c r="BL52">
        <v>1.1066667429606289</v>
      </c>
      <c r="BM52">
        <v>0.60579580839538549</v>
      </c>
      <c r="BN52">
        <v>1.8621529749464669</v>
      </c>
      <c r="BO52">
        <v>7.9309292543008718</v>
      </c>
      <c r="BP52">
        <v>3.7243751766874782</v>
      </c>
      <c r="BQ52">
        <v>1.0481700109196479</v>
      </c>
    </row>
    <row r="53" spans="1:69" x14ac:dyDescent="0.25">
      <c r="A53" t="s">
        <v>1140</v>
      </c>
      <c r="B53" t="s">
        <v>1141</v>
      </c>
      <c r="C53" t="s">
        <v>1575</v>
      </c>
      <c r="D53" t="s">
        <v>1576</v>
      </c>
      <c r="E53">
        <v>0.79020581796007372</v>
      </c>
      <c r="F53">
        <v>2.430793910091595</v>
      </c>
      <c r="G53">
        <v>2.6778596874278828</v>
      </c>
      <c r="H53">
        <v>2.9316184705135222</v>
      </c>
      <c r="I53">
        <v>3.32403316018127</v>
      </c>
      <c r="J53">
        <v>-0.66500000058340147</v>
      </c>
      <c r="K53">
        <v>0.1828828376215266</v>
      </c>
      <c r="L53">
        <v>1.208340311344247</v>
      </c>
      <c r="M53">
        <v>4.0938914310683634</v>
      </c>
      <c r="N53">
        <v>2.6293408365833169</v>
      </c>
      <c r="O53">
        <v>4.6522974930315426</v>
      </c>
      <c r="P53">
        <v>3.0830484140870689</v>
      </c>
      <c r="Q53">
        <v>4.6011256928085817</v>
      </c>
      <c r="R53">
        <v>15.21403422041821</v>
      </c>
      <c r="S53">
        <v>30.073629280363601</v>
      </c>
      <c r="T53">
        <v>17.369202022655191</v>
      </c>
      <c r="U53">
        <v>3.4858333329170632</v>
      </c>
      <c r="V53">
        <v>4.190240452616699</v>
      </c>
      <c r="W53">
        <v>6.0071270999490176</v>
      </c>
      <c r="X53">
        <v>9.1884104370097734</v>
      </c>
      <c r="Y53">
        <v>18.13517079607098</v>
      </c>
      <c r="Z53">
        <v>37.056341523951353</v>
      </c>
      <c r="AA53">
        <v>90.12133285041655</v>
      </c>
      <c r="AB53">
        <v>32.623708148783123</v>
      </c>
      <c r="AC53">
        <v>11.947427011886351</v>
      </c>
      <c r="AD53">
        <v>15.057419644575649</v>
      </c>
      <c r="AE53">
        <v>11.8350618936099</v>
      </c>
      <c r="AF53">
        <v>16.842420163039431</v>
      </c>
      <c r="AG53">
        <v>20.832533230920252</v>
      </c>
      <c r="AH53">
        <v>16.50980876873902</v>
      </c>
      <c r="AI53">
        <v>19.039752663564869</v>
      </c>
      <c r="AJ53">
        <v>28.709291370661781</v>
      </c>
      <c r="AK53">
        <v>21.791168790060961</v>
      </c>
      <c r="AL53">
        <v>9.778600782937767</v>
      </c>
      <c r="AM53">
        <v>13.53446872734272</v>
      </c>
      <c r="AN53">
        <v>23.186498110256728</v>
      </c>
      <c r="AO53">
        <v>17.511452481459148</v>
      </c>
      <c r="AP53">
        <v>13.248044079119129</v>
      </c>
      <c r="AQ53">
        <v>11.6592997742233</v>
      </c>
      <c r="AR53">
        <v>10.045281729249419</v>
      </c>
      <c r="AS53">
        <v>10.9615496593622</v>
      </c>
      <c r="AT53">
        <v>11.255615709117169</v>
      </c>
      <c r="AU53">
        <v>9.1675204850911882</v>
      </c>
      <c r="AV53">
        <v>9.4475809161698372</v>
      </c>
      <c r="AW53">
        <v>12.3148150178852</v>
      </c>
      <c r="AX53">
        <v>13.79829491089871</v>
      </c>
      <c r="AY53">
        <v>11.470596814905219</v>
      </c>
      <c r="AZ53">
        <v>9.3572445641715731</v>
      </c>
      <c r="BA53">
        <v>13.424463550728371</v>
      </c>
      <c r="BB53">
        <v>7.8427016770065352</v>
      </c>
      <c r="BC53">
        <v>5.6627570842002104</v>
      </c>
      <c r="BD53">
        <v>4.8779983097070208</v>
      </c>
      <c r="BE53">
        <v>4.4954531435460527</v>
      </c>
      <c r="BF53">
        <v>5.2313361417442836</v>
      </c>
      <c r="BG53">
        <v>4.5192009851695367</v>
      </c>
      <c r="BH53">
        <v>0.80198200509962314</v>
      </c>
      <c r="BI53">
        <v>-1.7478850590821739E-2</v>
      </c>
      <c r="BJ53">
        <v>1.6259069299173159</v>
      </c>
      <c r="BK53">
        <v>2.221114615265805</v>
      </c>
      <c r="BL53">
        <v>2.0960463532780702</v>
      </c>
      <c r="BM53">
        <v>0.72491147813137591</v>
      </c>
      <c r="BN53">
        <v>1.7264775510924131</v>
      </c>
      <c r="BO53">
        <v>8.2747749023265413</v>
      </c>
      <c r="BP53">
        <v>0.52519350869345538</v>
      </c>
      <c r="BQ53">
        <v>-0.41285300104706912</v>
      </c>
    </row>
    <row r="54" spans="1:69" x14ac:dyDescent="0.25">
      <c r="A54" t="s">
        <v>1142</v>
      </c>
      <c r="B54" t="s">
        <v>1143</v>
      </c>
      <c r="C54" t="s">
        <v>1575</v>
      </c>
      <c r="D54" t="s">
        <v>1576</v>
      </c>
      <c r="L54">
        <v>3.421027120271432</v>
      </c>
      <c r="M54">
        <v>4.9554752407276466</v>
      </c>
      <c r="N54">
        <v>5.0255102772815849</v>
      </c>
      <c r="O54">
        <v>6.7181548974928429</v>
      </c>
      <c r="P54">
        <v>4.1261889327771764</v>
      </c>
      <c r="Q54">
        <v>7.3556938040386033</v>
      </c>
      <c r="R54">
        <v>13.19070701563388</v>
      </c>
      <c r="S54">
        <v>28.122790749320469</v>
      </c>
      <c r="T54">
        <v>16.979060465689461</v>
      </c>
      <c r="U54">
        <v>10.069538030279499</v>
      </c>
      <c r="V54">
        <v>9.6173940102786553</v>
      </c>
      <c r="W54">
        <v>9.1529560014071496</v>
      </c>
      <c r="X54">
        <v>14.72217036899923</v>
      </c>
      <c r="Y54">
        <v>17.33888964165649</v>
      </c>
      <c r="Z54">
        <v>13.001172069871521</v>
      </c>
      <c r="AA54">
        <v>7.0336445748011549</v>
      </c>
      <c r="AB54">
        <v>4.7039524371787778</v>
      </c>
      <c r="AC54">
        <v>3.535822078123072</v>
      </c>
      <c r="AD54">
        <v>3.827542615735168</v>
      </c>
      <c r="AE54">
        <v>1.760163352975241</v>
      </c>
      <c r="AF54">
        <v>3.6681557704244478</v>
      </c>
      <c r="AG54">
        <v>3.569444444444537</v>
      </c>
      <c r="AH54">
        <v>5.2788115917368987</v>
      </c>
      <c r="AI54">
        <v>4.1392703530579471</v>
      </c>
      <c r="AJ54">
        <v>5.5245327021523281</v>
      </c>
      <c r="AK54">
        <v>5.3053616964450301</v>
      </c>
      <c r="AL54">
        <v>2.258879567021864</v>
      </c>
      <c r="AM54">
        <v>2.00580631724619</v>
      </c>
      <c r="AN54">
        <v>2.889615843721514</v>
      </c>
      <c r="AO54">
        <v>2.0865738516912149</v>
      </c>
      <c r="AP54">
        <v>2.436297154796736</v>
      </c>
      <c r="AQ54">
        <v>2.1952625003758999</v>
      </c>
      <c r="AR54">
        <v>2.0907288241617561</v>
      </c>
      <c r="AS54">
        <v>2.3088156083547888</v>
      </c>
      <c r="AT54">
        <v>2.602624023173107</v>
      </c>
      <c r="AU54">
        <v>2.1073344756415069</v>
      </c>
      <c r="AV54">
        <v>2.19518237141616</v>
      </c>
      <c r="AW54">
        <v>2.3543322214419562</v>
      </c>
      <c r="AX54">
        <v>3.604618051112102</v>
      </c>
      <c r="AY54">
        <v>3.4963141902431989</v>
      </c>
      <c r="AZ54">
        <v>3.946529526773618</v>
      </c>
      <c r="BA54">
        <v>7.2138521395018689</v>
      </c>
      <c r="BB54">
        <v>0.21390134837894201</v>
      </c>
      <c r="BC54">
        <v>3.310184747001383</v>
      </c>
      <c r="BD54">
        <v>3.3277655444746501</v>
      </c>
      <c r="BE54">
        <v>2.5046105908448162</v>
      </c>
      <c r="BF54">
        <v>1.083241681781494</v>
      </c>
      <c r="BG54">
        <v>1.145420609582064</v>
      </c>
      <c r="BH54">
        <v>-0.85270549703303877</v>
      </c>
      <c r="BI54">
        <v>0.40262169682495669</v>
      </c>
      <c r="BJ54">
        <v>1.699295704598395</v>
      </c>
      <c r="BK54">
        <v>1.207157933670076</v>
      </c>
      <c r="BL54">
        <v>1.000542930272373</v>
      </c>
      <c r="BM54">
        <v>0.1214346446148936</v>
      </c>
      <c r="BN54">
        <v>2.228913307003439</v>
      </c>
      <c r="BO54">
        <v>5.8283863851795878</v>
      </c>
      <c r="BP54">
        <v>4.4772086865128466</v>
      </c>
      <c r="BQ54">
        <v>2.5692189036772568</v>
      </c>
    </row>
    <row r="55" spans="1:69" x14ac:dyDescent="0.25">
      <c r="A55" t="s">
        <v>1144</v>
      </c>
      <c r="B55" t="s">
        <v>1145</v>
      </c>
      <c r="C55" t="s">
        <v>1575</v>
      </c>
      <c r="D55" t="s">
        <v>1576</v>
      </c>
    </row>
    <row r="56" spans="1:69" x14ac:dyDescent="0.25">
      <c r="A56" t="s">
        <v>1146</v>
      </c>
      <c r="B56" t="s">
        <v>1147</v>
      </c>
      <c r="C56" t="s">
        <v>1575</v>
      </c>
      <c r="D56" t="s">
        <v>1576</v>
      </c>
      <c r="AT56">
        <v>1.7928286852589641</v>
      </c>
      <c r="AU56">
        <v>0.39138943248532432</v>
      </c>
      <c r="AV56">
        <v>1.633713914415706</v>
      </c>
      <c r="AW56">
        <v>1.379121380947995</v>
      </c>
      <c r="AX56">
        <v>4.1171171171170764</v>
      </c>
      <c r="AY56">
        <v>3.114995240979499</v>
      </c>
      <c r="AZ56">
        <v>2.9957203994290822</v>
      </c>
      <c r="BA56">
        <v>6.8763239367776032</v>
      </c>
      <c r="BB56">
        <v>1.7533160542759529</v>
      </c>
      <c r="BC56">
        <v>2.779442613125866</v>
      </c>
      <c r="BD56">
        <v>2.3325315256216999</v>
      </c>
      <c r="BE56">
        <v>3.1839874634945469</v>
      </c>
      <c r="BF56">
        <v>1.3323208615211739</v>
      </c>
      <c r="BG56">
        <v>1.498739696164296</v>
      </c>
      <c r="BH56">
        <v>-0.47654204980140452</v>
      </c>
      <c r="BI56">
        <v>-4.720798489402929E-2</v>
      </c>
      <c r="BJ56">
        <v>1.585588017003446</v>
      </c>
      <c r="BK56">
        <v>2.5836875664181358</v>
      </c>
      <c r="BL56">
        <v>2.6222078342505868</v>
      </c>
    </row>
    <row r="57" spans="1:69" x14ac:dyDescent="0.25">
      <c r="A57" t="s">
        <v>1148</v>
      </c>
      <c r="B57" t="s">
        <v>1149</v>
      </c>
      <c r="C57" t="s">
        <v>1575</v>
      </c>
      <c r="D57" t="s">
        <v>1576</v>
      </c>
      <c r="BC57">
        <v>0.27614086175010832</v>
      </c>
      <c r="BD57">
        <v>1.3254357577966409</v>
      </c>
      <c r="BE57">
        <v>1.1889484524560781</v>
      </c>
      <c r="BF57">
        <v>2.1606114681339088</v>
      </c>
      <c r="BG57">
        <v>1.2739791153338751</v>
      </c>
      <c r="BH57">
        <v>-2.3475277016561522</v>
      </c>
      <c r="BI57">
        <v>-0.62525835861814016</v>
      </c>
    </row>
    <row r="58" spans="1:69" x14ac:dyDescent="0.25">
      <c r="A58" t="s">
        <v>1150</v>
      </c>
      <c r="B58" t="s">
        <v>1151</v>
      </c>
      <c r="C58" t="s">
        <v>1575</v>
      </c>
      <c r="D58" t="s">
        <v>1576</v>
      </c>
      <c r="E58">
        <v>0.82730093071394628</v>
      </c>
      <c r="F58">
        <v>-0.61538461538494582</v>
      </c>
      <c r="G58">
        <v>0.1031991744063117</v>
      </c>
      <c r="H58">
        <v>1.9587628865985089</v>
      </c>
      <c r="I58">
        <v>-0.30333670475253782</v>
      </c>
      <c r="J58">
        <v>0.20283975659441161</v>
      </c>
      <c r="K58">
        <v>0.50607287449888594</v>
      </c>
      <c r="L58">
        <v>0.70493454280659018</v>
      </c>
      <c r="M58">
        <v>3.7666666661669721</v>
      </c>
      <c r="N58">
        <v>2.3851590101302489</v>
      </c>
      <c r="O58">
        <v>2.400188250316909</v>
      </c>
      <c r="P58">
        <v>4.1440061282545484</v>
      </c>
      <c r="Q58">
        <v>4.8323036186564821</v>
      </c>
      <c r="R58">
        <v>7.8088823405225982</v>
      </c>
      <c r="S58">
        <v>16.1766666665001</v>
      </c>
      <c r="T58">
        <v>4.63948584046548</v>
      </c>
      <c r="U58">
        <v>3.8543897216272942</v>
      </c>
      <c r="V58">
        <v>7.3264604810132532</v>
      </c>
      <c r="W58">
        <v>7.436283298946587</v>
      </c>
      <c r="X58">
        <v>9.4637082951901963</v>
      </c>
      <c r="Y58">
        <v>13.51756057725833</v>
      </c>
      <c r="Z58">
        <v>10.744693608397659</v>
      </c>
      <c r="AA58">
        <v>6.4327972669368911</v>
      </c>
      <c r="AB58">
        <v>5.0497142410087816</v>
      </c>
      <c r="AC58">
        <v>5.991951110484437</v>
      </c>
      <c r="AD58">
        <v>5.0344536636479607</v>
      </c>
      <c r="AE58">
        <v>1.218369259676648</v>
      </c>
      <c r="AF58">
        <v>2.7916666666669689</v>
      </c>
      <c r="AG58">
        <v>3.4292663153628529</v>
      </c>
      <c r="AH58">
        <v>3.7654804828338988</v>
      </c>
      <c r="AI58">
        <v>4.5020546289584278</v>
      </c>
      <c r="AJ58">
        <v>5.0352743884810494</v>
      </c>
      <c r="AK58">
        <v>6.5102195306581798</v>
      </c>
      <c r="AL58">
        <v>4.8541666666669281</v>
      </c>
      <c r="AM58">
        <v>4.6985893105498002</v>
      </c>
      <c r="AN58">
        <v>2.6158178795633749</v>
      </c>
      <c r="AO58">
        <v>2.978924864812651</v>
      </c>
      <c r="AP58">
        <v>3.6053444436462838</v>
      </c>
      <c r="AQ58">
        <v>2.2277073265431602</v>
      </c>
      <c r="AR58">
        <v>1.6299999999999879</v>
      </c>
      <c r="AS58">
        <v>4.141657647020609</v>
      </c>
      <c r="AT58">
        <v>1.973041917299144</v>
      </c>
      <c r="AU58">
        <v>2.801155051807465</v>
      </c>
      <c r="AV58">
        <v>4.1390653868685812</v>
      </c>
      <c r="AW58">
        <v>2.2862170680167488</v>
      </c>
      <c r="AX58">
        <v>2.560161323302335</v>
      </c>
      <c r="AY58">
        <v>2.3046873297855499</v>
      </c>
      <c r="AZ58">
        <v>2.3726518366971909</v>
      </c>
      <c r="BA58">
        <v>4.6690084190248529</v>
      </c>
      <c r="BB58">
        <v>0.32627665224979358</v>
      </c>
      <c r="BC58">
        <v>2.4300408410225409</v>
      </c>
      <c r="BD58">
        <v>3.28944939564211</v>
      </c>
      <c r="BE58">
        <v>2.3890541004231669</v>
      </c>
      <c r="BF58">
        <v>-0.3993576764644256</v>
      </c>
      <c r="BG58">
        <v>-1.354988854463147</v>
      </c>
      <c r="BH58">
        <v>-2.096997690531103</v>
      </c>
      <c r="BI58">
        <v>-1.429166666666652</v>
      </c>
      <c r="BJ58">
        <v>0.53176649617446736</v>
      </c>
      <c r="BK58">
        <v>1.435491195317592</v>
      </c>
      <c r="BL58">
        <v>0.25037099675849322</v>
      </c>
      <c r="BM58">
        <v>-0.63842279797895884</v>
      </c>
      <c r="BN58">
        <v>2.4460886717547412</v>
      </c>
      <c r="BO58">
        <v>8.3954829799333446</v>
      </c>
      <c r="BP58">
        <v>3.5413418875166349</v>
      </c>
      <c r="BQ58">
        <v>1.800230186248152</v>
      </c>
    </row>
    <row r="59" spans="1:69" x14ac:dyDescent="0.25">
      <c r="A59" t="s">
        <v>1152</v>
      </c>
      <c r="B59" t="s">
        <v>1153</v>
      </c>
      <c r="C59" t="s">
        <v>1575</v>
      </c>
      <c r="D59" t="s">
        <v>1576</v>
      </c>
      <c r="AK59">
        <v>11.08650007222303</v>
      </c>
      <c r="AL59">
        <v>20.813029543842799</v>
      </c>
      <c r="AM59">
        <v>10.03942983514303</v>
      </c>
      <c r="AN59">
        <v>8.9905236147844487</v>
      </c>
      <c r="AO59">
        <v>8.7587747287811144</v>
      </c>
      <c r="AP59">
        <v>8.5961566671556309</v>
      </c>
      <c r="AQ59">
        <v>10.69836552748886</v>
      </c>
      <c r="AR59">
        <v>2.1354484441733121</v>
      </c>
      <c r="AS59">
        <v>3.775388291517344</v>
      </c>
      <c r="AT59">
        <v>4.6626755698825253</v>
      </c>
      <c r="AU59">
        <v>1.9029809701903171</v>
      </c>
      <c r="AV59">
        <v>0.11873920552679069</v>
      </c>
      <c r="AW59">
        <v>2.7601078167115709</v>
      </c>
      <c r="AX59">
        <v>1.8570978910921969</v>
      </c>
      <c r="AY59">
        <v>2.533992583436345</v>
      </c>
      <c r="AZ59">
        <v>2.8531243721117479</v>
      </c>
      <c r="BA59">
        <v>6.3586638015237327</v>
      </c>
      <c r="BB59">
        <v>1.019377353292318</v>
      </c>
      <c r="BC59">
        <v>1.47272727272722</v>
      </c>
      <c r="BD59">
        <v>1.9172191363555</v>
      </c>
      <c r="BE59">
        <v>3.2876230661041141</v>
      </c>
      <c r="BF59">
        <v>1.438297872340401</v>
      </c>
      <c r="BG59">
        <v>0.34398858964679391</v>
      </c>
      <c r="BH59">
        <v>0.3093645484949753</v>
      </c>
      <c r="BI59">
        <v>0.68350420938570255</v>
      </c>
      <c r="BJ59">
        <v>2.4505339846014031</v>
      </c>
      <c r="BK59">
        <v>2.1494949494949278</v>
      </c>
      <c r="BL59">
        <v>2.8478759591805001</v>
      </c>
      <c r="BM59">
        <v>3.161295284978014</v>
      </c>
      <c r="BN59">
        <v>3.839844915001462</v>
      </c>
      <c r="BO59">
        <v>15.100165146837149</v>
      </c>
      <c r="BP59">
        <v>10.66126013724263</v>
      </c>
      <c r="BQ59">
        <v>2.4353120243531432</v>
      </c>
    </row>
    <row r="60" spans="1:69" x14ac:dyDescent="0.25">
      <c r="A60" t="s">
        <v>1154</v>
      </c>
      <c r="B60" t="s">
        <v>1155</v>
      </c>
      <c r="C60" t="s">
        <v>1575</v>
      </c>
      <c r="D60" t="s">
        <v>1576</v>
      </c>
      <c r="E60">
        <v>1.536612342952014</v>
      </c>
      <c r="F60">
        <v>2.293695007008842</v>
      </c>
      <c r="G60">
        <v>2.8432701979906159</v>
      </c>
      <c r="H60">
        <v>2.9669597758771009</v>
      </c>
      <c r="I60">
        <v>2.3357358117783229</v>
      </c>
      <c r="J60">
        <v>3.2423192366813298</v>
      </c>
      <c r="K60">
        <v>3.5330603547768922</v>
      </c>
      <c r="L60">
        <v>1.796049922131749</v>
      </c>
      <c r="M60">
        <v>1.470289313277001</v>
      </c>
      <c r="N60">
        <v>1.912678487975956</v>
      </c>
      <c r="O60">
        <v>3.4502493636089491</v>
      </c>
      <c r="P60">
        <v>5.2409744827309437</v>
      </c>
      <c r="Q60">
        <v>5.4849331221432029</v>
      </c>
      <c r="R60">
        <v>7.0320239930389814</v>
      </c>
      <c r="S60">
        <v>6.9864310932749731</v>
      </c>
      <c r="T60">
        <v>5.910336263241045</v>
      </c>
      <c r="U60">
        <v>4.2466310229920934</v>
      </c>
      <c r="V60">
        <v>3.7341624063514698</v>
      </c>
      <c r="W60">
        <v>2.7186969612333889</v>
      </c>
      <c r="X60">
        <v>4.0436200647339904</v>
      </c>
      <c r="Y60">
        <v>5.4410575446034652</v>
      </c>
      <c r="Z60">
        <v>6.3442427774632542</v>
      </c>
      <c r="AA60">
        <v>5.2410450722842228</v>
      </c>
      <c r="AB60">
        <v>3.2934147430285359</v>
      </c>
      <c r="AC60">
        <v>2.4057933993195988</v>
      </c>
      <c r="AD60">
        <v>2.0662330121658048</v>
      </c>
      <c r="AE60">
        <v>-0.1294133608547422</v>
      </c>
      <c r="AF60">
        <v>0.24990610870502991</v>
      </c>
      <c r="AG60">
        <v>1.2741189400692341</v>
      </c>
      <c r="AH60">
        <v>2.7805695556975101</v>
      </c>
      <c r="AI60">
        <v>2.6964682429239231</v>
      </c>
      <c r="AJ60">
        <v>4.0470325975346642</v>
      </c>
      <c r="AK60">
        <v>5.0569779673173088</v>
      </c>
      <c r="AL60">
        <v>4.4745765075280808</v>
      </c>
      <c r="AM60">
        <v>2.6930563985495439</v>
      </c>
      <c r="AN60">
        <v>1.7061604131707631</v>
      </c>
      <c r="AO60">
        <v>1.449727019632387</v>
      </c>
      <c r="AP60">
        <v>1.9393719892272949</v>
      </c>
      <c r="AQ60">
        <v>0.91118353501440308</v>
      </c>
      <c r="AR60">
        <v>0.58543306423078323</v>
      </c>
      <c r="AS60">
        <v>1.4402683871974109</v>
      </c>
      <c r="AT60">
        <v>1.983857313344713</v>
      </c>
      <c r="AU60">
        <v>1.42080615551526</v>
      </c>
      <c r="AV60">
        <v>1.0342221862856209</v>
      </c>
      <c r="AW60">
        <v>1.6657369665599171</v>
      </c>
      <c r="AX60">
        <v>1.546911147513284</v>
      </c>
      <c r="AY60">
        <v>1.5774264284056301</v>
      </c>
      <c r="AZ60">
        <v>2.298344007009506</v>
      </c>
      <c r="BA60">
        <v>2.6283798163721932</v>
      </c>
      <c r="BB60">
        <v>0.3127390073684469</v>
      </c>
      <c r="BC60">
        <v>1.1038103778926049</v>
      </c>
      <c r="BD60">
        <v>2.0751728373587408</v>
      </c>
      <c r="BE60">
        <v>2.0084888478295619</v>
      </c>
      <c r="BF60">
        <v>1.504723302518763</v>
      </c>
      <c r="BG60">
        <v>0.90679400043424585</v>
      </c>
      <c r="BH60">
        <v>0.51442613712545615</v>
      </c>
      <c r="BI60">
        <v>0.49174700844517449</v>
      </c>
      <c r="BJ60">
        <v>1.5094948510962829</v>
      </c>
      <c r="BK60">
        <v>1.732168797669418</v>
      </c>
      <c r="BL60">
        <v>1.4456597688825339</v>
      </c>
      <c r="BM60">
        <v>0.1448779258139819</v>
      </c>
      <c r="BN60">
        <v>3.0666666666667299</v>
      </c>
      <c r="BO60">
        <v>6.8725743855109682</v>
      </c>
      <c r="BP60">
        <v>5.9464366772582347</v>
      </c>
      <c r="BQ60">
        <v>2.2564981433876019</v>
      </c>
    </row>
    <row r="61" spans="1:69" x14ac:dyDescent="0.25">
      <c r="A61" t="s">
        <v>1156</v>
      </c>
      <c r="B61" t="s">
        <v>1157</v>
      </c>
      <c r="C61" t="s">
        <v>1575</v>
      </c>
      <c r="D61" t="s">
        <v>1576</v>
      </c>
      <c r="Y61">
        <v>12.058023572185551</v>
      </c>
      <c r="Z61">
        <v>5.7173678537411794</v>
      </c>
      <c r="AA61">
        <v>-2.4107142857234511</v>
      </c>
      <c r="AB61">
        <v>0.90184289635687442</v>
      </c>
      <c r="AC61">
        <v>1.8847150257842671</v>
      </c>
      <c r="AD61">
        <v>2.128902988480724</v>
      </c>
      <c r="AE61">
        <v>18.147633450986</v>
      </c>
      <c r="AF61">
        <v>4.0891164464121399</v>
      </c>
      <c r="AT61">
        <v>1.746652249854344</v>
      </c>
      <c r="AU61">
        <v>0.63761955366631995</v>
      </c>
      <c r="AV61">
        <v>1.981967346275447</v>
      </c>
      <c r="AW61">
        <v>3.1222620469935358</v>
      </c>
      <c r="AX61">
        <v>3.1049664014829799</v>
      </c>
      <c r="AY61">
        <v>3.4834069967786649</v>
      </c>
      <c r="AZ61">
        <v>4.9659765455330103</v>
      </c>
      <c r="BA61">
        <v>11.958620689655181</v>
      </c>
      <c r="BB61">
        <v>1.6754958728596381</v>
      </c>
      <c r="BC61">
        <v>3.9500787592388509</v>
      </c>
      <c r="BD61">
        <v>5.0687139477798997</v>
      </c>
      <c r="BE61">
        <v>3.7312095075688672</v>
      </c>
      <c r="BF61">
        <v>2.706032428721818</v>
      </c>
      <c r="BG61">
        <v>1.3418649434015739</v>
      </c>
      <c r="BH61">
        <v>-0.84738973397199624</v>
      </c>
      <c r="BI61">
        <v>2.7384120873875539</v>
      </c>
      <c r="BJ61">
        <v>0.56811211708480369</v>
      </c>
      <c r="BK61">
        <v>0.14797084987711021</v>
      </c>
      <c r="BL61">
        <v>3.319253727038272</v>
      </c>
      <c r="BM61">
        <v>1.777407838061702</v>
      </c>
      <c r="BN61">
        <v>1.181917753398017</v>
      </c>
      <c r="BO61">
        <v>5.1798084796706103</v>
      </c>
      <c r="BP61">
        <v>1.4950681651508779</v>
      </c>
      <c r="BQ61">
        <v>2.0765538795419931</v>
      </c>
    </row>
    <row r="62" spans="1:69" x14ac:dyDescent="0.25">
      <c r="A62" t="s">
        <v>1158</v>
      </c>
      <c r="B62" t="s">
        <v>1159</v>
      </c>
      <c r="C62" t="s">
        <v>1575</v>
      </c>
      <c r="D62" t="s">
        <v>1576</v>
      </c>
      <c r="L62">
        <v>0.95245654425542914</v>
      </c>
      <c r="M62">
        <v>5.3699190185796706</v>
      </c>
      <c r="N62">
        <v>4.2157886885082263</v>
      </c>
      <c r="O62">
        <v>12.393498961891391</v>
      </c>
      <c r="P62">
        <v>3.637406038871839</v>
      </c>
      <c r="Q62">
        <v>3.6879955745474762</v>
      </c>
      <c r="R62">
        <v>12.099116723085089</v>
      </c>
      <c r="S62">
        <v>34.376074252320301</v>
      </c>
      <c r="T62">
        <v>19.902788436940199</v>
      </c>
      <c r="U62">
        <v>10.902496266268621</v>
      </c>
      <c r="V62">
        <v>9.5036552520199429</v>
      </c>
      <c r="W62">
        <v>7.7125790583272682</v>
      </c>
      <c r="Z62">
        <v>13.2666874934914</v>
      </c>
      <c r="AA62">
        <v>4.3945940976373761</v>
      </c>
      <c r="AB62">
        <v>4.1479524438573208</v>
      </c>
      <c r="AC62">
        <v>2.2179942499574001</v>
      </c>
      <c r="AD62">
        <v>3.739979980642397</v>
      </c>
      <c r="AE62">
        <v>2.7742336767570599</v>
      </c>
      <c r="AF62">
        <v>4.0245804334163484</v>
      </c>
      <c r="AG62">
        <v>2.9245916312374138</v>
      </c>
      <c r="AH62">
        <v>6.2185214977785934</v>
      </c>
      <c r="AI62">
        <v>3.1909232322682102</v>
      </c>
      <c r="AJ62">
        <v>5.5570615342913214</v>
      </c>
      <c r="AK62">
        <v>5.4718255934417783</v>
      </c>
      <c r="AL62">
        <v>1.56902604224498</v>
      </c>
      <c r="AM62">
        <v>1.513673517442273E-2</v>
      </c>
      <c r="AN62">
        <v>1.317537457749697</v>
      </c>
      <c r="AO62">
        <v>1.677164504859133</v>
      </c>
      <c r="AP62">
        <v>2.436297154796736</v>
      </c>
      <c r="AQ62">
        <v>0.99914745791074844</v>
      </c>
      <c r="AR62">
        <v>1.1794778739417491</v>
      </c>
      <c r="AS62">
        <v>0.85694680535848278</v>
      </c>
      <c r="AT62">
        <v>1.3038940346596</v>
      </c>
      <c r="AU62">
        <v>0.17005533019768121</v>
      </c>
      <c r="AV62">
        <v>1.4533680043725079</v>
      </c>
      <c r="AW62">
        <v>2.3941098205029849</v>
      </c>
      <c r="AX62">
        <v>1.681900798775527</v>
      </c>
      <c r="AY62">
        <v>2.2023913263166981</v>
      </c>
      <c r="AZ62">
        <v>3.6322212931782061</v>
      </c>
      <c r="BA62">
        <v>6.3599218333629501</v>
      </c>
      <c r="BB62">
        <v>6.2635710706685898E-3</v>
      </c>
      <c r="BC62">
        <v>2.9993663054900011</v>
      </c>
      <c r="BD62">
        <v>1.1312313652648001</v>
      </c>
      <c r="BE62">
        <v>1.3567714780885951</v>
      </c>
      <c r="BF62">
        <v>-4.6411646880599157E-2</v>
      </c>
      <c r="BG62">
        <v>0.79925037268749233</v>
      </c>
      <c r="BH62">
        <v>-0.84382698463832995</v>
      </c>
      <c r="BI62">
        <v>0.1418162257323122</v>
      </c>
      <c r="BJ62">
        <v>0.29625288927948679</v>
      </c>
      <c r="BK62">
        <v>0.98919111918988967</v>
      </c>
      <c r="BL62">
        <v>1.504623538581412</v>
      </c>
      <c r="BM62">
        <v>1.2202644224247641</v>
      </c>
      <c r="BN62">
        <v>2.228913307003439</v>
      </c>
      <c r="BO62">
        <v>2.8849022682935321</v>
      </c>
      <c r="BP62">
        <v>5.0867748315811188</v>
      </c>
      <c r="BQ62">
        <v>2.5692189036772568</v>
      </c>
    </row>
    <row r="63" spans="1:69" x14ac:dyDescent="0.25">
      <c r="A63" t="s">
        <v>1160</v>
      </c>
      <c r="B63" t="s">
        <v>1161</v>
      </c>
      <c r="C63" t="s">
        <v>1575</v>
      </c>
      <c r="D63" t="s">
        <v>1576</v>
      </c>
      <c r="E63">
        <v>1.2552301255292331</v>
      </c>
      <c r="F63">
        <v>3.4516285855782689</v>
      </c>
      <c r="G63">
        <v>7.3778195481846058</v>
      </c>
      <c r="H63">
        <v>6.1050328230293127</v>
      </c>
      <c r="I63">
        <v>3.0927835051544941</v>
      </c>
      <c r="J63">
        <v>5.4499999992505064</v>
      </c>
      <c r="K63">
        <v>7.0649596965881489</v>
      </c>
      <c r="L63">
        <v>8.2078535584401404</v>
      </c>
      <c r="M63">
        <v>8.0052071036646737</v>
      </c>
      <c r="N63">
        <v>3.487919243951934</v>
      </c>
      <c r="O63">
        <v>6.5148414165298059</v>
      </c>
      <c r="P63">
        <v>5.8698695907190963</v>
      </c>
      <c r="Q63">
        <v>6.5623609025653584</v>
      </c>
      <c r="R63">
        <v>9.3033829797367336</v>
      </c>
      <c r="S63">
        <v>15.275206221839451</v>
      </c>
      <c r="T63">
        <v>9.6056120753867553</v>
      </c>
      <c r="U63">
        <v>9.0102908356222393</v>
      </c>
      <c r="V63">
        <v>10.92223781003293</v>
      </c>
      <c r="W63">
        <v>10.21365457104045</v>
      </c>
      <c r="X63">
        <v>9.6110503790712194</v>
      </c>
      <c r="Y63">
        <v>12.305324076018159</v>
      </c>
      <c r="Z63">
        <v>11.767387434418129</v>
      </c>
      <c r="AA63">
        <v>10.120825677982349</v>
      </c>
      <c r="AB63">
        <v>6.9082288115884189</v>
      </c>
      <c r="AC63">
        <v>6.2907793602377122</v>
      </c>
      <c r="AD63">
        <v>4.678751451832504</v>
      </c>
      <c r="AE63">
        <v>3.6781841186345239</v>
      </c>
      <c r="AF63">
        <v>4.0199934568316298</v>
      </c>
      <c r="AG63">
        <v>4.5351330101571978</v>
      </c>
      <c r="AH63">
        <v>4.7727234243552248</v>
      </c>
      <c r="AI63">
        <v>2.6416030638199981</v>
      </c>
      <c r="AJ63">
        <v>2.3951533172441501</v>
      </c>
      <c r="AK63">
        <v>2.0960444293321681</v>
      </c>
      <c r="AL63">
        <v>1.2578566795325901</v>
      </c>
      <c r="AM63">
        <v>1.9920146380952559</v>
      </c>
      <c r="AN63">
        <v>2.0836084238284611</v>
      </c>
      <c r="AO63">
        <v>2.1262980227558419</v>
      </c>
      <c r="AP63">
        <v>2.1821667790711619</v>
      </c>
      <c r="AQ63">
        <v>1.845651220078887</v>
      </c>
      <c r="AR63">
        <v>2.4977954440453018</v>
      </c>
      <c r="AS63">
        <v>2.9032820323645252</v>
      </c>
      <c r="AT63">
        <v>2.3378700025526151</v>
      </c>
      <c r="AU63">
        <v>2.42443661219697</v>
      </c>
      <c r="AV63">
        <v>2.0750782064650739</v>
      </c>
      <c r="AW63">
        <v>1.1543569312493189</v>
      </c>
      <c r="AX63">
        <v>1.8178145829125441</v>
      </c>
      <c r="AY63">
        <v>1.9242213846459411</v>
      </c>
      <c r="AZ63">
        <v>1.6932658622031529</v>
      </c>
      <c r="BA63">
        <v>3.416267942583731</v>
      </c>
      <c r="BB63">
        <v>1.304709910243369</v>
      </c>
      <c r="BC63">
        <v>2.3109243697478852</v>
      </c>
      <c r="BD63">
        <v>2.7586822605124999</v>
      </c>
      <c r="BE63">
        <v>2.3979148566464019</v>
      </c>
      <c r="BF63">
        <v>0.78907178007806222</v>
      </c>
      <c r="BG63">
        <v>0.56402054044954031</v>
      </c>
      <c r="BH63">
        <v>0.4520341536915749</v>
      </c>
      <c r="BI63">
        <v>0.25000000000003131</v>
      </c>
      <c r="BJ63">
        <v>1.147132169576017</v>
      </c>
      <c r="BK63">
        <v>0.81360946745563112</v>
      </c>
      <c r="BL63">
        <v>0.75813157251162011</v>
      </c>
      <c r="BM63">
        <v>0.42071197411011518</v>
      </c>
      <c r="BN63">
        <v>1.853045439896803</v>
      </c>
      <c r="BO63">
        <v>7.6965669988925969</v>
      </c>
      <c r="BP63">
        <v>3.3051781123760571</v>
      </c>
      <c r="BQ63">
        <v>1.3722004976891791</v>
      </c>
    </row>
    <row r="64" spans="1:69" x14ac:dyDescent="0.25">
      <c r="A64" t="s">
        <v>1162</v>
      </c>
      <c r="B64" t="s">
        <v>1163</v>
      </c>
      <c r="C64" t="s">
        <v>1575</v>
      </c>
      <c r="D64" t="s">
        <v>1576</v>
      </c>
      <c r="E64">
        <v>-3.5621917997605461</v>
      </c>
      <c r="F64">
        <v>-3.9000000009998832</v>
      </c>
      <c r="G64">
        <v>9.1571279917706647</v>
      </c>
      <c r="H64">
        <v>8.5795996187662293</v>
      </c>
      <c r="I64">
        <v>2.1071115013354471</v>
      </c>
      <c r="J64">
        <v>-1.8916595013061019</v>
      </c>
      <c r="K64">
        <v>0.26292725679453938</v>
      </c>
      <c r="L64">
        <v>1.238344988719871</v>
      </c>
      <c r="M64">
        <v>3.5976399338231248E-2</v>
      </c>
      <c r="N64">
        <v>0.95662806617912555</v>
      </c>
      <c r="O64">
        <v>3.816666666417091</v>
      </c>
      <c r="P64">
        <v>3.580028896781311</v>
      </c>
      <c r="Q64">
        <v>8.6407315560757407</v>
      </c>
      <c r="R64">
        <v>15.079534916913881</v>
      </c>
      <c r="S64">
        <v>13.140767371485371</v>
      </c>
      <c r="T64">
        <v>14.501725743761581</v>
      </c>
      <c r="U64">
        <v>7.7655502392567737</v>
      </c>
      <c r="V64">
        <v>12.85352750542866</v>
      </c>
      <c r="W64">
        <v>3.4778503421217808</v>
      </c>
      <c r="X64">
        <v>9.1738051335144579</v>
      </c>
      <c r="Y64">
        <v>16.753135689710181</v>
      </c>
      <c r="Z64">
        <v>7.5146389069615731</v>
      </c>
      <c r="AA64">
        <v>7.6462430660614791</v>
      </c>
      <c r="AB64">
        <v>5.628623294489878</v>
      </c>
      <c r="AC64">
        <v>20.151678105353628</v>
      </c>
      <c r="AD64">
        <v>45.336175553217807</v>
      </c>
      <c r="AE64">
        <v>7.6389726657992991</v>
      </c>
      <c r="AF64">
        <v>13.55072378278224</v>
      </c>
      <c r="AG64">
        <v>43.863832351505273</v>
      </c>
      <c r="AH64">
        <v>40.657916117500491</v>
      </c>
      <c r="AI64">
        <v>50.462479237852413</v>
      </c>
      <c r="AJ64">
        <v>47.07915741053597</v>
      </c>
      <c r="AK64">
        <v>4.2590263889339228</v>
      </c>
      <c r="AL64">
        <v>5.2503388069097072</v>
      </c>
      <c r="AM64">
        <v>8.2607679857583403</v>
      </c>
      <c r="AN64">
        <v>12.535959455896259</v>
      </c>
      <c r="AO64">
        <v>5.3992938503892196</v>
      </c>
      <c r="AP64">
        <v>8.296567547920457</v>
      </c>
      <c r="AQ64">
        <v>4.8316655859189526</v>
      </c>
      <c r="AR64">
        <v>6.4705418684692821</v>
      </c>
      <c r="AS64">
        <v>7.7241356618161552</v>
      </c>
      <c r="AT64">
        <v>8.8830684881296058</v>
      </c>
      <c r="AU64">
        <v>5.223367697594469</v>
      </c>
      <c r="AV64">
        <v>27.449712739439491</v>
      </c>
      <c r="AW64">
        <v>51.460859833806524</v>
      </c>
      <c r="AX64">
        <v>4.1902026047205636</v>
      </c>
      <c r="AY64">
        <v>7.5728052385307363</v>
      </c>
      <c r="AZ64">
        <v>6.1435665524804737</v>
      </c>
      <c r="BA64">
        <v>10.644621095371191</v>
      </c>
      <c r="BB64">
        <v>1.4421513183435331</v>
      </c>
      <c r="BC64">
        <v>6.3299322014614621</v>
      </c>
      <c r="BD64">
        <v>5.7967680920653324</v>
      </c>
      <c r="BE64">
        <v>3.694497078847768</v>
      </c>
      <c r="BF64">
        <v>4.8309509674079996</v>
      </c>
      <c r="BG64">
        <v>2.998642261252189</v>
      </c>
      <c r="BH64">
        <v>0.83674634672455694</v>
      </c>
      <c r="BI64">
        <v>1.614166072452228</v>
      </c>
      <c r="BJ64">
        <v>3.2795569467854619</v>
      </c>
      <c r="BK64">
        <v>3.5644342601350751</v>
      </c>
      <c r="BL64">
        <v>1.8106037704295941</v>
      </c>
      <c r="BM64">
        <v>3.7810317991551652</v>
      </c>
      <c r="BN64">
        <v>8.2430034798180944</v>
      </c>
      <c r="BO64">
        <v>8.8110920927958691</v>
      </c>
      <c r="BP64">
        <v>4.7856128102113527</v>
      </c>
      <c r="BQ64">
        <v>3.3022333895122711</v>
      </c>
    </row>
    <row r="65" spans="1:69" x14ac:dyDescent="0.25">
      <c r="A65" t="s">
        <v>1164</v>
      </c>
      <c r="B65" t="s">
        <v>1165</v>
      </c>
      <c r="C65" t="s">
        <v>1575</v>
      </c>
      <c r="D65" t="s">
        <v>1576</v>
      </c>
      <c r="O65">
        <v>6.5999999990001719</v>
      </c>
      <c r="P65">
        <v>2.6266416510563482</v>
      </c>
      <c r="Q65">
        <v>3.6563071298323551</v>
      </c>
      <c r="R65">
        <v>6.1728395062271524</v>
      </c>
      <c r="S65">
        <v>4.69961240341694</v>
      </c>
      <c r="T65">
        <v>8.23031665265143</v>
      </c>
      <c r="U65">
        <v>9.4307354017455722</v>
      </c>
      <c r="V65">
        <v>11.989283322105029</v>
      </c>
      <c r="W65">
        <v>17.523923445503272</v>
      </c>
      <c r="X65">
        <v>11.348600508609129</v>
      </c>
      <c r="Y65">
        <v>9.5178244975496344</v>
      </c>
      <c r="Z65">
        <v>14.654842636063441</v>
      </c>
      <c r="AA65">
        <v>6.5425096300767303</v>
      </c>
      <c r="AB65">
        <v>5.9671639303272022</v>
      </c>
      <c r="AC65">
        <v>8.1163979551710046</v>
      </c>
      <c r="AD65">
        <v>10.482287044446711</v>
      </c>
      <c r="AE65">
        <v>12.371609165129881</v>
      </c>
      <c r="AF65">
        <v>7.4412609128724707</v>
      </c>
      <c r="AG65">
        <v>5.9115449637348867</v>
      </c>
      <c r="AH65">
        <v>9.3043612584316566</v>
      </c>
      <c r="AI65">
        <v>16.652534388543248</v>
      </c>
      <c r="AJ65">
        <v>25.886386934851348</v>
      </c>
      <c r="AK65">
        <v>31.669661911714901</v>
      </c>
      <c r="AL65">
        <v>20.54032612358267</v>
      </c>
      <c r="AM65">
        <v>29.047656117307149</v>
      </c>
      <c r="AN65">
        <v>29.77962648649989</v>
      </c>
      <c r="AO65">
        <v>18.67907586017494</v>
      </c>
      <c r="AP65">
        <v>5.7335227535718669</v>
      </c>
      <c r="AQ65">
        <v>4.9501616379311422</v>
      </c>
      <c r="AR65">
        <v>2.645511133927986</v>
      </c>
      <c r="AS65">
        <v>0.33916318907176812</v>
      </c>
      <c r="AT65">
        <v>4.2259883485467347</v>
      </c>
      <c r="AU65">
        <v>1.418301923450509</v>
      </c>
      <c r="AV65">
        <v>4.2689539583950049</v>
      </c>
      <c r="AW65">
        <v>3.961800302571874</v>
      </c>
      <c r="AX65">
        <v>1.3824465666211849</v>
      </c>
      <c r="AY65">
        <v>2.3114991851442368</v>
      </c>
      <c r="AZ65">
        <v>3.6789957474169919</v>
      </c>
      <c r="BA65">
        <v>4.858590628149388</v>
      </c>
      <c r="BB65">
        <v>5.7370603614562787</v>
      </c>
      <c r="BC65">
        <v>3.9110619553402799</v>
      </c>
      <c r="BD65">
        <v>4.5242115050527003</v>
      </c>
      <c r="BE65">
        <v>8.8914509106231723</v>
      </c>
      <c r="BF65">
        <v>3.2542391099884749</v>
      </c>
      <c r="BG65">
        <v>2.9169269206745798</v>
      </c>
      <c r="BH65">
        <v>4.7844470069388949</v>
      </c>
      <c r="BI65">
        <v>6.3976948026875693</v>
      </c>
      <c r="BJ65">
        <v>5.5911159096166392</v>
      </c>
      <c r="BK65">
        <v>4.2699902046708367</v>
      </c>
      <c r="BL65">
        <v>1.951768210528918</v>
      </c>
      <c r="BM65">
        <v>2.415130940834139</v>
      </c>
      <c r="BN65">
        <v>7.2260630741547738</v>
      </c>
      <c r="BO65">
        <v>9.2655155155155295</v>
      </c>
      <c r="BP65">
        <v>9.3221737592832241</v>
      </c>
      <c r="BQ65">
        <v>4.0461145531343421</v>
      </c>
    </row>
    <row r="66" spans="1:69" x14ac:dyDescent="0.25">
      <c r="A66" t="s">
        <v>1166</v>
      </c>
      <c r="B66" t="s">
        <v>1167</v>
      </c>
      <c r="C66" t="s">
        <v>1575</v>
      </c>
      <c r="D66" t="s">
        <v>1576</v>
      </c>
      <c r="V66">
        <v>7.6012668776903132</v>
      </c>
      <c r="W66">
        <v>6.2630480167015534</v>
      </c>
      <c r="X66">
        <v>7.8067582495211836</v>
      </c>
      <c r="Y66">
        <v>14.492874406452151</v>
      </c>
      <c r="Z66">
        <v>12.662993071021541</v>
      </c>
      <c r="AA66">
        <v>7.0315568938948454</v>
      </c>
      <c r="AB66">
        <v>6.7041839980141926</v>
      </c>
      <c r="AC66">
        <v>5.5164001084303971</v>
      </c>
      <c r="AD66">
        <v>4.724535185433977</v>
      </c>
      <c r="AE66">
        <v>5.4537521815008407</v>
      </c>
      <c r="AF66">
        <v>5.1748812732385847</v>
      </c>
      <c r="AG66">
        <v>9.3421268854720534</v>
      </c>
      <c r="AH66">
        <v>6.4625617114644447</v>
      </c>
      <c r="AI66">
        <v>8.1913713204097203</v>
      </c>
      <c r="AJ66">
        <v>6.9656812776075281</v>
      </c>
      <c r="AK66">
        <v>7.5235100624267748</v>
      </c>
      <c r="AL66">
        <v>5.7369058335739709</v>
      </c>
      <c r="AM66">
        <v>7.6582395390468658</v>
      </c>
      <c r="AN66">
        <v>5.8181818181819231</v>
      </c>
      <c r="AO66">
        <v>7.3134825933035303</v>
      </c>
      <c r="AP66">
        <v>5.6080284338985269</v>
      </c>
      <c r="AQ66">
        <v>8.6148315364729058</v>
      </c>
      <c r="AR66">
        <v>4.290728517238132</v>
      </c>
      <c r="AS66">
        <v>2.1585181061941912</v>
      </c>
      <c r="AT66">
        <v>4.2726702446510387</v>
      </c>
      <c r="AU66">
        <v>2.722772277227651</v>
      </c>
      <c r="AV66">
        <v>3.703697975284808</v>
      </c>
      <c r="AW66">
        <v>4.4267752578223902</v>
      </c>
      <c r="AX66">
        <v>5.5286115644648408</v>
      </c>
      <c r="AY66">
        <v>4.8663204883746092</v>
      </c>
      <c r="AZ66">
        <v>4.8167676737883447</v>
      </c>
      <c r="BA66">
        <v>10.22666632724826</v>
      </c>
      <c r="BB66">
        <v>4.2190305206462799</v>
      </c>
      <c r="BC66">
        <v>3.6890122967075829</v>
      </c>
      <c r="BD66">
        <v>5.2957322029550813</v>
      </c>
      <c r="BE66">
        <v>3.0269639112479632</v>
      </c>
      <c r="BF66">
        <v>2.9135419360400099</v>
      </c>
      <c r="BG66">
        <v>3.142990508790954</v>
      </c>
      <c r="BH66">
        <v>1.22393195511119</v>
      </c>
      <c r="BI66">
        <v>1.9173109023337771</v>
      </c>
      <c r="BJ66">
        <v>2.9126355737147782</v>
      </c>
      <c r="BK66">
        <v>3.1983475592499611</v>
      </c>
      <c r="BL66">
        <v>1.94257500833107</v>
      </c>
      <c r="BM66">
        <v>2.4062921438701128</v>
      </c>
      <c r="BN66">
        <v>2.698918595291977</v>
      </c>
      <c r="BO66">
        <v>5.3773490819398528</v>
      </c>
      <c r="BP66">
        <v>5.9780251554140929</v>
      </c>
      <c r="BQ66">
        <v>2.3184817288710828</v>
      </c>
    </row>
    <row r="67" spans="1:69" x14ac:dyDescent="0.25">
      <c r="A67" t="s">
        <v>1168</v>
      </c>
      <c r="B67" t="s">
        <v>1169</v>
      </c>
      <c r="C67" t="s">
        <v>1575</v>
      </c>
      <c r="D67" t="s">
        <v>1576</v>
      </c>
      <c r="K67">
        <v>4.4798106972310894</v>
      </c>
      <c r="L67">
        <v>1.977741546826663</v>
      </c>
      <c r="M67">
        <v>2.079221858136254</v>
      </c>
      <c r="N67">
        <v>2.9751392473964988</v>
      </c>
      <c r="O67">
        <v>3.812664907667902</v>
      </c>
      <c r="P67">
        <v>4.195298372654225</v>
      </c>
      <c r="Q67">
        <v>6.0749999995151116</v>
      </c>
      <c r="R67">
        <v>12.081939461293819</v>
      </c>
      <c r="S67">
        <v>19.0704733006475</v>
      </c>
      <c r="T67">
        <v>12.879181833834069</v>
      </c>
      <c r="U67">
        <v>10.12208407342246</v>
      </c>
      <c r="V67">
        <v>12.156931504102459</v>
      </c>
      <c r="W67">
        <v>9.3141836956082464</v>
      </c>
      <c r="X67">
        <v>11.542415572698809</v>
      </c>
      <c r="Y67">
        <v>14.68450277637684</v>
      </c>
      <c r="Z67">
        <v>12.41326137239799</v>
      </c>
      <c r="AA67">
        <v>10.22172713768915</v>
      </c>
      <c r="AB67">
        <v>10.24366335265448</v>
      </c>
      <c r="AC67">
        <v>8.4973714128197937</v>
      </c>
      <c r="AD67">
        <v>9.3533308127414934</v>
      </c>
      <c r="AE67">
        <v>10.437957993520691</v>
      </c>
      <c r="AF67">
        <v>9.7530031017099752</v>
      </c>
      <c r="AG67">
        <v>8.983003382089894</v>
      </c>
      <c r="AH67">
        <v>9.075624085378589</v>
      </c>
      <c r="AI67">
        <v>11.906054601038241</v>
      </c>
      <c r="AJ67">
        <v>15.05013077593698</v>
      </c>
      <c r="AK67">
        <v>10.52744401195922</v>
      </c>
      <c r="AL67">
        <v>9.9736647602920918</v>
      </c>
      <c r="AM67">
        <v>9.5932496396029592</v>
      </c>
      <c r="AN67">
        <v>10.022173355323879</v>
      </c>
      <c r="AO67">
        <v>8.5199519592533584</v>
      </c>
      <c r="AP67">
        <v>7.0182859986991319</v>
      </c>
      <c r="AQ67">
        <v>6.4207324297130057</v>
      </c>
      <c r="AR67">
        <v>5.0234434509461288</v>
      </c>
      <c r="AS67">
        <v>3.8995298028471241</v>
      </c>
      <c r="AT67">
        <v>3.7508205747201999</v>
      </c>
      <c r="AU67">
        <v>4.2402666068864523</v>
      </c>
      <c r="AV67">
        <v>5.4529322432720271</v>
      </c>
      <c r="AW67">
        <v>4.4352610841078173</v>
      </c>
      <c r="AX67">
        <v>4.8217005071285008</v>
      </c>
      <c r="AY67">
        <v>5.6871377260796567</v>
      </c>
      <c r="AZ67">
        <v>6.1778121480938788</v>
      </c>
      <c r="BA67">
        <v>10.44698751282229</v>
      </c>
      <c r="BB67">
        <v>4.3737676545593906</v>
      </c>
      <c r="BC67">
        <v>4.3974138315007023</v>
      </c>
      <c r="BD67">
        <v>5.8114922330028769</v>
      </c>
      <c r="BE67">
        <v>5.0182725423743131</v>
      </c>
      <c r="BF67">
        <v>4.8277870550516857</v>
      </c>
      <c r="BG67">
        <v>4.073929574762249</v>
      </c>
      <c r="BH67">
        <v>3.1290027447392541</v>
      </c>
      <c r="BI67">
        <v>3.5231731762847311</v>
      </c>
      <c r="BJ67">
        <v>3.3281733746129771</v>
      </c>
      <c r="BK67">
        <v>3.9756101574069391</v>
      </c>
      <c r="BL67">
        <v>2.7625201938611101</v>
      </c>
      <c r="BM67">
        <v>2.963549920760649</v>
      </c>
      <c r="BN67">
        <v>4.1267674444069504</v>
      </c>
      <c r="BO67">
        <v>7.1986161560986677</v>
      </c>
      <c r="BP67">
        <v>5.8858589704216406</v>
      </c>
      <c r="BQ67">
        <v>3.295896624519977</v>
      </c>
    </row>
    <row r="68" spans="1:69" x14ac:dyDescent="0.25">
      <c r="A68" t="s">
        <v>1170</v>
      </c>
      <c r="B68" t="s">
        <v>1171</v>
      </c>
      <c r="C68" t="s">
        <v>1575</v>
      </c>
      <c r="D68" t="s">
        <v>1576</v>
      </c>
      <c r="AF68">
        <v>4.6859877879249527</v>
      </c>
      <c r="AG68">
        <v>7.8873239436617952</v>
      </c>
      <c r="AH68">
        <v>6.4155407991636366</v>
      </c>
      <c r="AI68">
        <v>7.8191975650563474</v>
      </c>
      <c r="AJ68">
        <v>6.4973455598454741</v>
      </c>
      <c r="AK68">
        <v>6.2132814635518399</v>
      </c>
      <c r="AL68">
        <v>4.8875554526349969</v>
      </c>
      <c r="AM68">
        <v>5.649908939455127</v>
      </c>
      <c r="AN68">
        <v>4.6277665995975914</v>
      </c>
      <c r="AO68">
        <v>5.5248098601513593</v>
      </c>
      <c r="AP68">
        <v>3.727657601836321</v>
      </c>
      <c r="AQ68">
        <v>5.4910118038094211</v>
      </c>
      <c r="AR68">
        <v>1.9838242723418711</v>
      </c>
      <c r="AS68">
        <v>1.5919691746097151</v>
      </c>
      <c r="AT68">
        <v>3.5775545209507391</v>
      </c>
      <c r="AU68">
        <v>1.885720002403658</v>
      </c>
      <c r="AV68">
        <v>2.2891566265060712</v>
      </c>
      <c r="AW68">
        <v>3.237513940033208</v>
      </c>
      <c r="AX68">
        <v>3.0370233261701189</v>
      </c>
      <c r="AY68">
        <v>3.9361625992986609</v>
      </c>
      <c r="AZ68">
        <v>3.7640025918159572</v>
      </c>
      <c r="BA68">
        <v>8.3420863492095556</v>
      </c>
      <c r="BB68">
        <v>1.621730140034503</v>
      </c>
      <c r="BC68">
        <v>3.0573056396244249</v>
      </c>
      <c r="BD68">
        <v>5.0214601462072999</v>
      </c>
      <c r="BE68">
        <v>2.9746077981446781</v>
      </c>
      <c r="BF68">
        <v>2.582687661417947</v>
      </c>
      <c r="BG68">
        <v>2.5108763325370562</v>
      </c>
      <c r="BH68">
        <v>0.79527963057983919</v>
      </c>
      <c r="BI68">
        <v>1.2769909449732351</v>
      </c>
      <c r="BJ68">
        <v>1.800342224686206</v>
      </c>
      <c r="BK68">
        <v>2.3685490580669999</v>
      </c>
      <c r="BL68">
        <v>1.703978632362567</v>
      </c>
      <c r="BM68">
        <v>0.84690553745930475</v>
      </c>
      <c r="BN68">
        <v>2.477102414654468</v>
      </c>
      <c r="BO68">
        <v>5.345954409089039</v>
      </c>
      <c r="BP68">
        <v>5.2153692768155384</v>
      </c>
      <c r="BQ68">
        <v>2.355627261192796</v>
      </c>
    </row>
    <row r="69" spans="1:69" x14ac:dyDescent="0.25">
      <c r="A69" t="s">
        <v>1172</v>
      </c>
      <c r="B69" t="s">
        <v>1173</v>
      </c>
      <c r="C69" t="s">
        <v>1575</v>
      </c>
      <c r="D69" t="s">
        <v>1576</v>
      </c>
      <c r="AM69">
        <v>891.18774813370487</v>
      </c>
      <c r="AN69">
        <v>162.71715215037699</v>
      </c>
      <c r="AO69">
        <v>35.564940043633882</v>
      </c>
      <c r="AP69">
        <v>16.674320237839321</v>
      </c>
      <c r="AQ69">
        <v>9.5649344542618486</v>
      </c>
      <c r="AR69">
        <v>20.938173814011989</v>
      </c>
      <c r="AS69">
        <v>15.94081243518769</v>
      </c>
      <c r="AT69">
        <v>8.3541377716134111</v>
      </c>
      <c r="AU69">
        <v>5.5878373000079433</v>
      </c>
      <c r="AV69">
        <v>4.9506155925682762</v>
      </c>
      <c r="AW69">
        <v>6.9216578742884556</v>
      </c>
      <c r="AX69">
        <v>7.8795798296388453</v>
      </c>
      <c r="AY69">
        <v>7.6630269319939721</v>
      </c>
      <c r="AZ69">
        <v>8.5914668223897408</v>
      </c>
      <c r="BA69">
        <v>11.427557575833241</v>
      </c>
      <c r="BB69">
        <v>3.4367452794579729</v>
      </c>
      <c r="BC69">
        <v>6.7777466913337854</v>
      </c>
      <c r="BD69">
        <v>7.8583333333334</v>
      </c>
      <c r="BE69">
        <v>3.3160556668764691</v>
      </c>
      <c r="BF69">
        <v>4.5978789736313592</v>
      </c>
      <c r="BG69">
        <v>3.0688121037954308</v>
      </c>
      <c r="BH69">
        <v>4.0276857374272588</v>
      </c>
      <c r="BI69">
        <v>2.1349271393912121</v>
      </c>
      <c r="BJ69">
        <v>4.603573557788625</v>
      </c>
      <c r="BK69">
        <v>2.5657288013271868</v>
      </c>
      <c r="BL69">
        <v>2.643281927195543</v>
      </c>
      <c r="BM69">
        <v>2.746150782137772</v>
      </c>
      <c r="BN69">
        <v>6.9175677107607463</v>
      </c>
      <c r="BO69">
        <v>13.88758416592214</v>
      </c>
      <c r="BP69">
        <v>9.0736514980904808</v>
      </c>
      <c r="BQ69">
        <v>3.4897408602694719</v>
      </c>
    </row>
    <row r="70" spans="1:69" x14ac:dyDescent="0.25">
      <c r="A70" t="s">
        <v>1174</v>
      </c>
      <c r="B70" t="s">
        <v>1175</v>
      </c>
      <c r="C70" t="s">
        <v>1575</v>
      </c>
      <c r="D70" t="s">
        <v>1576</v>
      </c>
      <c r="AK70">
        <v>5.924531262284896</v>
      </c>
      <c r="AL70">
        <v>14.411264443934799</v>
      </c>
      <c r="AM70">
        <v>12.14479801156889</v>
      </c>
      <c r="AN70">
        <v>8.9625188871998116</v>
      </c>
      <c r="AO70">
        <v>8.1945521763272762</v>
      </c>
      <c r="AP70">
        <v>5.5360026677348033</v>
      </c>
      <c r="AQ70">
        <v>4.6442142266078656</v>
      </c>
      <c r="AR70">
        <v>2.364818361118068</v>
      </c>
      <c r="AS70">
        <v>3.775388291517344</v>
      </c>
      <c r="AT70">
        <v>4.2628722887370314</v>
      </c>
      <c r="AU70">
        <v>2.7861598858950831</v>
      </c>
      <c r="AV70">
        <v>2.3486416958275451</v>
      </c>
      <c r="AW70">
        <v>2.8294779621466342</v>
      </c>
      <c r="AX70">
        <v>2.6093230819774762</v>
      </c>
      <c r="AY70">
        <v>3.192886378087469</v>
      </c>
      <c r="AZ70">
        <v>2.915982618728556</v>
      </c>
      <c r="BA70">
        <v>6.0597404633970724</v>
      </c>
      <c r="BB70">
        <v>1.5360765001427941</v>
      </c>
      <c r="BC70">
        <v>2.4244736179162758</v>
      </c>
      <c r="BD70">
        <v>3.8561124468282002</v>
      </c>
      <c r="BE70">
        <v>2.773338540515863</v>
      </c>
      <c r="BF70">
        <v>1.7340396351916221</v>
      </c>
      <c r="BG70">
        <v>0.62049063673242122</v>
      </c>
      <c r="BH70">
        <v>0.36804684232536039</v>
      </c>
      <c r="BI70">
        <v>0.38883829689579902</v>
      </c>
      <c r="BJ70">
        <v>1.915588464582586</v>
      </c>
      <c r="BK70">
        <v>2.013219722503373</v>
      </c>
      <c r="BL70">
        <v>1.7637358652884161</v>
      </c>
      <c r="BM70">
        <v>1.199983969360277</v>
      </c>
      <c r="BN70">
        <v>3.1901777102709361</v>
      </c>
      <c r="BO70">
        <v>11.11361218787609</v>
      </c>
      <c r="BP70">
        <v>7.1204221208990006</v>
      </c>
      <c r="BQ70">
        <v>2.7576090942427181</v>
      </c>
    </row>
    <row r="71" spans="1:69" x14ac:dyDescent="0.25">
      <c r="A71" t="s">
        <v>1176</v>
      </c>
      <c r="B71" t="s">
        <v>1177</v>
      </c>
      <c r="C71" t="s">
        <v>1575</v>
      </c>
      <c r="D71" t="s">
        <v>1576</v>
      </c>
      <c r="E71">
        <v>1.6765991261128479</v>
      </c>
      <c r="F71">
        <v>3.9856205063491341</v>
      </c>
      <c r="G71">
        <v>2.8708853146098692</v>
      </c>
      <c r="H71">
        <v>5.9395090592240232</v>
      </c>
      <c r="I71">
        <v>4.0342045376431157</v>
      </c>
      <c r="J71">
        <v>3.0690706617573551</v>
      </c>
      <c r="K71">
        <v>5.453726927733455</v>
      </c>
      <c r="L71">
        <v>3.8181381573100159</v>
      </c>
      <c r="M71">
        <v>4.3176561297103673</v>
      </c>
      <c r="N71">
        <v>6.3266814485130896</v>
      </c>
      <c r="O71">
        <v>5.1712761201570832</v>
      </c>
      <c r="P71">
        <v>9.5216707800484706</v>
      </c>
      <c r="Q71">
        <v>7.5251179003472624</v>
      </c>
      <c r="R71">
        <v>12.1281464590342</v>
      </c>
      <c r="S71">
        <v>22.704081622615782</v>
      </c>
      <c r="T71">
        <v>14.2896742946894</v>
      </c>
      <c r="U71">
        <v>10.174630116565419</v>
      </c>
      <c r="V71">
        <v>12.944413872370051</v>
      </c>
      <c r="W71">
        <v>13.098138583853981</v>
      </c>
      <c r="X71">
        <v>10.11719086900157</v>
      </c>
      <c r="Y71">
        <v>11.90928938361345</v>
      </c>
      <c r="Z71">
        <v>14.047968671886791</v>
      </c>
      <c r="AA71">
        <v>16.284488046128459</v>
      </c>
      <c r="AB71">
        <v>48.418222080449219</v>
      </c>
      <c r="AC71">
        <v>31.219581512037209</v>
      </c>
      <c r="AD71">
        <v>27.99361074292241</v>
      </c>
      <c r="AE71">
        <v>23.030226114261779</v>
      </c>
      <c r="AF71">
        <v>29.503997248839511</v>
      </c>
      <c r="AG71">
        <v>58.216286541393757</v>
      </c>
      <c r="AH71">
        <v>75.648190102638551</v>
      </c>
      <c r="AI71">
        <v>48.519112996372911</v>
      </c>
      <c r="AJ71">
        <v>48.718080675219021</v>
      </c>
      <c r="AK71">
        <v>54.607821509359653</v>
      </c>
      <c r="AL71">
        <v>44.95505375921632</v>
      </c>
      <c r="AM71">
        <v>27.31088179404955</v>
      </c>
      <c r="AN71">
        <v>22.934134414580249</v>
      </c>
      <c r="AO71">
        <v>24.411459215067431</v>
      </c>
      <c r="AP71">
        <v>30.65756757221726</v>
      </c>
      <c r="AQ71">
        <v>36.098433162388559</v>
      </c>
      <c r="AR71">
        <v>52.242005185822549</v>
      </c>
      <c r="AS71">
        <v>96.096375692609627</v>
      </c>
      <c r="AT71">
        <v>37.676745451809431</v>
      </c>
      <c r="AU71">
        <v>12.48359800820948</v>
      </c>
      <c r="AV71">
        <v>7.9293648746155592</v>
      </c>
      <c r="AW71">
        <v>2.7432319892670449</v>
      </c>
      <c r="AX71">
        <v>2.1682770118372048</v>
      </c>
      <c r="AY71">
        <v>3.2987484625821528</v>
      </c>
      <c r="AZ71">
        <v>2.2761847800212101</v>
      </c>
      <c r="BA71">
        <v>8.4000959398746211</v>
      </c>
      <c r="BB71">
        <v>5.1599682918104728</v>
      </c>
      <c r="BC71">
        <v>3.554377345678426</v>
      </c>
      <c r="BD71">
        <v>4.4745326579583997</v>
      </c>
      <c r="BE71">
        <v>5.1017218095866594</v>
      </c>
      <c r="BF71">
        <v>2.7217757771037099</v>
      </c>
      <c r="BG71">
        <v>3.589220166166633</v>
      </c>
      <c r="BH71">
        <v>3.966646232553579</v>
      </c>
      <c r="BI71">
        <v>1.728264633245326</v>
      </c>
      <c r="BJ71">
        <v>0.41733558866682458</v>
      </c>
      <c r="BK71">
        <v>-0.22410324600555209</v>
      </c>
      <c r="BL71">
        <v>0.26601251546615517</v>
      </c>
      <c r="BM71">
        <v>-0.33887239256213919</v>
      </c>
      <c r="BN71">
        <v>0.1332513860963892</v>
      </c>
      <c r="BO71">
        <v>3.4661697221307679</v>
      </c>
      <c r="BP71">
        <v>2.215687642370582</v>
      </c>
      <c r="BQ71">
        <v>1.5473251561536909</v>
      </c>
    </row>
    <row r="72" spans="1:69" x14ac:dyDescent="0.25">
      <c r="A72" t="s">
        <v>1178</v>
      </c>
      <c r="B72" t="s">
        <v>1179</v>
      </c>
      <c r="C72" t="s">
        <v>1575</v>
      </c>
      <c r="D72" t="s">
        <v>1576</v>
      </c>
      <c r="E72">
        <v>0.33282904709175171</v>
      </c>
      <c r="F72">
        <v>0.69360675493532942</v>
      </c>
      <c r="G72">
        <v>-3.0030765879078358</v>
      </c>
      <c r="H72">
        <v>0.74664570813542952</v>
      </c>
      <c r="I72">
        <v>3.6609829488546768</v>
      </c>
      <c r="J72">
        <v>14.839004461624089</v>
      </c>
      <c r="K72">
        <v>9.0364406581762982</v>
      </c>
      <c r="L72">
        <v>0.70189748435373978</v>
      </c>
      <c r="M72">
        <v>-1.675759424569103</v>
      </c>
      <c r="N72">
        <v>3.4098202824374209</v>
      </c>
      <c r="O72">
        <v>3.7628985958053649</v>
      </c>
      <c r="P72">
        <v>3.1404217139419801</v>
      </c>
      <c r="Q72">
        <v>2.1023633461011291</v>
      </c>
      <c r="R72">
        <v>5.112184039087567</v>
      </c>
      <c r="S72">
        <v>10.024317751648381</v>
      </c>
      <c r="T72">
        <v>9.6696954815124485</v>
      </c>
      <c r="U72">
        <v>10.317415887741349</v>
      </c>
      <c r="V72">
        <v>12.73216279298912</v>
      </c>
      <c r="W72">
        <v>11.078100382613989</v>
      </c>
      <c r="X72">
        <v>9.9043605123112926</v>
      </c>
      <c r="Y72">
        <v>20.819224932421811</v>
      </c>
      <c r="Z72">
        <v>10.317284224539559</v>
      </c>
      <c r="AA72">
        <v>14.82300884955766</v>
      </c>
      <c r="AB72">
        <v>16.079873883341961</v>
      </c>
      <c r="AC72">
        <v>17.036366379960779</v>
      </c>
      <c r="AD72">
        <v>12.106756059824679</v>
      </c>
      <c r="AE72">
        <v>23.86428982173662</v>
      </c>
      <c r="AF72">
        <v>19.693593314763039</v>
      </c>
      <c r="AG72">
        <v>17.663486153130009</v>
      </c>
      <c r="AH72">
        <v>21.261867088607769</v>
      </c>
      <c r="AI72">
        <v>16.756374707769119</v>
      </c>
      <c r="AJ72">
        <v>19.748544819557811</v>
      </c>
      <c r="AK72">
        <v>13.637424171721831</v>
      </c>
      <c r="AL72">
        <v>12.089792286897721</v>
      </c>
      <c r="AM72">
        <v>8.1542312858709636</v>
      </c>
      <c r="AN72">
        <v>15.742230502159581</v>
      </c>
      <c r="AO72">
        <v>7.1871036971999196</v>
      </c>
      <c r="AP72">
        <v>4.6256057882643811</v>
      </c>
      <c r="AQ72">
        <v>3.872575464274898</v>
      </c>
      <c r="AR72">
        <v>3.0794991263833209</v>
      </c>
      <c r="AS72">
        <v>2.6838053534854609</v>
      </c>
      <c r="AT72">
        <v>2.2697572047595558</v>
      </c>
      <c r="AU72">
        <v>2.737238550003342</v>
      </c>
      <c r="AV72">
        <v>4.5077763631930354</v>
      </c>
      <c r="AW72">
        <v>11.27061933205195</v>
      </c>
      <c r="AX72">
        <v>4.8693969687198821</v>
      </c>
      <c r="AY72">
        <v>7.6445264452643427</v>
      </c>
      <c r="AZ72">
        <v>9.3189690579922981</v>
      </c>
      <c r="BA72">
        <v>18.316831683168409</v>
      </c>
      <c r="BB72">
        <v>11.76349543864433</v>
      </c>
      <c r="BC72">
        <v>11.26518826531855</v>
      </c>
      <c r="BD72">
        <v>10.0649259874818</v>
      </c>
      <c r="BE72">
        <v>7.1117294334308276</v>
      </c>
      <c r="BF72">
        <v>9.4697198106492095</v>
      </c>
      <c r="BG72">
        <v>10.070215468748099</v>
      </c>
      <c r="BH72">
        <v>10.370490343517</v>
      </c>
      <c r="BI72">
        <v>13.81360621482898</v>
      </c>
      <c r="BJ72">
        <v>29.506608394003869</v>
      </c>
      <c r="BK72">
        <v>14.401465780742161</v>
      </c>
      <c r="BL72">
        <v>9.1527995932480373</v>
      </c>
      <c r="BM72">
        <v>5.0449328897753878</v>
      </c>
      <c r="BN72">
        <v>5.2140494051304254</v>
      </c>
      <c r="BO72">
        <v>13.895660977517791</v>
      </c>
      <c r="BP72">
        <v>33.88477631155461</v>
      </c>
      <c r="BQ72">
        <v>28.270589932208271</v>
      </c>
    </row>
    <row r="73" spans="1:69" x14ac:dyDescent="0.25">
      <c r="A73" t="s">
        <v>1180</v>
      </c>
      <c r="B73" t="s">
        <v>1181</v>
      </c>
      <c r="C73" t="s">
        <v>1575</v>
      </c>
      <c r="D73" t="s">
        <v>1576</v>
      </c>
      <c r="E73">
        <v>1.741180847469233</v>
      </c>
      <c r="F73">
        <v>1.870849614063254</v>
      </c>
      <c r="G73">
        <v>2.752667188669125</v>
      </c>
      <c r="H73">
        <v>2.9216411190018921</v>
      </c>
      <c r="I73">
        <v>3.6567310157969839</v>
      </c>
      <c r="J73">
        <v>3.6664828026259402</v>
      </c>
      <c r="K73">
        <v>3.4323700636612582</v>
      </c>
      <c r="L73">
        <v>2.9875460669516509</v>
      </c>
      <c r="M73">
        <v>3.2428288767945408</v>
      </c>
      <c r="N73">
        <v>2.6480857111122829</v>
      </c>
      <c r="O73">
        <v>4.1406484002702433</v>
      </c>
      <c r="P73">
        <v>5.0163194330344032</v>
      </c>
      <c r="Q73">
        <v>5.9062535172409714</v>
      </c>
      <c r="R73">
        <v>7.9155461496559809</v>
      </c>
      <c r="S73">
        <v>14.66484543567643</v>
      </c>
      <c r="T73">
        <v>12.227062920687141</v>
      </c>
      <c r="U73">
        <v>9.7114211093591276</v>
      </c>
      <c r="V73">
        <v>9.7674647360703766</v>
      </c>
      <c r="W73">
        <v>7.5736977225826401</v>
      </c>
      <c r="X73">
        <v>8.46533490414879</v>
      </c>
      <c r="Y73">
        <v>13.54006971277998</v>
      </c>
      <c r="Z73">
        <v>11.509755837712341</v>
      </c>
      <c r="AA73">
        <v>9.5849276467744495</v>
      </c>
      <c r="AB73">
        <v>8.6692715980852224</v>
      </c>
      <c r="AC73">
        <v>7.0676563832817241</v>
      </c>
      <c r="AD73">
        <v>5.1956219542943538</v>
      </c>
      <c r="AE73">
        <v>2.7360525611187172</v>
      </c>
      <c r="AF73">
        <v>3.224154281175732</v>
      </c>
      <c r="AG73">
        <v>3.0650407952219889</v>
      </c>
      <c r="AH73">
        <v>3.927267182184671</v>
      </c>
      <c r="AI73">
        <v>3.975183404288253</v>
      </c>
      <c r="AJ73">
        <v>4.178622747984658</v>
      </c>
      <c r="AK73">
        <v>5.2705899859293011</v>
      </c>
      <c r="AL73">
        <v>4.5979032100655566</v>
      </c>
      <c r="AM73">
        <v>4.4142555634661944</v>
      </c>
      <c r="AN73">
        <v>4.0864600455494431</v>
      </c>
      <c r="AO73">
        <v>3.0239510949552688</v>
      </c>
      <c r="AP73">
        <v>2.2230543052679979</v>
      </c>
      <c r="AQ73">
        <v>2.306479340359886</v>
      </c>
      <c r="AR73">
        <v>1.8991144190705</v>
      </c>
      <c r="AS73">
        <v>2.947565599774761</v>
      </c>
      <c r="AT73">
        <v>2.8573289351882889</v>
      </c>
      <c r="AU73">
        <v>2.3269068361585679</v>
      </c>
      <c r="AV73">
        <v>2.0952352907228891</v>
      </c>
      <c r="AW73">
        <v>2.2162078892627299</v>
      </c>
      <c r="AX73">
        <v>2.523928987471606</v>
      </c>
      <c r="AY73">
        <v>2.720047505292706</v>
      </c>
      <c r="AZ73">
        <v>2.4823154668954159</v>
      </c>
      <c r="BA73">
        <v>4.1140702203381636</v>
      </c>
      <c r="BB73">
        <v>0.437175412792701</v>
      </c>
      <c r="BC73">
        <v>1.520575578683897</v>
      </c>
      <c r="BD73">
        <v>3.2880142721979548</v>
      </c>
      <c r="BE73">
        <v>2.5415447410800871</v>
      </c>
      <c r="BF73">
        <v>1.310233556186656</v>
      </c>
      <c r="BG73">
        <v>0.22019562819875271</v>
      </c>
      <c r="BH73">
        <v>-8.5207229696375092E-2</v>
      </c>
      <c r="BI73">
        <v>0.16600988437561631</v>
      </c>
      <c r="BJ73">
        <v>1.3750364152533929</v>
      </c>
      <c r="BK73">
        <v>1.6892396580413021</v>
      </c>
      <c r="BL73">
        <v>1.441239669423414</v>
      </c>
      <c r="BM73">
        <v>0.1869381397021313</v>
      </c>
      <c r="BN73">
        <v>2.4865043812082011</v>
      </c>
      <c r="BO73">
        <v>8.4711764559089211</v>
      </c>
      <c r="BP73">
        <v>5.7843155496086229</v>
      </c>
      <c r="BQ73">
        <v>2.184974069580385</v>
      </c>
    </row>
    <row r="74" spans="1:69" x14ac:dyDescent="0.25">
      <c r="A74" t="s">
        <v>1182</v>
      </c>
      <c r="B74" t="s">
        <v>1183</v>
      </c>
      <c r="C74" t="s">
        <v>1575</v>
      </c>
      <c r="D74" t="s">
        <v>1576</v>
      </c>
    </row>
    <row r="75" spans="1:69" x14ac:dyDescent="0.25">
      <c r="A75" t="s">
        <v>1184</v>
      </c>
      <c r="B75" t="s">
        <v>301</v>
      </c>
      <c r="C75" t="s">
        <v>1575</v>
      </c>
      <c r="D75" t="s">
        <v>1576</v>
      </c>
      <c r="E75">
        <v>1.1777710840963189</v>
      </c>
      <c r="F75">
        <v>0.80925287388216682</v>
      </c>
      <c r="G75">
        <v>5.7064771927130877</v>
      </c>
      <c r="H75">
        <v>8.7436976840915346</v>
      </c>
      <c r="I75">
        <v>6.9792467398960518</v>
      </c>
      <c r="J75">
        <v>13.21413783821983</v>
      </c>
      <c r="K75">
        <v>6.2403670829798727</v>
      </c>
      <c r="L75">
        <v>6.3916310878211586</v>
      </c>
      <c r="M75">
        <v>4.9543661173646347</v>
      </c>
      <c r="N75">
        <v>2.1603471359986681</v>
      </c>
      <c r="O75">
        <v>5.7311448429353158</v>
      </c>
      <c r="P75">
        <v>8.236887148936022</v>
      </c>
      <c r="Q75">
        <v>8.2722875494194295</v>
      </c>
      <c r="R75">
        <v>11.416707613708439</v>
      </c>
      <c r="S75">
        <v>15.680373398538951</v>
      </c>
      <c r="T75">
        <v>16.953285933498218</v>
      </c>
      <c r="U75">
        <v>17.62488005274815</v>
      </c>
      <c r="V75">
        <v>24.538063292920508</v>
      </c>
      <c r="W75">
        <v>19.773670497366179</v>
      </c>
      <c r="X75">
        <v>15.66023559717719</v>
      </c>
      <c r="Y75">
        <v>15.56190209572453</v>
      </c>
      <c r="Z75">
        <v>14.549345717032161</v>
      </c>
      <c r="AA75">
        <v>14.415002054832719</v>
      </c>
      <c r="AB75">
        <v>12.174072735169929</v>
      </c>
      <c r="AC75">
        <v>11.28027656040376</v>
      </c>
      <c r="AD75">
        <v>8.8144550667838715</v>
      </c>
      <c r="AE75">
        <v>8.7949393229032093</v>
      </c>
      <c r="AF75">
        <v>5.248018634895935</v>
      </c>
      <c r="AG75">
        <v>4.8372706649036141</v>
      </c>
      <c r="AH75">
        <v>6.7914358402509949</v>
      </c>
      <c r="AI75">
        <v>6.7218195222865678</v>
      </c>
      <c r="AJ75">
        <v>5.9342134433592433</v>
      </c>
      <c r="AK75">
        <v>5.924531262284896</v>
      </c>
      <c r="AL75">
        <v>4.5690717368181346</v>
      </c>
      <c r="AM75">
        <v>4.7184137396732933</v>
      </c>
      <c r="AN75">
        <v>4.6738033762470437</v>
      </c>
      <c r="AO75">
        <v>3.5588455933855769</v>
      </c>
      <c r="AP75">
        <v>1.9710739558292649</v>
      </c>
      <c r="AQ75">
        <v>1.8343299990840991</v>
      </c>
      <c r="AR75">
        <v>2.3103481398706731</v>
      </c>
      <c r="AS75">
        <v>3.4335156341876671</v>
      </c>
      <c r="AT75">
        <v>3.5898341333811201</v>
      </c>
      <c r="AU75">
        <v>3.06565685902219</v>
      </c>
      <c r="AV75">
        <v>3.038888393966551</v>
      </c>
      <c r="AW75">
        <v>3.0392488109092461</v>
      </c>
      <c r="AX75">
        <v>3.368814097503833</v>
      </c>
      <c r="AY75">
        <v>3.5155757683212818</v>
      </c>
      <c r="AZ75">
        <v>2.7867974580494561</v>
      </c>
      <c r="BA75">
        <v>4.0753433595733934</v>
      </c>
      <c r="BB75">
        <v>-0.28781308353524049</v>
      </c>
      <c r="BC75">
        <v>1.799864577287688</v>
      </c>
      <c r="BD75">
        <v>3.1961018883379002</v>
      </c>
      <c r="BE75">
        <v>2.4461278236680859</v>
      </c>
      <c r="BF75">
        <v>1.4085810918301871</v>
      </c>
      <c r="BG75">
        <v>-0.15111483752723459</v>
      </c>
      <c r="BH75">
        <v>-0.50036570990324225</v>
      </c>
      <c r="BI75">
        <v>-0.20259800042645201</v>
      </c>
      <c r="BJ75">
        <v>1.956076333639633</v>
      </c>
      <c r="BK75">
        <v>1.6749813686379009</v>
      </c>
      <c r="BL75">
        <v>0.69951899445873889</v>
      </c>
      <c r="BM75">
        <v>-0.32275301729973921</v>
      </c>
      <c r="BN75">
        <v>3.0931351197641992</v>
      </c>
      <c r="BO75">
        <v>8.3905763411862662</v>
      </c>
      <c r="BP75">
        <v>3.532361334924329</v>
      </c>
      <c r="BQ75">
        <v>2.774178265347722</v>
      </c>
    </row>
    <row r="76" spans="1:69" x14ac:dyDescent="0.25">
      <c r="A76" t="s">
        <v>1185</v>
      </c>
      <c r="B76" t="s">
        <v>1186</v>
      </c>
      <c r="C76" t="s">
        <v>1575</v>
      </c>
      <c r="D76" t="s">
        <v>1576</v>
      </c>
      <c r="AL76">
        <v>89.811949027727451</v>
      </c>
      <c r="AM76">
        <v>47.654690618762828</v>
      </c>
      <c r="AN76">
        <v>28.77661372085138</v>
      </c>
      <c r="AO76">
        <v>23.050343349516979</v>
      </c>
      <c r="AP76">
        <v>10.58187893221463</v>
      </c>
      <c r="AQ76">
        <v>8.2083333333329787</v>
      </c>
      <c r="AR76">
        <v>3.296110897189092</v>
      </c>
      <c r="AS76">
        <v>4.0184895250876336</v>
      </c>
      <c r="AT76">
        <v>5.7482798165137297</v>
      </c>
      <c r="AU76">
        <v>3.5719127016402679</v>
      </c>
      <c r="AV76">
        <v>1.3349911654995501</v>
      </c>
      <c r="AW76">
        <v>3.0481110752341611</v>
      </c>
      <c r="AX76">
        <v>4.0797142319984854</v>
      </c>
      <c r="AY76">
        <v>4.4376204238921346</v>
      </c>
      <c r="AZ76">
        <v>6.6013260305563746</v>
      </c>
      <c r="BA76">
        <v>10.36235803136826</v>
      </c>
      <c r="BB76">
        <v>-7.8408311280976806E-2</v>
      </c>
      <c r="BC76">
        <v>2.9720451201569351</v>
      </c>
      <c r="BD76">
        <v>4.9819013145361</v>
      </c>
      <c r="BE76">
        <v>3.9333998729698538</v>
      </c>
      <c r="BF76">
        <v>2.7805665895498759</v>
      </c>
      <c r="BG76">
        <v>-0.1061751465217099</v>
      </c>
      <c r="BH76">
        <v>-0.49232600654737008</v>
      </c>
      <c r="BI76">
        <v>0.14868490762737291</v>
      </c>
      <c r="BJ76">
        <v>3.4172354948805408</v>
      </c>
      <c r="BK76">
        <v>3.4363268842044632</v>
      </c>
      <c r="BL76">
        <v>2.2772593124352212</v>
      </c>
      <c r="BM76">
        <v>-0.44453109767982968</v>
      </c>
      <c r="BN76">
        <v>4.6531667384747282</v>
      </c>
      <c r="BO76">
        <v>19.39826340806162</v>
      </c>
      <c r="BP76">
        <v>9.1592250798398247</v>
      </c>
      <c r="BQ76">
        <v>3.5205605329658569</v>
      </c>
    </row>
    <row r="77" spans="1:69" x14ac:dyDescent="0.25">
      <c r="A77" t="s">
        <v>1187</v>
      </c>
      <c r="B77" t="s">
        <v>1188</v>
      </c>
      <c r="C77" t="s">
        <v>1575</v>
      </c>
      <c r="D77" t="s">
        <v>1576</v>
      </c>
      <c r="K77">
        <v>-1.3618677046690699</v>
      </c>
      <c r="L77">
        <v>0.80867850105467798</v>
      </c>
      <c r="M77">
        <v>0.18261266555899561</v>
      </c>
      <c r="N77">
        <v>1.4256884314862599</v>
      </c>
      <c r="O77">
        <v>10.1219512195636</v>
      </c>
      <c r="P77">
        <v>0.53622428169519332</v>
      </c>
      <c r="Q77">
        <v>-6.0815119717912802</v>
      </c>
      <c r="R77">
        <v>8.9135802469581282</v>
      </c>
      <c r="S77">
        <v>8.5921559739108453</v>
      </c>
      <c r="T77">
        <v>6.5501043839419859</v>
      </c>
      <c r="U77">
        <v>28.537839823784861</v>
      </c>
      <c r="V77">
        <v>16.657139590850282</v>
      </c>
      <c r="W77">
        <v>14.308114464915461</v>
      </c>
      <c r="X77">
        <v>16.03223593965194</v>
      </c>
      <c r="Y77">
        <v>4.482537806004351</v>
      </c>
      <c r="Z77">
        <v>6.1359671868043444</v>
      </c>
      <c r="AA77">
        <v>5.8900610772396096</v>
      </c>
      <c r="AB77">
        <v>-0.67537806485471763</v>
      </c>
      <c r="AC77">
        <v>8.4172737831205282</v>
      </c>
      <c r="AD77">
        <v>19.064685144440649</v>
      </c>
      <c r="AE77">
        <v>-9.8087650705066132</v>
      </c>
      <c r="AF77">
        <v>-2.4286724828336821</v>
      </c>
      <c r="AG77">
        <v>7.0807153214108949</v>
      </c>
      <c r="AH77">
        <v>7.8173011822304828</v>
      </c>
      <c r="AI77">
        <v>5.1524812417476697</v>
      </c>
      <c r="AJ77">
        <v>35.722598229871529</v>
      </c>
      <c r="AK77">
        <v>10.52744401195922</v>
      </c>
      <c r="AL77">
        <v>3.5430659616603242</v>
      </c>
      <c r="AM77">
        <v>7.5938760018533671</v>
      </c>
      <c r="AN77">
        <v>10.022173355323879</v>
      </c>
      <c r="AO77">
        <v>-8.4842486894882523</v>
      </c>
      <c r="AP77">
        <v>2.3952095808382921</v>
      </c>
      <c r="AQ77">
        <v>0.89480169396410658</v>
      </c>
      <c r="AR77">
        <v>7.9414486413732508</v>
      </c>
      <c r="AS77">
        <v>0.66245810926648185</v>
      </c>
      <c r="AT77">
        <v>-8.2378445339113657</v>
      </c>
      <c r="AU77">
        <v>0.67508910217080054</v>
      </c>
      <c r="AV77">
        <v>13.67404520282718</v>
      </c>
      <c r="AW77">
        <v>3.3273704789484708</v>
      </c>
      <c r="AX77">
        <v>9.9699712351289165</v>
      </c>
      <c r="AY77">
        <v>12.29947631148247</v>
      </c>
      <c r="AZ77">
        <v>17.240400834089758</v>
      </c>
      <c r="BA77">
        <v>44.356685876695153</v>
      </c>
      <c r="BB77">
        <v>8.4836440453028228</v>
      </c>
      <c r="BC77">
        <v>8.149264029650821</v>
      </c>
      <c r="BD77">
        <v>33.249959882334409</v>
      </c>
      <c r="BE77">
        <v>23.600417677317029</v>
      </c>
      <c r="BF77">
        <v>7.4640219294451713</v>
      </c>
      <c r="BG77">
        <v>6.8900195159719182</v>
      </c>
      <c r="BH77">
        <v>9.5688995596862316</v>
      </c>
      <c r="BI77">
        <v>6.6281333723092413</v>
      </c>
      <c r="BJ77">
        <v>10.68711502842382</v>
      </c>
      <c r="BK77">
        <v>13.83303565866615</v>
      </c>
      <c r="BL77">
        <v>15.809632171934419</v>
      </c>
      <c r="BM77">
        <v>20.35634685590615</v>
      </c>
      <c r="BN77">
        <v>26.839522155772219</v>
      </c>
      <c r="BO77">
        <v>33.889879710089829</v>
      </c>
      <c r="BP77">
        <v>30.218827813527842</v>
      </c>
      <c r="BQ77">
        <v>21.03774605777107</v>
      </c>
    </row>
    <row r="78" spans="1:69" x14ac:dyDescent="0.25">
      <c r="A78" t="s">
        <v>1189</v>
      </c>
      <c r="B78" t="s">
        <v>1190</v>
      </c>
      <c r="C78" t="s">
        <v>1575</v>
      </c>
      <c r="D78" t="s">
        <v>1576</v>
      </c>
      <c r="E78">
        <v>1.741180847469233</v>
      </c>
      <c r="F78">
        <v>2.0771383313786131</v>
      </c>
      <c r="G78">
        <v>3.5534986597407352</v>
      </c>
      <c r="H78">
        <v>2.9216411190018921</v>
      </c>
      <c r="I78">
        <v>3.4162803965555848</v>
      </c>
      <c r="J78">
        <v>3.9866196012713249</v>
      </c>
      <c r="K78">
        <v>3.7033571866950692</v>
      </c>
      <c r="L78">
        <v>3.31932361134947</v>
      </c>
      <c r="M78">
        <v>3.2428288767945408</v>
      </c>
      <c r="N78">
        <v>2.6746236597133608</v>
      </c>
      <c r="O78">
        <v>4.5060889298604341</v>
      </c>
      <c r="P78">
        <v>5.2409744827309437</v>
      </c>
      <c r="Q78">
        <v>6.0073896986249471</v>
      </c>
      <c r="R78">
        <v>7.7490861291920421</v>
      </c>
      <c r="S78">
        <v>13.163602612079551</v>
      </c>
      <c r="T78">
        <v>10.467573464371901</v>
      </c>
      <c r="U78">
        <v>9.3470527960524876</v>
      </c>
      <c r="V78">
        <v>9.7674647360703766</v>
      </c>
      <c r="W78">
        <v>7.7552314458700744</v>
      </c>
      <c r="X78">
        <v>8.221686930055208</v>
      </c>
      <c r="Y78">
        <v>12.911442326638239</v>
      </c>
      <c r="Z78">
        <v>11.767387434418129</v>
      </c>
      <c r="AA78">
        <v>9.5849276467744495</v>
      </c>
      <c r="AB78">
        <v>8.6692715980852224</v>
      </c>
      <c r="AC78">
        <v>7.6738026224732074</v>
      </c>
      <c r="AD78">
        <v>5.3954862017035188</v>
      </c>
      <c r="AE78">
        <v>3.6781841186345239</v>
      </c>
      <c r="AF78">
        <v>4.0199934568316298</v>
      </c>
      <c r="AG78">
        <v>4.5351330101571978</v>
      </c>
      <c r="AH78">
        <v>6.2598313795697678</v>
      </c>
      <c r="AI78">
        <v>6.1495653117984981</v>
      </c>
      <c r="AJ78">
        <v>5.4847439159201468</v>
      </c>
      <c r="AK78">
        <v>6.2173753964715379</v>
      </c>
      <c r="AL78">
        <v>4.8541666666669281</v>
      </c>
      <c r="AM78">
        <v>4.7184137396732933</v>
      </c>
      <c r="AN78">
        <v>4.4266455028665419</v>
      </c>
      <c r="AO78">
        <v>3.5588455933855769</v>
      </c>
      <c r="AP78">
        <v>3.1120779195327231</v>
      </c>
      <c r="AQ78">
        <v>2.4076809453471499</v>
      </c>
      <c r="AR78">
        <v>2.1571791805505902</v>
      </c>
      <c r="AS78">
        <v>3.1507670702259198</v>
      </c>
      <c r="AT78">
        <v>3.373968322138674</v>
      </c>
      <c r="AU78">
        <v>2.42443661219697</v>
      </c>
      <c r="AV78">
        <v>2.091998389976546</v>
      </c>
      <c r="AW78">
        <v>2.2862170680167488</v>
      </c>
      <c r="AX78">
        <v>2.4876966516408778</v>
      </c>
      <c r="AY78">
        <v>2.6663149457706901</v>
      </c>
      <c r="AZ78">
        <v>2.510665652403401</v>
      </c>
      <c r="BA78">
        <v>4.1649719352476362</v>
      </c>
      <c r="BB78">
        <v>0.83926224679388728</v>
      </c>
      <c r="BC78">
        <v>1.5311227042092601</v>
      </c>
      <c r="BD78">
        <v>3.28944939564211</v>
      </c>
      <c r="BE78">
        <v>2.6628416550802121</v>
      </c>
      <c r="BF78">
        <v>1.21999342274306</v>
      </c>
      <c r="BG78">
        <v>0.1993438265707497</v>
      </c>
      <c r="BH78">
        <v>-6.1644680064167248E-2</v>
      </c>
      <c r="BI78">
        <v>0.18333486112385969</v>
      </c>
      <c r="BJ78">
        <v>1.42910743319306</v>
      </c>
      <c r="BK78">
        <v>1.7386086198818</v>
      </c>
      <c r="BL78">
        <v>1.630522607543444</v>
      </c>
      <c r="BM78">
        <v>0.47649885272506581</v>
      </c>
      <c r="BN78">
        <v>2.5545069964204079</v>
      </c>
      <c r="BO78">
        <v>8.8336988674945172</v>
      </c>
      <c r="BP78">
        <v>6.2994248741912466</v>
      </c>
      <c r="BQ78">
        <v>2.4353120243531432</v>
      </c>
    </row>
    <row r="79" spans="1:69" x14ac:dyDescent="0.25">
      <c r="A79" t="s">
        <v>1191</v>
      </c>
      <c r="B79" t="s">
        <v>1192</v>
      </c>
      <c r="C79" t="s">
        <v>1575</v>
      </c>
      <c r="D79" t="s">
        <v>1576</v>
      </c>
      <c r="AH79">
        <v>6.923905037112382</v>
      </c>
      <c r="AI79">
        <v>7.0021695665112151</v>
      </c>
      <c r="AJ79">
        <v>11.896095301125071</v>
      </c>
      <c r="AK79">
        <v>10.52744401195922</v>
      </c>
      <c r="AL79">
        <v>10.37644992635909</v>
      </c>
      <c r="AM79">
        <v>30.13616903547133</v>
      </c>
      <c r="AN79">
        <v>18.235168327484431</v>
      </c>
      <c r="AO79">
        <v>11.47752859828651</v>
      </c>
      <c r="AP79">
        <v>7.0870059120570881</v>
      </c>
      <c r="AQ79">
        <v>5.9765085214186033</v>
      </c>
      <c r="AR79">
        <v>4.8435315882639767</v>
      </c>
      <c r="AS79">
        <v>3.8226008808630589</v>
      </c>
      <c r="AT79">
        <v>5.3708029338044012</v>
      </c>
      <c r="AU79">
        <v>4.7057912374603301</v>
      </c>
      <c r="AV79">
        <v>5.7968294490584116</v>
      </c>
      <c r="AW79">
        <v>3.3273704789484708</v>
      </c>
      <c r="AX79">
        <v>7.3306634163329942</v>
      </c>
      <c r="AY79">
        <v>6.784596550016551</v>
      </c>
      <c r="AZ79">
        <v>5.002722845503115</v>
      </c>
      <c r="BA79">
        <v>12.12196400087401</v>
      </c>
      <c r="BB79">
        <v>4.3623482932571944</v>
      </c>
      <c r="BC79">
        <v>3.5519574896300772</v>
      </c>
      <c r="BD79">
        <v>5.0825940389037108</v>
      </c>
      <c r="BE79">
        <v>5.9859049732400953</v>
      </c>
      <c r="BF79">
        <v>4.446484353357123</v>
      </c>
      <c r="BG79">
        <v>2.4963450872176032</v>
      </c>
      <c r="BH79">
        <v>2.6762353141989959</v>
      </c>
      <c r="BI79">
        <v>3.190561797237732</v>
      </c>
      <c r="BJ79">
        <v>4.1807233187126656</v>
      </c>
      <c r="BK79">
        <v>2.9676036600445559</v>
      </c>
      <c r="BL79">
        <v>2.4528021406273242</v>
      </c>
      <c r="BM79">
        <v>2.8981937602627021</v>
      </c>
      <c r="BN79">
        <v>4.2593641754286837</v>
      </c>
      <c r="BO79">
        <v>9.3907593398520302</v>
      </c>
      <c r="BP79">
        <v>7.1145920534445519</v>
      </c>
      <c r="BQ79">
        <v>4.4275764904981969</v>
      </c>
    </row>
    <row r="80" spans="1:69" x14ac:dyDescent="0.25">
      <c r="A80" t="s">
        <v>1193</v>
      </c>
      <c r="B80" t="s">
        <v>1194</v>
      </c>
      <c r="C80" t="s">
        <v>1575</v>
      </c>
      <c r="D80" t="s">
        <v>1576</v>
      </c>
      <c r="E80">
        <v>3.4181272535079201</v>
      </c>
      <c r="F80">
        <v>1.6910019153395299</v>
      </c>
      <c r="G80">
        <v>4.3839827817266821</v>
      </c>
      <c r="H80">
        <v>4.996381886452852</v>
      </c>
      <c r="I80">
        <v>10.27586074174862</v>
      </c>
      <c r="J80">
        <v>4.9405880675530804</v>
      </c>
      <c r="K80">
        <v>3.8736540186132449</v>
      </c>
      <c r="L80">
        <v>5.3777818337285783</v>
      </c>
      <c r="M80">
        <v>9.1916679951951235</v>
      </c>
      <c r="N80">
        <v>2.2056109352124551</v>
      </c>
      <c r="O80">
        <v>2.7404204305122</v>
      </c>
      <c r="P80">
        <v>6.4757654306185648</v>
      </c>
      <c r="Q80">
        <v>6.6624978351532791</v>
      </c>
      <c r="R80">
        <v>10.754471883136841</v>
      </c>
      <c r="S80">
        <v>16.93639999892741</v>
      </c>
      <c r="T80">
        <v>17.811397234021289</v>
      </c>
      <c r="U80">
        <v>14.342693085225729</v>
      </c>
      <c r="V80">
        <v>11.793346918405369</v>
      </c>
      <c r="W80">
        <v>7.7993507455214539</v>
      </c>
      <c r="X80">
        <v>7.4669615131073828</v>
      </c>
      <c r="Y80">
        <v>11.594619249210741</v>
      </c>
      <c r="Z80">
        <v>11.30575665095485</v>
      </c>
      <c r="AA80">
        <v>9.5849276467744495</v>
      </c>
      <c r="AB80">
        <v>8.3662926064564047</v>
      </c>
      <c r="AC80">
        <v>7.0676563832817241</v>
      </c>
      <c r="AD80">
        <v>5.1956219542943538</v>
      </c>
      <c r="AE80">
        <v>2.933579204423268</v>
      </c>
      <c r="AF80">
        <v>4.1130288620505784</v>
      </c>
      <c r="AG80">
        <v>5.0859286139488074</v>
      </c>
      <c r="AH80">
        <v>6.592909801891305</v>
      </c>
      <c r="AI80">
        <v>6.1495653117984981</v>
      </c>
      <c r="AJ80">
        <v>4.3102128984346528</v>
      </c>
      <c r="AK80">
        <v>2.919323192850114</v>
      </c>
      <c r="AL80">
        <v>2.1906531955643662</v>
      </c>
      <c r="AM80">
        <v>1.0885567758940451</v>
      </c>
      <c r="AN80">
        <v>0.79123940693849792</v>
      </c>
      <c r="AO80">
        <v>0.62919423812096587</v>
      </c>
      <c r="AP80">
        <v>1.192558834258393</v>
      </c>
      <c r="AQ80">
        <v>1.399473785798403</v>
      </c>
      <c r="AR80">
        <v>1.1622315566944439</v>
      </c>
      <c r="AS80">
        <v>3.042100806677952</v>
      </c>
      <c r="AT80">
        <v>2.5784408009889588</v>
      </c>
      <c r="AU80">
        <v>1.5712201278937969</v>
      </c>
      <c r="AV80">
        <v>0.87744038625478527</v>
      </c>
      <c r="AW80">
        <v>0.18712055908441841</v>
      </c>
      <c r="AX80">
        <v>0.6238744500251906</v>
      </c>
      <c r="AY80">
        <v>1.566663807043863</v>
      </c>
      <c r="AZ80">
        <v>2.510665652403401</v>
      </c>
      <c r="BA80">
        <v>4.0659535535837943</v>
      </c>
      <c r="BB80">
        <v>-9.1736038443034226E-7</v>
      </c>
      <c r="BC80">
        <v>1.1841352315464639</v>
      </c>
      <c r="BD80">
        <v>3.4168075425521098</v>
      </c>
      <c r="BE80">
        <v>2.8083362256157378</v>
      </c>
      <c r="BF80">
        <v>1.4782861568880989</v>
      </c>
      <c r="BG80">
        <v>1.0411962117843949</v>
      </c>
      <c r="BH80">
        <v>-0.20792883990526839</v>
      </c>
      <c r="BI80">
        <v>0.3566845008916954</v>
      </c>
      <c r="BJ80">
        <v>0.75401504708434608</v>
      </c>
      <c r="BK80">
        <v>1.0838209840930511</v>
      </c>
      <c r="BL80">
        <v>1.024093929634307</v>
      </c>
      <c r="BM80">
        <v>0.2905545556532394</v>
      </c>
      <c r="BN80">
        <v>2.1945743234000719</v>
      </c>
      <c r="BO80">
        <v>7.1235077330140237</v>
      </c>
      <c r="BP80">
        <v>6.2506432215476293</v>
      </c>
      <c r="BQ80">
        <v>1.565689062316155</v>
      </c>
    </row>
    <row r="81" spans="1:69" x14ac:dyDescent="0.25">
      <c r="A81" t="s">
        <v>1195</v>
      </c>
      <c r="B81" t="s">
        <v>1196</v>
      </c>
      <c r="C81" t="s">
        <v>1575</v>
      </c>
      <c r="D81" t="s">
        <v>1576</v>
      </c>
      <c r="O81">
        <v>4.1241785633356614</v>
      </c>
      <c r="P81">
        <v>9.1381936887919863</v>
      </c>
      <c r="Q81">
        <v>21.978504057906949</v>
      </c>
      <c r="R81">
        <v>11.085318206340141</v>
      </c>
      <c r="S81">
        <v>14.498469507888171</v>
      </c>
      <c r="T81">
        <v>13.06488098298248</v>
      </c>
      <c r="U81">
        <v>11.432436426468779</v>
      </c>
      <c r="V81">
        <v>7.0063044498393472</v>
      </c>
      <c r="W81">
        <v>6.1080710050150007</v>
      </c>
      <c r="X81">
        <v>7.8067582495211836</v>
      </c>
      <c r="Y81">
        <v>14.492874406452151</v>
      </c>
      <c r="Z81">
        <v>11.180666763762069</v>
      </c>
      <c r="AA81">
        <v>7.0315568938948454</v>
      </c>
      <c r="AB81">
        <v>6.7041839980141926</v>
      </c>
      <c r="AC81">
        <v>5.2912176107242956</v>
      </c>
      <c r="AD81">
        <v>4.4209723962191161</v>
      </c>
      <c r="AE81">
        <v>1.7988424843380151</v>
      </c>
      <c r="AF81">
        <v>5.6637747585522158</v>
      </c>
      <c r="AG81">
        <v>11.75832687838885</v>
      </c>
      <c r="AH81">
        <v>6.1893540338235482</v>
      </c>
      <c r="AI81">
        <v>8.1913713204097203</v>
      </c>
      <c r="AJ81">
        <v>6.4973455598454741</v>
      </c>
      <c r="AK81">
        <v>4.8830227156861321</v>
      </c>
      <c r="AL81">
        <v>5.2065892519576504</v>
      </c>
      <c r="AM81">
        <v>0.81666666666702836</v>
      </c>
      <c r="AN81">
        <v>2.1656472144153498</v>
      </c>
      <c r="AO81">
        <v>3.050161812297993</v>
      </c>
      <c r="AP81">
        <v>3.3681400643794071</v>
      </c>
      <c r="AQ81">
        <v>5.7116816041311873</v>
      </c>
      <c r="AR81">
        <v>1.9686736600092229</v>
      </c>
      <c r="AS81">
        <v>1.092164599773864</v>
      </c>
      <c r="AT81">
        <v>4.2726702446510387</v>
      </c>
      <c r="AU81">
        <v>0.76203208556120672</v>
      </c>
      <c r="AV81">
        <v>4.1727477776303461</v>
      </c>
      <c r="AW81">
        <v>2.8274851939120089</v>
      </c>
      <c r="AX81">
        <v>2.3657645383043531</v>
      </c>
      <c r="AY81">
        <v>2.4908363878707771</v>
      </c>
      <c r="AZ81">
        <v>4.8037064130699019</v>
      </c>
      <c r="BA81">
        <v>7.7322785791842534</v>
      </c>
      <c r="BB81">
        <v>3.1310355901596809</v>
      </c>
      <c r="BC81">
        <v>3.6890122967075829</v>
      </c>
      <c r="BD81">
        <v>7.2781178270850004</v>
      </c>
      <c r="BE81">
        <v>3.4233752340197929</v>
      </c>
      <c r="BF81">
        <v>2.9135419360400099</v>
      </c>
      <c r="BG81">
        <v>0.51930647457910595</v>
      </c>
      <c r="BH81">
        <v>1.374885426214465</v>
      </c>
      <c r="BI81">
        <v>3.863225382212689</v>
      </c>
      <c r="BJ81">
        <v>3.3475783475783931</v>
      </c>
      <c r="BK81">
        <v>4.0814763764454218</v>
      </c>
      <c r="BL81">
        <v>1.773101824602664</v>
      </c>
      <c r="BM81">
        <v>-2.595243258873722</v>
      </c>
      <c r="BN81">
        <v>0.15585572213151619</v>
      </c>
      <c r="BO81">
        <v>4.320118562430558</v>
      </c>
      <c r="BP81">
        <v>2.344082966330415</v>
      </c>
      <c r="BQ81">
        <v>4.5113825652415533</v>
      </c>
    </row>
    <row r="82" spans="1:69" x14ac:dyDescent="0.25">
      <c r="A82" t="s">
        <v>1197</v>
      </c>
      <c r="B82" t="s">
        <v>1198</v>
      </c>
      <c r="C82" t="s">
        <v>1575</v>
      </c>
      <c r="D82" t="s">
        <v>1576</v>
      </c>
      <c r="E82">
        <v>4.1399357551843732</v>
      </c>
      <c r="F82">
        <v>2.4004610454632069</v>
      </c>
      <c r="G82">
        <v>5.3312800706563941</v>
      </c>
      <c r="H82">
        <v>4.9991528979684077</v>
      </c>
      <c r="I82">
        <v>3.2111917029310519</v>
      </c>
      <c r="J82">
        <v>2.7031045587308422</v>
      </c>
      <c r="K82">
        <v>2.6020007663644358</v>
      </c>
      <c r="L82">
        <v>2.7917770943515019</v>
      </c>
      <c r="M82">
        <v>4.5432048640201446</v>
      </c>
      <c r="N82">
        <v>6.0459628417389322</v>
      </c>
      <c r="O82">
        <v>5.2996412456267477</v>
      </c>
      <c r="P82">
        <v>5.3975186559510462</v>
      </c>
      <c r="Q82">
        <v>6.0630030971818689</v>
      </c>
      <c r="R82">
        <v>7.3806010639891237</v>
      </c>
      <c r="S82">
        <v>13.6493174728139</v>
      </c>
      <c r="T82">
        <v>11.6859272493228</v>
      </c>
      <c r="U82">
        <v>9.6254957815552924</v>
      </c>
      <c r="V82">
        <v>9.4945546719043445</v>
      </c>
      <c r="W82">
        <v>9.2505584672443035</v>
      </c>
      <c r="X82">
        <v>10.64673417166639</v>
      </c>
      <c r="Y82">
        <v>13.56257884830163</v>
      </c>
      <c r="Z82">
        <v>13.31440556800705</v>
      </c>
      <c r="AA82">
        <v>11.97847195238055</v>
      </c>
      <c r="AB82">
        <v>9.459548472353184</v>
      </c>
      <c r="AC82">
        <v>7.6738026224732074</v>
      </c>
      <c r="AD82">
        <v>5.8310997385451593</v>
      </c>
      <c r="AE82">
        <v>2.538525917814165</v>
      </c>
      <c r="AF82">
        <v>3.2888982140013252</v>
      </c>
      <c r="AG82">
        <v>2.7008152750811258</v>
      </c>
      <c r="AH82">
        <v>3.4983022070074932</v>
      </c>
      <c r="AI82">
        <v>3.1942833802947481</v>
      </c>
      <c r="AJ82">
        <v>3.2134073240968739</v>
      </c>
      <c r="AK82">
        <v>2.3637604626935329</v>
      </c>
      <c r="AL82">
        <v>2.104462771246439</v>
      </c>
      <c r="AM82">
        <v>1.6555153292699289</v>
      </c>
      <c r="AN82">
        <v>1.7964814209559461</v>
      </c>
      <c r="AO82">
        <v>1.9828836508973771</v>
      </c>
      <c r="AP82">
        <v>1.2039429402696249</v>
      </c>
      <c r="AQ82">
        <v>0.65112686783304885</v>
      </c>
      <c r="AR82">
        <v>0.53714163913464508</v>
      </c>
      <c r="AS82">
        <v>1.6759598872092729</v>
      </c>
      <c r="AT82">
        <v>1.634780795496015</v>
      </c>
      <c r="AU82">
        <v>1.923412287270605</v>
      </c>
      <c r="AV82">
        <v>2.0984721914692321</v>
      </c>
      <c r="AW82">
        <v>2.1420896464024088</v>
      </c>
      <c r="AX82">
        <v>1.7458693638048151</v>
      </c>
      <c r="AY82">
        <v>1.675124496087232</v>
      </c>
      <c r="AZ82">
        <v>1.4879980595385971</v>
      </c>
      <c r="BA82">
        <v>2.8128619491478659</v>
      </c>
      <c r="BB82">
        <v>8.7620478157455245E-2</v>
      </c>
      <c r="BC82">
        <v>1.5311227042092601</v>
      </c>
      <c r="BD82">
        <v>2.1115979517499408</v>
      </c>
      <c r="BE82">
        <v>1.9541953161350989</v>
      </c>
      <c r="BF82">
        <v>0.8637154978618049</v>
      </c>
      <c r="BG82">
        <v>0.50775882293799024</v>
      </c>
      <c r="BH82">
        <v>3.7514380512518208E-2</v>
      </c>
      <c r="BI82">
        <v>0.18333486112385969</v>
      </c>
      <c r="BJ82">
        <v>1.032282750646621</v>
      </c>
      <c r="BK82">
        <v>1.850815083155025</v>
      </c>
      <c r="BL82">
        <v>1.108254922882937</v>
      </c>
      <c r="BM82">
        <v>0.47649885272506581</v>
      </c>
      <c r="BN82">
        <v>1.642331410383848</v>
      </c>
      <c r="BO82">
        <v>5.2223674836973508</v>
      </c>
      <c r="BP82">
        <v>4.8783572650844071</v>
      </c>
      <c r="BQ82">
        <v>1.9990494229146301</v>
      </c>
    </row>
    <row r="83" spans="1:69" x14ac:dyDescent="0.25">
      <c r="A83" t="s">
        <v>1199</v>
      </c>
      <c r="B83" t="s">
        <v>1200</v>
      </c>
      <c r="C83" t="s">
        <v>1575</v>
      </c>
      <c r="D83" t="s">
        <v>1576</v>
      </c>
    </row>
    <row r="84" spans="1:69" x14ac:dyDescent="0.25">
      <c r="A84" t="s">
        <v>1201</v>
      </c>
      <c r="B84" t="s">
        <v>1202</v>
      </c>
      <c r="C84" t="s">
        <v>1575</v>
      </c>
      <c r="D84" t="s">
        <v>1576</v>
      </c>
      <c r="AS84">
        <v>2.1585181061941912</v>
      </c>
      <c r="AT84">
        <v>0.50249735129402739</v>
      </c>
      <c r="AU84">
        <v>-0.11144242643294471</v>
      </c>
      <c r="AV84">
        <v>0.12664334820890311</v>
      </c>
      <c r="AW84">
        <v>2.2766969824730401</v>
      </c>
      <c r="AX84">
        <v>4.257699782109416</v>
      </c>
      <c r="AY84">
        <v>4.6373700858563458</v>
      </c>
      <c r="AZ84">
        <v>3.3063427800269909</v>
      </c>
      <c r="BA84">
        <v>8.4237256624618642</v>
      </c>
      <c r="BB84">
        <v>6.3936025773520058</v>
      </c>
      <c r="BC84">
        <v>3.313709631362165</v>
      </c>
      <c r="BD84">
        <v>5.0825940389037108</v>
      </c>
      <c r="BE84">
        <v>5.0185035304561634</v>
      </c>
      <c r="BF84">
        <v>1.752327373507615</v>
      </c>
      <c r="BG84">
        <v>0.65028489176794424</v>
      </c>
      <c r="BH84">
        <v>-0.29811583738070019</v>
      </c>
      <c r="BI84">
        <v>-1.0374680640534899</v>
      </c>
      <c r="BJ84">
        <v>0.58225373525488966</v>
      </c>
      <c r="BK84">
        <v>1.4984002359373669</v>
      </c>
      <c r="BL84">
        <v>1.923851707879231</v>
      </c>
      <c r="BM84">
        <v>0.55459463085317429</v>
      </c>
      <c r="BN84">
        <v>3.1912840659746631</v>
      </c>
      <c r="BO84">
        <v>5.4087437547906658</v>
      </c>
    </row>
    <row r="85" spans="1:69" x14ac:dyDescent="0.25">
      <c r="A85" t="s">
        <v>1203</v>
      </c>
      <c r="B85" t="s">
        <v>1204</v>
      </c>
      <c r="C85" t="s">
        <v>1575</v>
      </c>
      <c r="D85" t="s">
        <v>1576</v>
      </c>
      <c r="H85">
        <v>7.1583333324999563</v>
      </c>
      <c r="I85">
        <v>3.3284081190083041</v>
      </c>
      <c r="J85">
        <v>2.4384736959591939</v>
      </c>
      <c r="K85">
        <v>3.6441113809676948</v>
      </c>
      <c r="L85">
        <v>1.977741546826663</v>
      </c>
      <c r="M85">
        <v>2.335604059298392</v>
      </c>
      <c r="N85">
        <v>2.9751392473964988</v>
      </c>
      <c r="O85">
        <v>3.812664907667902</v>
      </c>
      <c r="P85">
        <v>3.8632608970157629</v>
      </c>
      <c r="Q85">
        <v>3.4870916434787</v>
      </c>
      <c r="R85">
        <v>6.2071411681433872</v>
      </c>
      <c r="S85">
        <v>12.07280418566191</v>
      </c>
      <c r="T85">
        <v>28.45294263723375</v>
      </c>
      <c r="U85">
        <v>20.171564463972071</v>
      </c>
      <c r="V85">
        <v>13.85256908628412</v>
      </c>
      <c r="W85">
        <v>10.764169097680741</v>
      </c>
      <c r="X85">
        <v>7.9526985375144381</v>
      </c>
      <c r="Y85">
        <v>12.34035925656025</v>
      </c>
      <c r="Z85">
        <v>8.7065021489300545</v>
      </c>
      <c r="AA85">
        <v>16.685796879749152</v>
      </c>
      <c r="AB85">
        <v>10.671936758893381</v>
      </c>
      <c r="AC85">
        <v>5.8571428571429509</v>
      </c>
      <c r="AD85">
        <v>7.3549257759783</v>
      </c>
      <c r="AE85">
        <v>6.2853551225645088</v>
      </c>
      <c r="AF85">
        <v>-0.94618568894144117</v>
      </c>
      <c r="AG85">
        <v>-8.7761194029851097</v>
      </c>
      <c r="AH85">
        <v>6.7408376963349834</v>
      </c>
      <c r="AI85">
        <v>7.72532188841208</v>
      </c>
      <c r="AJ85">
        <v>-11.68611269208882</v>
      </c>
      <c r="AK85">
        <v>-9.5429133033657543</v>
      </c>
      <c r="AL85">
        <v>0.53374655647419122</v>
      </c>
      <c r="AM85">
        <v>36.11624569629852</v>
      </c>
      <c r="AN85">
        <v>9.6465310407961589</v>
      </c>
      <c r="AO85">
        <v>0.68969337728163826</v>
      </c>
      <c r="AP85">
        <v>3.973450075452996</v>
      </c>
      <c r="AQ85">
        <v>1.448738542945982</v>
      </c>
      <c r="AR85">
        <v>-1.9366039760362601</v>
      </c>
      <c r="AS85">
        <v>0.50492002583485862</v>
      </c>
      <c r="AT85">
        <v>2.1376205270146489</v>
      </c>
      <c r="AU85">
        <v>3.6682889397139408E-2</v>
      </c>
      <c r="AV85">
        <v>2.2353531355153611</v>
      </c>
      <c r="AW85">
        <v>0.40820530743925021</v>
      </c>
      <c r="AX85">
        <v>3.7083333333330351</v>
      </c>
      <c r="AY85">
        <v>-1.409401366009797</v>
      </c>
      <c r="AZ85">
        <v>5.03031883679951</v>
      </c>
      <c r="BA85">
        <v>5.2643014557528529</v>
      </c>
      <c r="BB85">
        <v>1.8857075457791841</v>
      </c>
      <c r="BC85">
        <v>1.46154402720469</v>
      </c>
      <c r="BD85">
        <v>1.26331707837421</v>
      </c>
      <c r="BE85">
        <v>2.6524182869562609</v>
      </c>
      <c r="BF85">
        <v>0.50544105891561453</v>
      </c>
      <c r="BG85">
        <v>4.6904575182628374</v>
      </c>
      <c r="BH85">
        <v>-0.33879518875340592</v>
      </c>
      <c r="BI85">
        <v>2.1067071278405431</v>
      </c>
      <c r="BJ85">
        <v>2.6519258314390179</v>
      </c>
      <c r="BK85">
        <v>4.7490665208322147</v>
      </c>
      <c r="BL85">
        <v>2.464567561511867</v>
      </c>
      <c r="BM85">
        <v>1.3527611067533261</v>
      </c>
      <c r="BN85">
        <v>1.0869074651940951</v>
      </c>
      <c r="BO85">
        <v>4.2312479827457947</v>
      </c>
      <c r="BP85">
        <v>3.629015341853759</v>
      </c>
      <c r="BQ85">
        <v>1.17311998381218</v>
      </c>
    </row>
    <row r="86" spans="1:69" x14ac:dyDescent="0.25">
      <c r="A86" t="s">
        <v>1205</v>
      </c>
      <c r="B86" t="s">
        <v>1206</v>
      </c>
      <c r="C86" t="s">
        <v>1575</v>
      </c>
      <c r="D86" t="s">
        <v>1576</v>
      </c>
      <c r="E86">
        <v>1.003575703901721</v>
      </c>
      <c r="F86">
        <v>3.4474962304661951</v>
      </c>
      <c r="G86">
        <v>4.1964988823855123</v>
      </c>
      <c r="H86">
        <v>2.0185435597622901</v>
      </c>
      <c r="I86">
        <v>3.2815869469721251</v>
      </c>
      <c r="J86">
        <v>4.773774553869143</v>
      </c>
      <c r="K86">
        <v>3.9096177921188882</v>
      </c>
      <c r="L86">
        <v>2.4821156047480391</v>
      </c>
      <c r="M86">
        <v>4.697427988272449</v>
      </c>
      <c r="N86">
        <v>5.44666363048887</v>
      </c>
      <c r="O86">
        <v>6.3665684172744061</v>
      </c>
      <c r="P86">
        <v>9.4448374233713341</v>
      </c>
      <c r="Q86">
        <v>7.0710983947979704</v>
      </c>
      <c r="R86">
        <v>9.1960331665781219</v>
      </c>
      <c r="S86">
        <v>16.04401118898614</v>
      </c>
      <c r="T86">
        <v>24.207287674329109</v>
      </c>
      <c r="U86">
        <v>16.559522558808371</v>
      </c>
      <c r="V86">
        <v>15.84026674587677</v>
      </c>
      <c r="W86">
        <v>8.2631410386076816</v>
      </c>
      <c r="X86">
        <v>13.42127997740122</v>
      </c>
      <c r="Y86">
        <v>17.965924265685722</v>
      </c>
      <c r="Z86">
        <v>11.87662651422964</v>
      </c>
      <c r="AA86">
        <v>8.5988638333218574</v>
      </c>
      <c r="AB86">
        <v>4.6093032726977921</v>
      </c>
      <c r="AC86">
        <v>4.9607109782192653</v>
      </c>
      <c r="AD86">
        <v>6.0713943401511861</v>
      </c>
      <c r="AE86">
        <v>3.4276094036931442</v>
      </c>
      <c r="AF86">
        <v>4.1489223205294516</v>
      </c>
      <c r="AG86">
        <v>4.1553517158310234</v>
      </c>
      <c r="AH86">
        <v>5.7602490918526161</v>
      </c>
      <c r="AI86">
        <v>8.0634609093883274</v>
      </c>
      <c r="AJ86">
        <v>7.4617829574693353</v>
      </c>
      <c r="AK86">
        <v>4.5915492957746089</v>
      </c>
      <c r="AL86">
        <v>2.5585779692970481</v>
      </c>
      <c r="AM86">
        <v>2.2190126050420451</v>
      </c>
      <c r="AN86">
        <v>2.6974951830443179</v>
      </c>
      <c r="AO86">
        <v>2.8517823639774891</v>
      </c>
      <c r="AP86">
        <v>2.2011431351088189</v>
      </c>
      <c r="AQ86">
        <v>1.820561637315566</v>
      </c>
      <c r="AR86">
        <v>1.752950800514202</v>
      </c>
      <c r="AS86">
        <v>1.182956242104084</v>
      </c>
      <c r="AT86">
        <v>1.532349602724177</v>
      </c>
      <c r="AU86">
        <v>1.52040245947455</v>
      </c>
      <c r="AV86">
        <v>1.3765003854201301</v>
      </c>
      <c r="AW86">
        <v>1.390397566804219</v>
      </c>
      <c r="AX86">
        <v>2.0891364902506959</v>
      </c>
      <c r="AY86">
        <v>2.4556616643929048</v>
      </c>
      <c r="AZ86">
        <v>2.3865615077332709</v>
      </c>
      <c r="BA86">
        <v>3.5214085634253869</v>
      </c>
      <c r="BB86">
        <v>1.961731735601091</v>
      </c>
      <c r="BC86">
        <v>2.492654724670655</v>
      </c>
      <c r="BD86">
        <v>3.8561124468282002</v>
      </c>
      <c r="BE86">
        <v>2.573234796545302</v>
      </c>
      <c r="BF86">
        <v>2.2916666666665941</v>
      </c>
      <c r="BG86">
        <v>1.4511201629327919</v>
      </c>
      <c r="BH86">
        <v>0.36804684232536039</v>
      </c>
      <c r="BI86">
        <v>1.0084173681140951</v>
      </c>
      <c r="BJ86">
        <v>2.5577557755774731</v>
      </c>
      <c r="BK86">
        <v>2.292839903459376</v>
      </c>
      <c r="BL86">
        <v>1.738104600865128</v>
      </c>
      <c r="BM86">
        <v>0.98948670377249126</v>
      </c>
      <c r="BN86">
        <v>2.51837109614213</v>
      </c>
      <c r="BO86">
        <v>7.9220488314790227</v>
      </c>
      <c r="BP86">
        <v>6.7939670679396258</v>
      </c>
      <c r="BQ86">
        <v>3.2715729463592012</v>
      </c>
    </row>
    <row r="87" spans="1:69" x14ac:dyDescent="0.25">
      <c r="A87" t="s">
        <v>1207</v>
      </c>
      <c r="B87" t="s">
        <v>1208</v>
      </c>
      <c r="C87" t="s">
        <v>1575</v>
      </c>
      <c r="D87" t="s">
        <v>1576</v>
      </c>
      <c r="AN87">
        <v>162.71715215037699</v>
      </c>
      <c r="AO87">
        <v>39.35749999871458</v>
      </c>
      <c r="AP87">
        <v>7.0876176294872613</v>
      </c>
      <c r="AQ87">
        <v>3.5668078127878289</v>
      </c>
      <c r="AR87">
        <v>19.19267582188947</v>
      </c>
      <c r="AS87">
        <v>4.0639620138259609</v>
      </c>
      <c r="AT87">
        <v>4.6460444205863398</v>
      </c>
      <c r="AU87">
        <v>5.5878373000079433</v>
      </c>
      <c r="AV87">
        <v>0.83773453153656796</v>
      </c>
      <c r="AW87">
        <v>5.6563263619113187</v>
      </c>
      <c r="AX87">
        <v>8.2470904311415811</v>
      </c>
      <c r="AY87">
        <v>9.1609650839449674</v>
      </c>
      <c r="AZ87">
        <v>9.2448974559240362</v>
      </c>
      <c r="BA87">
        <v>9.9994876155274692</v>
      </c>
      <c r="BB87">
        <v>1.727514611379096</v>
      </c>
      <c r="BC87">
        <v>7.1101789748609887</v>
      </c>
      <c r="BD87">
        <v>8.5429333333333002</v>
      </c>
      <c r="BE87">
        <v>-0.94365885327096399</v>
      </c>
      <c r="BF87">
        <v>-0.51205841094709237</v>
      </c>
      <c r="BG87">
        <v>3.0688121037954308</v>
      </c>
      <c r="BH87">
        <v>4.0035782069509729</v>
      </c>
      <c r="BI87">
        <v>2.1349271393912121</v>
      </c>
      <c r="BJ87">
        <v>6.0353172527211694</v>
      </c>
      <c r="BK87">
        <v>2.615244713976705</v>
      </c>
      <c r="BL87">
        <v>4.852898216967227</v>
      </c>
      <c r="BM87">
        <v>5.2024648897534043</v>
      </c>
      <c r="BN87">
        <v>9.5669143382476918</v>
      </c>
      <c r="BO87">
        <v>11.89816542031976</v>
      </c>
      <c r="BP87">
        <v>2.4877605657871462</v>
      </c>
      <c r="BQ87">
        <v>1.109717580220962</v>
      </c>
    </row>
    <row r="88" spans="1:69" x14ac:dyDescent="0.25">
      <c r="A88" t="s">
        <v>1209</v>
      </c>
      <c r="B88" t="s">
        <v>1210</v>
      </c>
      <c r="C88" t="s">
        <v>1575</v>
      </c>
      <c r="D88" t="s">
        <v>1576</v>
      </c>
      <c r="J88">
        <v>26.444784849017331</v>
      </c>
      <c r="K88">
        <v>13.237885462653869</v>
      </c>
      <c r="L88">
        <v>-8.4224858978028294</v>
      </c>
      <c r="M88">
        <v>7.8947368421053898</v>
      </c>
      <c r="N88">
        <v>7.3170731626012477</v>
      </c>
      <c r="O88">
        <v>3.0303030305326542</v>
      </c>
      <c r="P88">
        <v>9.5588235374677222</v>
      </c>
      <c r="Q88">
        <v>10.067114093959489</v>
      </c>
      <c r="R88">
        <v>17.682926823171069</v>
      </c>
      <c r="S88">
        <v>18.13471502684633</v>
      </c>
      <c r="T88">
        <v>29.824561404816809</v>
      </c>
      <c r="U88">
        <v>56.081081082975579</v>
      </c>
      <c r="V88">
        <v>116.4502164536386</v>
      </c>
      <c r="W88">
        <v>73.091666667343034</v>
      </c>
      <c r="X88">
        <v>54.441288334561612</v>
      </c>
      <c r="Y88">
        <v>50.070139343636441</v>
      </c>
      <c r="Z88">
        <v>116.5036039965411</v>
      </c>
      <c r="AA88">
        <v>22.295566408089329</v>
      </c>
      <c r="AB88">
        <v>122.8745145725921</v>
      </c>
      <c r="AC88">
        <v>39.665313794726757</v>
      </c>
      <c r="AD88">
        <v>10.30544066982954</v>
      </c>
      <c r="AE88">
        <v>24.565416076500071</v>
      </c>
      <c r="AF88">
        <v>39.815067877536322</v>
      </c>
      <c r="AG88">
        <v>31.359267626476839</v>
      </c>
      <c r="AH88">
        <v>25.22369202958248</v>
      </c>
      <c r="AI88">
        <v>37.259066485567082</v>
      </c>
      <c r="AJ88">
        <v>18.031439008984911</v>
      </c>
      <c r="AK88">
        <v>10.056116744884131</v>
      </c>
      <c r="AL88">
        <v>24.95984247424968</v>
      </c>
      <c r="AM88">
        <v>24.870255436957631</v>
      </c>
      <c r="AN88">
        <v>59.461553699144623</v>
      </c>
      <c r="AO88">
        <v>46.561019676228227</v>
      </c>
      <c r="AP88">
        <v>27.88520864075274</v>
      </c>
      <c r="AQ88">
        <v>14.62416666666746</v>
      </c>
      <c r="AR88">
        <v>4.8653978507752846</v>
      </c>
      <c r="AS88">
        <v>40.240933123914012</v>
      </c>
      <c r="AT88">
        <v>41.509496287803017</v>
      </c>
      <c r="AU88">
        <v>9.3609323956031272</v>
      </c>
      <c r="AV88">
        <v>29.77297971603836</v>
      </c>
      <c r="AW88">
        <v>18.042738823256489</v>
      </c>
      <c r="AX88">
        <v>15.438992015590831</v>
      </c>
      <c r="AY88">
        <v>11.67918393924918</v>
      </c>
      <c r="AZ88">
        <v>10.7342665456292</v>
      </c>
      <c r="BA88">
        <v>16.494639613412009</v>
      </c>
      <c r="BB88">
        <v>19.24694822208571</v>
      </c>
      <c r="BC88">
        <v>10.73338983549149</v>
      </c>
      <c r="BD88">
        <v>8.7284593709301994</v>
      </c>
      <c r="BE88">
        <v>11.186340944106719</v>
      </c>
      <c r="BF88">
        <v>11.66619230717286</v>
      </c>
      <c r="BG88">
        <v>15.48961603333184</v>
      </c>
      <c r="BH88">
        <v>17.149969500787758</v>
      </c>
      <c r="BI88">
        <v>17.454634707086761</v>
      </c>
      <c r="BJ88">
        <v>12.371921550704849</v>
      </c>
      <c r="BK88">
        <v>7.8087651661070296</v>
      </c>
      <c r="BL88">
        <v>7.1436400333085688</v>
      </c>
      <c r="BM88">
        <v>9.8872895626994417</v>
      </c>
      <c r="BN88">
        <v>9.9710886750443954</v>
      </c>
      <c r="BO88">
        <v>31.255895104901629</v>
      </c>
      <c r="BP88">
        <v>38.106965629650148</v>
      </c>
      <c r="BQ88">
        <v>22.84832811578422</v>
      </c>
    </row>
    <row r="89" spans="1:69" x14ac:dyDescent="0.25">
      <c r="A89" t="s">
        <v>1211</v>
      </c>
      <c r="B89" t="s">
        <v>1212</v>
      </c>
      <c r="C89" t="s">
        <v>1575</v>
      </c>
      <c r="D89" t="s">
        <v>1576</v>
      </c>
    </row>
    <row r="90" spans="1:69" x14ac:dyDescent="0.25">
      <c r="A90" t="s">
        <v>1213</v>
      </c>
      <c r="B90" t="s">
        <v>1214</v>
      </c>
      <c r="C90" t="s">
        <v>1575</v>
      </c>
      <c r="D90" t="s">
        <v>1576</v>
      </c>
      <c r="AX90">
        <v>31.3733025877534</v>
      </c>
      <c r="AY90">
        <v>34.695270599707221</v>
      </c>
      <c r="AZ90">
        <v>18.175565610859739</v>
      </c>
      <c r="BA90">
        <v>23.06561293879799</v>
      </c>
      <c r="BB90">
        <v>4.6843886897650409</v>
      </c>
      <c r="BC90">
        <v>15.050268855900081</v>
      </c>
      <c r="BD90">
        <v>21.316926854257702</v>
      </c>
      <c r="BE90">
        <v>15.2262941038638</v>
      </c>
      <c r="BF90">
        <v>11.887588448182759</v>
      </c>
      <c r="BG90">
        <v>6.150505567064199</v>
      </c>
      <c r="BH90">
        <v>11.78008250298339</v>
      </c>
      <c r="BI90">
        <v>8.1726811227513156</v>
      </c>
      <c r="BJ90">
        <v>8.9143594791309706</v>
      </c>
      <c r="BK90">
        <v>9.8276170125919116</v>
      </c>
      <c r="BL90">
        <v>9.4700103925301242</v>
      </c>
      <c r="BM90">
        <v>10.601620338716661</v>
      </c>
      <c r="BN90">
        <v>12.59728825669343</v>
      </c>
      <c r="BO90">
        <v>10.49304099844241</v>
      </c>
      <c r="BP90">
        <v>7.8049759192797348</v>
      </c>
      <c r="BQ90">
        <v>8.1231391494859615</v>
      </c>
    </row>
    <row r="91" spans="1:69" x14ac:dyDescent="0.25">
      <c r="A91" t="s">
        <v>1215</v>
      </c>
      <c r="B91" t="s">
        <v>1216</v>
      </c>
      <c r="C91" t="s">
        <v>1575</v>
      </c>
      <c r="D91" t="s">
        <v>1576</v>
      </c>
      <c r="G91">
        <v>1.7876178761051711</v>
      </c>
      <c r="H91">
        <v>4.6161282529872132</v>
      </c>
      <c r="I91">
        <v>-4.5356537812367899</v>
      </c>
      <c r="J91">
        <v>1.2180366216885561</v>
      </c>
      <c r="K91">
        <v>0.23908192532821959</v>
      </c>
      <c r="L91">
        <v>1.407218953816767</v>
      </c>
      <c r="M91">
        <v>4.1787534301288716</v>
      </c>
      <c r="N91">
        <v>5.0120409388401654</v>
      </c>
      <c r="O91">
        <v>-1.9850938796199511</v>
      </c>
      <c r="P91">
        <v>3.0562257804500841</v>
      </c>
      <c r="Q91">
        <v>8.698119900794353</v>
      </c>
      <c r="R91">
        <v>6.9186084458901949</v>
      </c>
      <c r="S91">
        <v>9.2363103596685328</v>
      </c>
      <c r="T91">
        <v>25.924999999499938</v>
      </c>
      <c r="U91">
        <v>17.027331083251941</v>
      </c>
      <c r="V91">
        <v>12.38973083012857</v>
      </c>
      <c r="W91">
        <v>8.8553459121409102</v>
      </c>
      <c r="X91">
        <v>6.1289577073428152</v>
      </c>
      <c r="Y91">
        <v>6.8246156524779682</v>
      </c>
      <c r="Z91">
        <v>5.9442270061444518</v>
      </c>
      <c r="AA91">
        <v>10.855845455308909</v>
      </c>
      <c r="AB91">
        <v>10.636303676138549</v>
      </c>
      <c r="AC91">
        <v>22.09845941453268</v>
      </c>
      <c r="AD91">
        <v>18.319884874273018</v>
      </c>
      <c r="AE91">
        <v>56.560172013504022</v>
      </c>
      <c r="AF91">
        <v>23.52916695569413</v>
      </c>
      <c r="AG91">
        <v>11.69058688767633</v>
      </c>
      <c r="AH91">
        <v>8.2750160875159171</v>
      </c>
      <c r="AI91">
        <v>12.16778411306958</v>
      </c>
      <c r="AJ91">
        <v>8.6423432597343783</v>
      </c>
      <c r="AK91">
        <v>9.4865425061716326</v>
      </c>
      <c r="AL91">
        <v>6.463804227538466</v>
      </c>
      <c r="AM91">
        <v>1.710206323056372</v>
      </c>
      <c r="AN91">
        <v>6.9809744183055598</v>
      </c>
      <c r="AO91">
        <v>1.099488707710178</v>
      </c>
      <c r="AP91">
        <v>2.781227900232293</v>
      </c>
      <c r="AQ91">
        <v>1.114188411747133</v>
      </c>
      <c r="AR91">
        <v>3.812372053660197</v>
      </c>
      <c r="AS91">
        <v>0.84496956677370016</v>
      </c>
      <c r="AT91">
        <v>4.4925960923975428</v>
      </c>
      <c r="AU91">
        <v>8.6091247438632692</v>
      </c>
      <c r="AV91">
        <v>17.032866543198828</v>
      </c>
      <c r="AW91">
        <v>14.206743284556881</v>
      </c>
      <c r="AX91">
        <v>4.8386217754315668</v>
      </c>
      <c r="AY91">
        <v>2.0565034236599011</v>
      </c>
      <c r="AZ91">
        <v>5.3691347380195671</v>
      </c>
      <c r="BA91">
        <v>4.4436549094500979</v>
      </c>
      <c r="BB91">
        <v>4.561506876709827</v>
      </c>
      <c r="BC91">
        <v>5.0496807585740173</v>
      </c>
      <c r="BD91">
        <v>4.7958826618310999</v>
      </c>
      <c r="BE91">
        <v>4.2543219981389857</v>
      </c>
      <c r="BF91">
        <v>5.6991298963738197</v>
      </c>
      <c r="BG91">
        <v>5.9479993569662577</v>
      </c>
      <c r="BH91">
        <v>6.8084549457960986</v>
      </c>
      <c r="BI91">
        <v>7.2287927205792242</v>
      </c>
      <c r="BJ91">
        <v>8.0341897454591127</v>
      </c>
      <c r="BK91">
        <v>6.5209682394657262</v>
      </c>
      <c r="BL91">
        <v>7.1156762563119216</v>
      </c>
      <c r="BM91">
        <v>5.9312763656244059</v>
      </c>
      <c r="BN91">
        <v>7.3703475887661787</v>
      </c>
      <c r="BO91">
        <v>11.513119838050491</v>
      </c>
      <c r="BP91">
        <v>16.974212963232691</v>
      </c>
      <c r="BQ91">
        <v>11.56105328975111</v>
      </c>
    </row>
    <row r="92" spans="1:69" x14ac:dyDescent="0.25">
      <c r="A92" t="s">
        <v>1217</v>
      </c>
      <c r="B92" t="s">
        <v>1218</v>
      </c>
      <c r="C92" t="s">
        <v>1575</v>
      </c>
      <c r="D92" t="s">
        <v>1576</v>
      </c>
      <c r="AG92">
        <v>60.2817826333536</v>
      </c>
      <c r="AH92">
        <v>80.788140643623322</v>
      </c>
      <c r="AI92">
        <v>33.00197783180257</v>
      </c>
      <c r="AJ92">
        <v>57.595284750566357</v>
      </c>
      <c r="AK92">
        <v>69.583636399379316</v>
      </c>
      <c r="AL92">
        <v>48.108166068706673</v>
      </c>
      <c r="AM92">
        <v>15.176347431344119</v>
      </c>
      <c r="AN92">
        <v>45.365308362185608</v>
      </c>
      <c r="AO92">
        <v>50.73405496121191</v>
      </c>
      <c r="AP92">
        <v>49.100923576953051</v>
      </c>
      <c r="AQ92">
        <v>8.0137551896560275</v>
      </c>
      <c r="AR92">
        <v>-2.0863051322352719</v>
      </c>
      <c r="AS92">
        <v>8.6363209493027835</v>
      </c>
      <c r="AT92">
        <v>3.3481226552710792</v>
      </c>
      <c r="AU92">
        <v>3.3001217528375171</v>
      </c>
      <c r="AV92">
        <v>-3.5025855110342099</v>
      </c>
      <c r="AW92">
        <v>0.88330269693094343</v>
      </c>
      <c r="AX92">
        <v>3.3291992280285561</v>
      </c>
      <c r="AY92">
        <v>1.954737176289165</v>
      </c>
      <c r="AZ92">
        <v>4.6174377224199663</v>
      </c>
      <c r="BA92">
        <v>10.46007313547063</v>
      </c>
      <c r="BB92">
        <v>-1.6513973362077501</v>
      </c>
      <c r="BC92">
        <v>2.5178514017170142</v>
      </c>
      <c r="BD92">
        <v>5.0461022632020001</v>
      </c>
      <c r="BE92">
        <v>2.1305458027450279</v>
      </c>
      <c r="BF92">
        <v>1.2071255566840451</v>
      </c>
      <c r="BG92">
        <v>-1.5092446057049389</v>
      </c>
      <c r="BH92">
        <v>1.4767204891048471</v>
      </c>
      <c r="BI92">
        <v>1.503120558610882</v>
      </c>
      <c r="BJ92">
        <v>1.691114618222977</v>
      </c>
      <c r="BK92">
        <v>0.38132470279099151</v>
      </c>
      <c r="BL92">
        <v>0.24660026814782951</v>
      </c>
      <c r="BM92">
        <v>1.140009393932222</v>
      </c>
      <c r="BN92">
        <v>2.2424887957765849</v>
      </c>
      <c r="BO92">
        <v>9.3907593398520302</v>
      </c>
      <c r="BP92">
        <v>7.1022092855705923</v>
      </c>
      <c r="BQ92">
        <v>3.7655582577011399</v>
      </c>
    </row>
    <row r="93" spans="1:69" x14ac:dyDescent="0.25">
      <c r="A93" t="s">
        <v>1219</v>
      </c>
      <c r="B93" t="s">
        <v>1220</v>
      </c>
      <c r="C93" t="s">
        <v>1575</v>
      </c>
      <c r="D93" t="s">
        <v>1576</v>
      </c>
      <c r="AE93">
        <v>-17.640424092037129</v>
      </c>
      <c r="AF93">
        <v>-13.174472747192739</v>
      </c>
      <c r="AG93">
        <v>2.5236593059939132</v>
      </c>
      <c r="AH93">
        <v>6.1661538461536294</v>
      </c>
      <c r="AI93">
        <v>0.85787155112473545</v>
      </c>
      <c r="AJ93">
        <v>-3.425287356322015</v>
      </c>
      <c r="AK93">
        <v>-4.2787431563912879</v>
      </c>
      <c r="AL93">
        <v>5.4522847373327981</v>
      </c>
      <c r="AM93">
        <v>31.841016841638542</v>
      </c>
      <c r="AN93">
        <v>19.872434948347209</v>
      </c>
      <c r="AO93">
        <v>4.5407277154023467</v>
      </c>
      <c r="AP93">
        <v>3.0165054069436619</v>
      </c>
      <c r="AQ93">
        <v>7.9357106981414809</v>
      </c>
      <c r="AR93">
        <v>0.37226617031192782</v>
      </c>
      <c r="AS93">
        <v>4.8022888690139771</v>
      </c>
      <c r="AT93">
        <v>8.8253892585496612</v>
      </c>
      <c r="AU93">
        <v>7.5924784983324001</v>
      </c>
      <c r="AV93">
        <v>7.3235439935180873</v>
      </c>
      <c r="AW93">
        <v>4.2196878709483414</v>
      </c>
      <c r="AX93">
        <v>5.6316335135761317</v>
      </c>
      <c r="AY93">
        <v>4.4158998416956088</v>
      </c>
      <c r="AZ93">
        <v>2.8037383177570372</v>
      </c>
      <c r="BA93">
        <v>6.5517669118453536</v>
      </c>
      <c r="BB93">
        <v>4.6910656774737491</v>
      </c>
      <c r="BC93">
        <v>7.7891654799118353</v>
      </c>
      <c r="BD93">
        <v>4.8053892215570002</v>
      </c>
      <c r="BE93">
        <v>3.6566204827880568</v>
      </c>
      <c r="BF93">
        <v>2.9488769463966218</v>
      </c>
      <c r="BG93">
        <v>4.3099986614910737</v>
      </c>
      <c r="BH93">
        <v>1.6766308531598819</v>
      </c>
      <c r="BI93">
        <v>1.411939154790155</v>
      </c>
      <c r="BJ93">
        <v>0.74435474661241041</v>
      </c>
      <c r="BK93">
        <v>1.0600741066217121</v>
      </c>
      <c r="BL93">
        <v>1.5302752896418901</v>
      </c>
      <c r="BM93">
        <v>4.7666952394422824</v>
      </c>
      <c r="BN93">
        <v>-9.7100766464019841E-2</v>
      </c>
      <c r="BO93">
        <v>4.7867170471080298</v>
      </c>
      <c r="BP93">
        <v>2.8594950603732179</v>
      </c>
      <c r="BQ93">
        <v>2.921402273091033</v>
      </c>
    </row>
    <row r="94" spans="1:69" x14ac:dyDescent="0.25">
      <c r="A94" t="s">
        <v>1221</v>
      </c>
      <c r="B94" t="s">
        <v>1222</v>
      </c>
      <c r="C94" t="s">
        <v>1575</v>
      </c>
      <c r="D94" t="s">
        <v>1576</v>
      </c>
      <c r="E94">
        <v>1.4778475849337609</v>
      </c>
      <c r="F94">
        <v>2.1035793499702491</v>
      </c>
      <c r="G94">
        <v>-0.47542829104991352</v>
      </c>
      <c r="H94">
        <v>3.1846627279160828</v>
      </c>
      <c r="I94">
        <v>0.61730297851252369</v>
      </c>
      <c r="J94">
        <v>3.220872469970955</v>
      </c>
      <c r="K94">
        <v>4.903415961306008</v>
      </c>
      <c r="L94">
        <v>1.841357027505975</v>
      </c>
      <c r="M94">
        <v>0.1390605835077551</v>
      </c>
      <c r="N94">
        <v>2.6389186883548472</v>
      </c>
      <c r="O94">
        <v>2.841670678841175</v>
      </c>
      <c r="P94">
        <v>3.289470722303331</v>
      </c>
      <c r="Q94">
        <v>4.3312012320334832</v>
      </c>
      <c r="R94">
        <v>15.384624070212769</v>
      </c>
      <c r="S94">
        <v>26.560846586734851</v>
      </c>
      <c r="T94">
        <v>13.628761782175509</v>
      </c>
      <c r="U94">
        <v>13.024279458795499</v>
      </c>
      <c r="V94">
        <v>12.36979708750779</v>
      </c>
      <c r="W94">
        <v>12.572425672444149</v>
      </c>
      <c r="X94">
        <v>19.09417468087673</v>
      </c>
      <c r="Y94">
        <v>24.675893973623211</v>
      </c>
      <c r="Z94">
        <v>24.506067597796619</v>
      </c>
      <c r="AA94">
        <v>20.99108862200163</v>
      </c>
      <c r="AB94">
        <v>20.179481289213768</v>
      </c>
      <c r="AC94">
        <v>18.456813205018712</v>
      </c>
      <c r="AD94">
        <v>19.314692940664209</v>
      </c>
      <c r="AE94">
        <v>23.01545082050135</v>
      </c>
      <c r="AF94">
        <v>16.39686316353627</v>
      </c>
      <c r="AG94">
        <v>13.52885832150487</v>
      </c>
      <c r="AH94">
        <v>13.65556387236124</v>
      </c>
      <c r="AI94">
        <v>20.43349910946295</v>
      </c>
      <c r="AJ94">
        <v>19.455845644574541</v>
      </c>
      <c r="AK94">
        <v>15.87707379239191</v>
      </c>
      <c r="AL94">
        <v>14.411264443934799</v>
      </c>
      <c r="AM94">
        <v>10.87407568091316</v>
      </c>
      <c r="AN94">
        <v>8.9345141596151745</v>
      </c>
      <c r="AO94">
        <v>8.1945521763272762</v>
      </c>
      <c r="AP94">
        <v>5.5360026677348033</v>
      </c>
      <c r="AQ94">
        <v>4.7662257239764054</v>
      </c>
      <c r="AR94">
        <v>2.6366330602198018</v>
      </c>
      <c r="AS94">
        <v>3.151181624938296</v>
      </c>
      <c r="AT94">
        <v>3.373968322138674</v>
      </c>
      <c r="AU94">
        <v>3.6293587187887359</v>
      </c>
      <c r="AV94">
        <v>3.5306502776555151</v>
      </c>
      <c r="AW94">
        <v>2.898848107581697</v>
      </c>
      <c r="AX94">
        <v>3.5450727333507759</v>
      </c>
      <c r="AY94">
        <v>3.1959468414454459</v>
      </c>
      <c r="AZ94">
        <v>2.895003215165783</v>
      </c>
      <c r="BA94">
        <v>4.1527970811029338</v>
      </c>
      <c r="BB94">
        <v>1.2100726919780911</v>
      </c>
      <c r="BC94">
        <v>4.7129890776038827</v>
      </c>
      <c r="BD94">
        <v>3.3298532335064999</v>
      </c>
      <c r="BE94">
        <v>1.5015269617775771</v>
      </c>
      <c r="BF94">
        <v>-0.9212694542569938</v>
      </c>
      <c r="BG94">
        <v>-1.3122609640550631</v>
      </c>
      <c r="BH94">
        <v>-1.735888047652842</v>
      </c>
      <c r="BI94">
        <v>-0.82565397839097332</v>
      </c>
      <c r="BJ94">
        <v>1.1212545203141939</v>
      </c>
      <c r="BK94">
        <v>0.62562141345364031</v>
      </c>
      <c r="BL94">
        <v>0.25300752203815707</v>
      </c>
      <c r="BM94">
        <v>-1.247983555814052</v>
      </c>
      <c r="BN94">
        <v>1.2238250101985431</v>
      </c>
      <c r="BO94">
        <v>9.6452598128063176</v>
      </c>
      <c r="BP94">
        <v>3.4648012851340519</v>
      </c>
      <c r="BQ94">
        <v>2.7414904578860551</v>
      </c>
    </row>
    <row r="95" spans="1:69" x14ac:dyDescent="0.25">
      <c r="A95" t="s">
        <v>1223</v>
      </c>
      <c r="B95" t="s">
        <v>1224</v>
      </c>
      <c r="C95" t="s">
        <v>1575</v>
      </c>
      <c r="D95" t="s">
        <v>1576</v>
      </c>
      <c r="V95">
        <v>18.45688350983372</v>
      </c>
      <c r="W95">
        <v>18.135376756066471</v>
      </c>
      <c r="X95">
        <v>20.882882882883131</v>
      </c>
      <c r="Y95">
        <v>21.821433894767988</v>
      </c>
      <c r="Z95">
        <v>18.787470940902569</v>
      </c>
      <c r="AA95">
        <v>7.8127414121648942</v>
      </c>
      <c r="AB95">
        <v>6.095347281933436</v>
      </c>
      <c r="AC95">
        <v>5.6596127870328834</v>
      </c>
      <c r="AD95">
        <v>2.5013849235097929</v>
      </c>
      <c r="AE95">
        <v>0.55707990355053183</v>
      </c>
      <c r="AF95">
        <v>-0.8723333884575093</v>
      </c>
      <c r="AG95">
        <v>4.0000000000001323</v>
      </c>
      <c r="AH95">
        <v>5.5929487179489561</v>
      </c>
      <c r="AI95">
        <v>2.7242373653052518</v>
      </c>
      <c r="AJ95">
        <v>2.644603678806777</v>
      </c>
      <c r="AK95">
        <v>3.7783375314861769</v>
      </c>
      <c r="AL95">
        <v>2.8085991678224529</v>
      </c>
      <c r="AM95">
        <v>3.7706576728496488</v>
      </c>
      <c r="AN95">
        <v>1.868824752989779</v>
      </c>
      <c r="AO95">
        <v>2.0323517212778248</v>
      </c>
      <c r="AP95">
        <v>1.2445278298934339</v>
      </c>
      <c r="AQ95">
        <v>1.3776933038949639</v>
      </c>
      <c r="AR95">
        <v>0.57742763867711933</v>
      </c>
      <c r="AS95">
        <v>2.1818181818182101</v>
      </c>
      <c r="AT95">
        <v>3.1409930520254341</v>
      </c>
      <c r="AU95">
        <v>1.067215479928745</v>
      </c>
      <c r="AV95">
        <v>2.1549280990867929</v>
      </c>
      <c r="AW95">
        <v>2.3129167822611039</v>
      </c>
      <c r="AX95">
        <v>3.4758069375540011</v>
      </c>
      <c r="AY95">
        <v>4.2519532197796712</v>
      </c>
      <c r="AZ95">
        <v>3.8588292246965259</v>
      </c>
      <c r="BA95">
        <v>8.033273276503401</v>
      </c>
      <c r="BB95">
        <v>-0.30865477958564158</v>
      </c>
      <c r="BC95">
        <v>3.436509059433511</v>
      </c>
      <c r="BD95">
        <v>3.0334728033473999</v>
      </c>
      <c r="BE95">
        <v>2.4107770402186248</v>
      </c>
      <c r="BF95">
        <v>-4.3999786482805829E-2</v>
      </c>
      <c r="BG95">
        <v>-0.98360305555497951</v>
      </c>
      <c r="BH95">
        <v>-0.51544803143532947</v>
      </c>
      <c r="BI95">
        <v>1.6503899443157279</v>
      </c>
      <c r="BJ95">
        <v>0.90845825587424922</v>
      </c>
      <c r="BK95">
        <v>0.80410231327703341</v>
      </c>
      <c r="BL95">
        <v>0.59814976473602233</v>
      </c>
      <c r="BM95">
        <v>-0.74073259704549765</v>
      </c>
      <c r="BN95">
        <v>1.2195119391683791</v>
      </c>
      <c r="BO95">
        <v>2.5805392590791958</v>
      </c>
      <c r="BP95">
        <v>2.6961226981456439</v>
      </c>
      <c r="BQ95">
        <v>1.0861536513473651</v>
      </c>
    </row>
    <row r="96" spans="1:69" x14ac:dyDescent="0.25">
      <c r="A96" t="s">
        <v>1225</v>
      </c>
      <c r="B96" t="s">
        <v>1226</v>
      </c>
      <c r="C96" t="s">
        <v>1575</v>
      </c>
      <c r="D96" t="s">
        <v>1576</v>
      </c>
    </row>
    <row r="97" spans="1:69" x14ac:dyDescent="0.25">
      <c r="A97" t="s">
        <v>1227</v>
      </c>
      <c r="B97" t="s">
        <v>1228</v>
      </c>
      <c r="C97" t="s">
        <v>1575</v>
      </c>
      <c r="D97" t="s">
        <v>1576</v>
      </c>
      <c r="E97">
        <v>-1.1906931534600049</v>
      </c>
      <c r="F97">
        <v>-0.55333538272656391</v>
      </c>
      <c r="G97">
        <v>2.0525502320969902</v>
      </c>
      <c r="H97">
        <v>0.15145089937591369</v>
      </c>
      <c r="I97">
        <v>-0.1935639970365518</v>
      </c>
      <c r="J97">
        <v>-0.80000000000353666</v>
      </c>
      <c r="K97">
        <v>0.68426197446523451</v>
      </c>
      <c r="L97">
        <v>0.48543689344874502</v>
      </c>
      <c r="M97">
        <v>1.9263285023008589</v>
      </c>
      <c r="N97">
        <v>2.0972806447157661</v>
      </c>
      <c r="O97">
        <v>2.34433934881414</v>
      </c>
      <c r="P97">
        <v>-0.4535918807638048</v>
      </c>
      <c r="Q97">
        <v>0.52970325232301163</v>
      </c>
      <c r="R97">
        <v>13.79603399450191</v>
      </c>
      <c r="S97">
        <v>16.494896689013391</v>
      </c>
      <c r="T97">
        <v>13.15924437985824</v>
      </c>
      <c r="U97">
        <v>10.724999999250031</v>
      </c>
      <c r="V97">
        <v>12.32457968609989</v>
      </c>
      <c r="W97">
        <v>8.2879762495770422</v>
      </c>
      <c r="X97">
        <v>11.343385881160721</v>
      </c>
      <c r="Y97">
        <v>10.82384323354108</v>
      </c>
      <c r="Z97">
        <v>11.43306795035048</v>
      </c>
      <c r="AA97">
        <v>0.30738556143707241</v>
      </c>
      <c r="AB97">
        <v>4.5386781513325323</v>
      </c>
      <c r="AC97">
        <v>3.406750118377937</v>
      </c>
      <c r="AD97">
        <v>18.686791297123829</v>
      </c>
      <c r="AE97">
        <v>36.931121296501622</v>
      </c>
      <c r="AF97">
        <v>12.32321327550458</v>
      </c>
      <c r="AG97">
        <v>10.83270376899122</v>
      </c>
      <c r="AH97">
        <v>11.387132199795809</v>
      </c>
      <c r="AI97">
        <v>41.221867138097259</v>
      </c>
      <c r="AJ97">
        <v>33.166421916753471</v>
      </c>
      <c r="AK97">
        <v>10.04591799840882</v>
      </c>
      <c r="AL97">
        <v>11.819690174625659</v>
      </c>
      <c r="AM97">
        <v>10.85532114943909</v>
      </c>
      <c r="AN97">
        <v>8.4114131227056639</v>
      </c>
      <c r="AO97">
        <v>11.056916532198739</v>
      </c>
      <c r="AP97">
        <v>9.2329029488493468</v>
      </c>
      <c r="AQ97">
        <v>6.6134607051805814</v>
      </c>
      <c r="AR97">
        <v>5.2136105860112218</v>
      </c>
      <c r="AS97">
        <v>5.9775773473713576</v>
      </c>
      <c r="AT97">
        <v>7.2858736661013754</v>
      </c>
      <c r="AU97">
        <v>8.1326305428105403</v>
      </c>
      <c r="AV97">
        <v>5.6034767543446904</v>
      </c>
      <c r="AW97">
        <v>7.5786224730972913</v>
      </c>
      <c r="AX97">
        <v>9.1086498571922032</v>
      </c>
      <c r="AY97">
        <v>6.5608528279538376</v>
      </c>
      <c r="AZ97">
        <v>6.8216175359032647</v>
      </c>
      <c r="BA97">
        <v>11.355761126315</v>
      </c>
      <c r="BB97">
        <v>1.8591025473302849</v>
      </c>
      <c r="BC97">
        <v>3.8595090983316021</v>
      </c>
      <c r="BD97">
        <v>6.2141239306709997</v>
      </c>
      <c r="BE97">
        <v>3.7818075467967791</v>
      </c>
      <c r="BF97">
        <v>4.3433713127952061</v>
      </c>
      <c r="BG97">
        <v>3.4183616966295971</v>
      </c>
      <c r="BH97">
        <v>2.388720328395503</v>
      </c>
      <c r="BI97">
        <v>4.4484419994282689</v>
      </c>
      <c r="BJ97">
        <v>4.4245365518254589</v>
      </c>
      <c r="BK97">
        <v>3.7518618670450801</v>
      </c>
      <c r="BL97">
        <v>3.6999839800860479</v>
      </c>
      <c r="BM97">
        <v>3.2144406219734512</v>
      </c>
      <c r="BN97">
        <v>4.261051274228131</v>
      </c>
      <c r="BO97">
        <v>6.8851282334428694</v>
      </c>
      <c r="BP97">
        <v>6.2065759227212594</v>
      </c>
      <c r="BQ97">
        <v>2.869927529182938</v>
      </c>
    </row>
    <row r="98" spans="1:69" x14ac:dyDescent="0.25">
      <c r="A98" t="s">
        <v>1229</v>
      </c>
      <c r="B98" t="s">
        <v>1230</v>
      </c>
      <c r="C98" t="s">
        <v>1575</v>
      </c>
      <c r="D98" t="s">
        <v>1576</v>
      </c>
    </row>
    <row r="99" spans="1:69" x14ac:dyDescent="0.25">
      <c r="A99" t="s">
        <v>1231</v>
      </c>
      <c r="B99" t="s">
        <v>1232</v>
      </c>
      <c r="C99" t="s">
        <v>1575</v>
      </c>
      <c r="D99" t="s">
        <v>1576</v>
      </c>
      <c r="AN99">
        <v>12.21052631578946</v>
      </c>
      <c r="AO99">
        <v>7.0947119727604528</v>
      </c>
      <c r="AP99">
        <v>3.555670905788086</v>
      </c>
      <c r="AQ99">
        <v>4.5864661654135022</v>
      </c>
      <c r="AR99">
        <v>7.5382193985139274</v>
      </c>
      <c r="AS99">
        <v>6.1485433302487138</v>
      </c>
      <c r="AT99">
        <v>2.62741314203332</v>
      </c>
      <c r="AU99">
        <v>5.3410152137740967</v>
      </c>
      <c r="AV99">
        <v>5.9809781406647273</v>
      </c>
      <c r="AW99">
        <v>4.6684662236988199</v>
      </c>
      <c r="AX99">
        <v>6.9255430389015684</v>
      </c>
      <c r="AY99">
        <v>6.6771579041002758</v>
      </c>
      <c r="AZ99">
        <v>12.200154444664751</v>
      </c>
      <c r="BA99">
        <v>8.1020220696927563</v>
      </c>
      <c r="BB99">
        <v>2.9523009638100119</v>
      </c>
      <c r="BC99">
        <v>3.7333775770424569</v>
      </c>
      <c r="BD99">
        <v>4.9777356370697001</v>
      </c>
      <c r="BE99">
        <v>2.39193521312334</v>
      </c>
      <c r="BF99">
        <v>1.9012518186058229</v>
      </c>
      <c r="BG99">
        <v>0.85263049753991449</v>
      </c>
      <c r="BH99">
        <v>-1.0017343277637381</v>
      </c>
      <c r="BI99">
        <v>0.83600806150620732</v>
      </c>
      <c r="BJ99">
        <v>1.9046561551558381</v>
      </c>
      <c r="BK99">
        <v>1.2828428844352759</v>
      </c>
      <c r="BL99">
        <v>2.0872308916201261</v>
      </c>
      <c r="BM99">
        <v>0.99333702283873015</v>
      </c>
      <c r="BN99">
        <v>5.0328557462670194</v>
      </c>
      <c r="BO99">
        <v>6.1150555010993477</v>
      </c>
      <c r="BP99">
        <v>2.8211033509964119</v>
      </c>
      <c r="BQ99">
        <v>2.903952264463725</v>
      </c>
    </row>
    <row r="100" spans="1:69" x14ac:dyDescent="0.25">
      <c r="A100" t="s">
        <v>1233</v>
      </c>
      <c r="B100" t="s">
        <v>1234</v>
      </c>
      <c r="C100" t="s">
        <v>1575</v>
      </c>
      <c r="D100" t="s">
        <v>1576</v>
      </c>
      <c r="Z100">
        <v>11.509755837712341</v>
      </c>
      <c r="AA100">
        <v>9.1213820394942022</v>
      </c>
      <c r="AB100">
        <v>7.0940622721916631</v>
      </c>
      <c r="AC100">
        <v>6.0816022948644299</v>
      </c>
      <c r="AD100">
        <v>4.678751451832504</v>
      </c>
      <c r="AE100">
        <v>2.933579204423268</v>
      </c>
      <c r="AF100">
        <v>3.6645632175168981</v>
      </c>
      <c r="AG100">
        <v>4.4024118278676356</v>
      </c>
      <c r="AH100">
        <v>5.2788115917368987</v>
      </c>
      <c r="AI100">
        <v>5.62032342188553</v>
      </c>
      <c r="AJ100">
        <v>5.5555555555557907</v>
      </c>
      <c r="AK100">
        <v>4.0370302077873896</v>
      </c>
      <c r="AL100">
        <v>4.2517006802721227</v>
      </c>
      <c r="AM100">
        <v>2.9534093676107922</v>
      </c>
      <c r="AN100">
        <v>3.8525240434397832</v>
      </c>
      <c r="AO100">
        <v>2.9550645323735329</v>
      </c>
      <c r="AP100">
        <v>2.499237349280925</v>
      </c>
      <c r="AQ100">
        <v>2.0934218246428369</v>
      </c>
      <c r="AR100">
        <v>2.1354484441733121</v>
      </c>
      <c r="AS100">
        <v>2.719439956919762</v>
      </c>
      <c r="AT100">
        <v>2.62741314203332</v>
      </c>
      <c r="AU100">
        <v>2.1162841358045328</v>
      </c>
      <c r="AV100">
        <v>2.065370752001249</v>
      </c>
      <c r="AW100">
        <v>2.2067366142365699</v>
      </c>
      <c r="AX100">
        <v>2.6584848406526169</v>
      </c>
      <c r="AY100">
        <v>2.720047505292706</v>
      </c>
      <c r="AZ100">
        <v>2.8528984268065649</v>
      </c>
      <c r="BA100">
        <v>4.6690084190248529</v>
      </c>
      <c r="BB100">
        <v>1.6151046405823759</v>
      </c>
      <c r="BC100">
        <v>2.1337199614162201</v>
      </c>
      <c r="BD100">
        <v>3.4137454766177648</v>
      </c>
      <c r="BE100">
        <v>2.710119177355002</v>
      </c>
      <c r="BF100">
        <v>1.504723302518763</v>
      </c>
      <c r="BG100">
        <v>1.0411962117843949</v>
      </c>
      <c r="BH100">
        <v>0.33002716514106561</v>
      </c>
      <c r="BI100">
        <v>0.39476930668639187</v>
      </c>
      <c r="BJ100">
        <v>1.589094135677986</v>
      </c>
      <c r="BK100">
        <v>1.881108013805969</v>
      </c>
      <c r="BL100">
        <v>1.615199887372132</v>
      </c>
      <c r="BM100">
        <v>0.59898633082464325</v>
      </c>
      <c r="BN100">
        <v>2.51837109614213</v>
      </c>
      <c r="BO100">
        <v>7.531078346342885</v>
      </c>
      <c r="BP100">
        <v>4.8560404466711917</v>
      </c>
      <c r="BQ100">
        <v>2.3855475343809518</v>
      </c>
    </row>
    <row r="101" spans="1:69" x14ac:dyDescent="0.25">
      <c r="A101" t="s">
        <v>1235</v>
      </c>
      <c r="B101" t="s">
        <v>1236</v>
      </c>
      <c r="C101" t="s">
        <v>1575</v>
      </c>
      <c r="D101" t="s">
        <v>1576</v>
      </c>
      <c r="AA101">
        <v>10.97046413502123</v>
      </c>
      <c r="AB101">
        <v>9.8859315589355017</v>
      </c>
      <c r="AC101">
        <v>8.6505190311418438</v>
      </c>
      <c r="AD101">
        <v>3.5031847133757461</v>
      </c>
      <c r="AE101">
        <v>3.384615384615338</v>
      </c>
      <c r="AF101">
        <v>5.6547619047619619</v>
      </c>
      <c r="AG101">
        <v>7.8873239436617952</v>
      </c>
      <c r="AH101">
        <v>10.18276762402091</v>
      </c>
      <c r="AI101">
        <v>10.426540284360231</v>
      </c>
      <c r="AJ101">
        <v>11.158798283261749</v>
      </c>
      <c r="AK101">
        <v>9.6525096525096608</v>
      </c>
      <c r="AL101">
        <v>8.8028169014085726</v>
      </c>
      <c r="AM101">
        <v>8.7378640776698475</v>
      </c>
      <c r="AN101">
        <v>9.0773809523809064</v>
      </c>
      <c r="AO101">
        <v>6.2755798090041166</v>
      </c>
      <c r="AP101">
        <v>5.7766367137352121</v>
      </c>
      <c r="AQ101">
        <v>2.9126213592239911</v>
      </c>
      <c r="AR101">
        <v>-4.0094339622644526</v>
      </c>
      <c r="AS101">
        <v>-3.6855036855036909</v>
      </c>
      <c r="AT101">
        <v>-1.658163265306094</v>
      </c>
      <c r="AU101">
        <v>-2.983138780804155</v>
      </c>
      <c r="AV101">
        <v>-2.6737967914439418</v>
      </c>
      <c r="AW101">
        <v>-0.27472527472525288</v>
      </c>
      <c r="AX101">
        <v>0.82644628099182738</v>
      </c>
      <c r="AY101">
        <v>2.0002516039753431</v>
      </c>
      <c r="AZ101">
        <v>2.0350271336951131</v>
      </c>
      <c r="BA101">
        <v>4.3031548410492082</v>
      </c>
      <c r="BB101">
        <v>0.57944141847260755</v>
      </c>
      <c r="BC101">
        <v>2.2928908860467341</v>
      </c>
      <c r="BD101">
        <v>5.3052489299392001</v>
      </c>
      <c r="BE101">
        <v>4.0539095090384354</v>
      </c>
      <c r="BF101">
        <v>4.3379934210526683</v>
      </c>
      <c r="BG101">
        <v>4.4236453201969876</v>
      </c>
      <c r="BH101">
        <v>2.9908481932258071</v>
      </c>
      <c r="BI101">
        <v>2.4093074386222382</v>
      </c>
      <c r="BJ101">
        <v>1.493872439395217</v>
      </c>
      <c r="BK101">
        <v>2.4061343204653389</v>
      </c>
      <c r="BL101">
        <v>2.883208537739963</v>
      </c>
      <c r="BM101">
        <v>0.2509620210807999</v>
      </c>
      <c r="BN101">
        <v>1.568758344459223</v>
      </c>
      <c r="BO101">
        <v>1.881367071968528</v>
      </c>
      <c r="BP101">
        <v>2.0966051124908929</v>
      </c>
      <c r="BQ101">
        <v>1.7297211910591399</v>
      </c>
    </row>
    <row r="102" spans="1:69" x14ac:dyDescent="0.25">
      <c r="A102" t="s">
        <v>1237</v>
      </c>
      <c r="B102" t="s">
        <v>1238</v>
      </c>
      <c r="C102" t="s">
        <v>1575</v>
      </c>
      <c r="D102" t="s">
        <v>1576</v>
      </c>
      <c r="E102">
        <v>-1.746238157107513</v>
      </c>
      <c r="F102">
        <v>1.5629923739268721</v>
      </c>
      <c r="G102">
        <v>1.09215017084013</v>
      </c>
      <c r="H102">
        <v>3.0814560186727382</v>
      </c>
      <c r="I102">
        <v>4.4721014708072628</v>
      </c>
      <c r="J102">
        <v>3.1862745099876291</v>
      </c>
      <c r="K102">
        <v>1.7842346571873779</v>
      </c>
      <c r="L102">
        <v>2.0918409866730809</v>
      </c>
      <c r="M102">
        <v>1.8612244897208641</v>
      </c>
      <c r="N102">
        <v>1.2582144573709699</v>
      </c>
      <c r="O102">
        <v>2.8808864266097989</v>
      </c>
      <c r="P102">
        <v>2.2232479422375899</v>
      </c>
      <c r="Q102">
        <v>3.6122817579933222</v>
      </c>
      <c r="R102">
        <v>5.1932016269113301</v>
      </c>
      <c r="S102">
        <v>12.84954774541869</v>
      </c>
      <c r="T102">
        <v>8.3761625062970957</v>
      </c>
      <c r="U102">
        <v>4.883418957908976</v>
      </c>
      <c r="V102">
        <v>8.4347077189512838</v>
      </c>
      <c r="W102">
        <v>5.7483246461822901</v>
      </c>
      <c r="X102">
        <v>12.135355892606141</v>
      </c>
      <c r="Y102">
        <v>18.061543035595552</v>
      </c>
      <c r="Z102">
        <v>9.4056912614249573</v>
      </c>
      <c r="AA102">
        <v>8.9826217061689242</v>
      </c>
      <c r="AB102">
        <v>8.2528116584825995</v>
      </c>
      <c r="AC102">
        <v>4.7263681592038918</v>
      </c>
      <c r="AD102">
        <v>3.3626752360860528</v>
      </c>
      <c r="AE102">
        <v>4.3527238320755934</v>
      </c>
      <c r="AF102">
        <v>2.487154022238983</v>
      </c>
      <c r="AG102">
        <v>4.4912576364018166</v>
      </c>
      <c r="AH102">
        <v>9.8504092576909805</v>
      </c>
      <c r="AI102">
        <v>23.32256643664671</v>
      </c>
      <c r="AJ102">
        <v>33.972260253586398</v>
      </c>
      <c r="AK102">
        <v>8.7598862525549421</v>
      </c>
      <c r="AL102">
        <v>10.74864671637196</v>
      </c>
      <c r="AM102">
        <v>21.729346883819009</v>
      </c>
      <c r="AN102">
        <v>29.464529228158529</v>
      </c>
      <c r="AO102">
        <v>23.837835307335801</v>
      </c>
      <c r="AP102">
        <v>20.199866755496181</v>
      </c>
      <c r="AQ102">
        <v>13.66810774858685</v>
      </c>
      <c r="AR102">
        <v>11.66374097913001</v>
      </c>
      <c r="AS102">
        <v>11.04803493449756</v>
      </c>
      <c r="AT102">
        <v>9.6741555686537666</v>
      </c>
      <c r="AU102">
        <v>7.690509720342706</v>
      </c>
      <c r="AV102">
        <v>7.6741663939793661</v>
      </c>
      <c r="AW102">
        <v>8.113790970933799</v>
      </c>
      <c r="AX102">
        <v>8.8090607481981902</v>
      </c>
      <c r="AY102">
        <v>5.5777520765429758</v>
      </c>
      <c r="AZ102">
        <v>6.9362147089577357</v>
      </c>
      <c r="BA102">
        <v>11.40342708139322</v>
      </c>
      <c r="BB102">
        <v>5.4963427377220837</v>
      </c>
      <c r="BC102">
        <v>4.6988906497622622</v>
      </c>
      <c r="BD102">
        <v>6.7622795731476</v>
      </c>
      <c r="BE102">
        <v>5.1961861553184754</v>
      </c>
      <c r="BF102">
        <v>5.1618989858149353</v>
      </c>
      <c r="BG102">
        <v>6.1292493031302238</v>
      </c>
      <c r="BH102">
        <v>3.157831179809234</v>
      </c>
      <c r="BI102">
        <v>2.7246122329528859</v>
      </c>
      <c r="BJ102">
        <v>3.9343608444204432</v>
      </c>
      <c r="BK102">
        <v>4.3473493777752843</v>
      </c>
      <c r="BL102">
        <v>4.3658715981926681</v>
      </c>
      <c r="BM102">
        <v>3.468411779511841</v>
      </c>
      <c r="BN102">
        <v>4.4808796341344523</v>
      </c>
      <c r="BO102">
        <v>9.0896391152502503</v>
      </c>
      <c r="BP102">
        <v>6.6632518034745676</v>
      </c>
      <c r="BQ102">
        <v>4.6062109812710688</v>
      </c>
    </row>
    <row r="103" spans="1:69" x14ac:dyDescent="0.25">
      <c r="A103" t="s">
        <v>1239</v>
      </c>
      <c r="B103" t="s">
        <v>1240</v>
      </c>
      <c r="C103" t="s">
        <v>1575</v>
      </c>
      <c r="D103" t="s">
        <v>1576</v>
      </c>
      <c r="Z103">
        <v>11.336515441510461</v>
      </c>
      <c r="AA103">
        <v>12.31245087077356</v>
      </c>
      <c r="AB103">
        <v>11.126644122143009</v>
      </c>
      <c r="AC103">
        <v>11.37332209029373</v>
      </c>
      <c r="AD103">
        <v>10.42384023038864</v>
      </c>
      <c r="AE103">
        <v>6.8090559389512686</v>
      </c>
      <c r="AF103">
        <v>7.0282719524595523</v>
      </c>
      <c r="AG103">
        <v>6.9306861720651494</v>
      </c>
      <c r="AH103">
        <v>8.0461586348731995</v>
      </c>
      <c r="AI103">
        <v>6.8011976076256966</v>
      </c>
      <c r="AJ103">
        <v>8.8196409973388441</v>
      </c>
      <c r="AK103">
        <v>9.5234771910898992</v>
      </c>
      <c r="AL103">
        <v>8.5278769568800268</v>
      </c>
      <c r="AM103">
        <v>32.29366685695517</v>
      </c>
      <c r="AN103">
        <v>14.378808651641929</v>
      </c>
      <c r="AO103">
        <v>7.4113717352664192</v>
      </c>
      <c r="AP103">
        <v>5.5722571112532977</v>
      </c>
      <c r="AQ103">
        <v>5.7533145841706412</v>
      </c>
      <c r="AR103">
        <v>3.5988981635323731</v>
      </c>
      <c r="AS103">
        <v>4.1654044229028262</v>
      </c>
      <c r="AT103">
        <v>4.6037462196468191</v>
      </c>
      <c r="AU103">
        <v>3.8957052575849018</v>
      </c>
      <c r="AV103">
        <v>5.3023877321993638</v>
      </c>
      <c r="AW103">
        <v>4.4749928907810652</v>
      </c>
      <c r="AX103">
        <v>8.1695460488126255</v>
      </c>
      <c r="AY103">
        <v>6.7399306038750471</v>
      </c>
      <c r="AZ103">
        <v>7.254108413048872</v>
      </c>
      <c r="BA103">
        <v>10.659797899742401</v>
      </c>
      <c r="BB103">
        <v>4.3623482932571944</v>
      </c>
      <c r="BC103">
        <v>4.6988906497622622</v>
      </c>
      <c r="BD103">
        <v>6.4293968107234001</v>
      </c>
      <c r="BE103">
        <v>6.3147445031517737</v>
      </c>
      <c r="BF103">
        <v>5.1618989858149353</v>
      </c>
      <c r="BG103">
        <v>4.4053523418529297</v>
      </c>
      <c r="BH103">
        <v>3.5507596735674589</v>
      </c>
      <c r="BI103">
        <v>4.3838919551391493</v>
      </c>
      <c r="BJ103">
        <v>4.5783374121254967</v>
      </c>
      <c r="BK103">
        <v>3.0174818103140559</v>
      </c>
      <c r="BL103">
        <v>2.8351455568750552</v>
      </c>
      <c r="BM103">
        <v>3.4761737272219402</v>
      </c>
      <c r="BN103">
        <v>4.370121904781568</v>
      </c>
      <c r="BO103">
        <v>9.6591475378506857</v>
      </c>
      <c r="BP103">
        <v>7.1269748213185107</v>
      </c>
      <c r="BQ103">
        <v>4.5697622391935662</v>
      </c>
    </row>
    <row r="104" spans="1:69" x14ac:dyDescent="0.25">
      <c r="A104" t="s">
        <v>1241</v>
      </c>
      <c r="B104" t="s">
        <v>1242</v>
      </c>
      <c r="C104" t="s">
        <v>1575</v>
      </c>
      <c r="D104" t="s">
        <v>1576</v>
      </c>
      <c r="AE104">
        <v>50</v>
      </c>
      <c r="AF104">
        <v>133.33326374431491</v>
      </c>
      <c r="AG104">
        <v>185.71428571428541</v>
      </c>
      <c r="AH104">
        <v>1400</v>
      </c>
      <c r="AI104">
        <v>500.00000000000068</v>
      </c>
      <c r="AJ104">
        <v>122.2222222222214</v>
      </c>
      <c r="AK104">
        <v>625.00000000000068</v>
      </c>
      <c r="AL104">
        <v>1500</v>
      </c>
      <c r="AM104">
        <v>107.3275862068961</v>
      </c>
      <c r="AN104">
        <v>3.9501039501040238</v>
      </c>
      <c r="AO104">
        <v>4.2999999999999483</v>
      </c>
      <c r="AP104">
        <v>4.1706615532118763</v>
      </c>
      <c r="AQ104">
        <v>6.3966866083755383</v>
      </c>
      <c r="AR104">
        <v>4.0191387559808556</v>
      </c>
      <c r="AS104">
        <v>4.6113155473780107</v>
      </c>
      <c r="AT104">
        <v>3.7767024666588882</v>
      </c>
      <c r="AU104">
        <v>1.6717843739338261</v>
      </c>
      <c r="AV104">
        <v>1.767337807606286</v>
      </c>
      <c r="AW104">
        <v>2.0553967905032802</v>
      </c>
      <c r="AX104">
        <v>3.3171782444804521</v>
      </c>
      <c r="AY104">
        <v>3.1898259147294921</v>
      </c>
      <c r="AZ104">
        <v>2.8992827558338838</v>
      </c>
      <c r="BA104">
        <v>6.0769683879835412</v>
      </c>
      <c r="BB104">
        <v>2.3785284590467421</v>
      </c>
      <c r="BC104">
        <v>1.0305550533357359</v>
      </c>
      <c r="BD104">
        <v>2.2727272727273</v>
      </c>
      <c r="BE104">
        <v>3.4120734908135808</v>
      </c>
      <c r="BF104">
        <v>2.2165820642977878</v>
      </c>
      <c r="BG104">
        <v>-0.2151961595762682</v>
      </c>
      <c r="BH104">
        <v>-0.46449900464491062</v>
      </c>
      <c r="BI104">
        <v>-1.1250000000000211</v>
      </c>
      <c r="BJ104">
        <v>1.1293721028234689</v>
      </c>
      <c r="BK104">
        <v>1.500125010417563</v>
      </c>
      <c r="BL104">
        <v>0.77182034649801945</v>
      </c>
      <c r="BM104">
        <v>0.15481137456210639</v>
      </c>
      <c r="BN104">
        <v>2.5545069964204079</v>
      </c>
      <c r="BO104">
        <v>10.780580675868601</v>
      </c>
      <c r="BP104">
        <v>7.9412817758683003</v>
      </c>
      <c r="BQ104">
        <v>2.9720047764361812</v>
      </c>
    </row>
    <row r="105" spans="1:69" x14ac:dyDescent="0.25">
      <c r="A105" t="s">
        <v>1243</v>
      </c>
      <c r="B105" t="s">
        <v>1244</v>
      </c>
      <c r="C105" t="s">
        <v>1575</v>
      </c>
      <c r="D105" t="s">
        <v>1576</v>
      </c>
      <c r="E105">
        <v>-5.030041595936912</v>
      </c>
      <c r="F105">
        <v>3.779706383426753</v>
      </c>
      <c r="G105">
        <v>-0.55490425986952452</v>
      </c>
      <c r="H105">
        <v>4.3068217543595564</v>
      </c>
      <c r="I105">
        <v>9.1621458712944168</v>
      </c>
      <c r="J105">
        <v>2.2639425728973062</v>
      </c>
      <c r="K105">
        <v>8.3018358533229968</v>
      </c>
      <c r="L105">
        <v>-2.935310981006535</v>
      </c>
      <c r="M105">
        <v>1.3162118782735699</v>
      </c>
      <c r="N105">
        <v>1.4131812420197369</v>
      </c>
      <c r="O105">
        <v>1.3684934073667261</v>
      </c>
      <c r="P105">
        <v>9.5795832822563067</v>
      </c>
      <c r="Q105">
        <v>3.189693969179284</v>
      </c>
      <c r="R105">
        <v>22.738919478919531</v>
      </c>
      <c r="S105">
        <v>14.95069734397209</v>
      </c>
      <c r="T105">
        <v>16.77357032458163</v>
      </c>
      <c r="U105">
        <v>7.0381522782361854</v>
      </c>
      <c r="V105">
        <v>6.4919005811333657</v>
      </c>
      <c r="W105">
        <v>-2.673594983692912</v>
      </c>
      <c r="X105">
        <v>13.09392429981933</v>
      </c>
      <c r="Y105">
        <v>17.778305245657702</v>
      </c>
      <c r="Z105">
        <v>10.85833333299969</v>
      </c>
      <c r="AA105">
        <v>7.359242276050515</v>
      </c>
      <c r="AB105">
        <v>10.24366335265448</v>
      </c>
      <c r="AC105">
        <v>6.4020323910607493</v>
      </c>
      <c r="AD105">
        <v>10.64883901389282</v>
      </c>
      <c r="AE105">
        <v>3.2799266336662152</v>
      </c>
      <c r="AF105">
        <v>-11.449464612170519</v>
      </c>
      <c r="AG105">
        <v>4.1054680587506258</v>
      </c>
      <c r="AH105">
        <v>6.923905037112382</v>
      </c>
      <c r="AI105">
        <v>21.276032006783218</v>
      </c>
      <c r="AJ105">
        <v>15.41990736694925</v>
      </c>
      <c r="AK105">
        <v>19.358494654121991</v>
      </c>
      <c r="AL105">
        <v>29.70597150651724</v>
      </c>
      <c r="AM105">
        <v>39.331619537275252</v>
      </c>
      <c r="AN105">
        <v>27.60818517276012</v>
      </c>
      <c r="AO105">
        <v>20.583596214511239</v>
      </c>
      <c r="AP105">
        <v>20.55900733958331</v>
      </c>
      <c r="AQ105">
        <v>5.2690354704220086</v>
      </c>
      <c r="AR105">
        <v>3.0043942155073431</v>
      </c>
      <c r="AS105">
        <v>9.3332219756560306</v>
      </c>
      <c r="AT105">
        <v>13.31672224250995</v>
      </c>
      <c r="AU105">
        <v>7.0328740622460062</v>
      </c>
      <c r="AV105">
        <v>28.6995777887374</v>
      </c>
      <c r="AW105">
        <v>21.0318339277222</v>
      </c>
      <c r="AX105">
        <v>13.973008326384001</v>
      </c>
      <c r="AY105">
        <v>11.34521522442992</v>
      </c>
      <c r="AZ105">
        <v>6.5572277263806606</v>
      </c>
      <c r="BA105">
        <v>15.281774482377241</v>
      </c>
      <c r="BB105">
        <v>0.393886040173341</v>
      </c>
      <c r="BC105">
        <v>4.8273419007467258</v>
      </c>
      <c r="BD105">
        <v>6.3327948384904209</v>
      </c>
      <c r="BE105">
        <v>5.0180415542924628</v>
      </c>
      <c r="BF105">
        <v>4.7650240477914183</v>
      </c>
      <c r="BG105">
        <v>3.4381665995860069</v>
      </c>
      <c r="BH105">
        <v>6.7318406965899706</v>
      </c>
      <c r="BI105">
        <v>11.50290739426665</v>
      </c>
      <c r="BJ105">
        <v>10.6800887242584</v>
      </c>
      <c r="BK105">
        <v>12.4814111170435</v>
      </c>
      <c r="BL105">
        <v>18.70378256725062</v>
      </c>
      <c r="BM105">
        <v>22.796311364252769</v>
      </c>
      <c r="BN105">
        <v>16.841524019878481</v>
      </c>
      <c r="BO105">
        <v>33.983931947070019</v>
      </c>
      <c r="BP105">
        <v>36.813516278085352</v>
      </c>
      <c r="BQ105">
        <v>26.949056409198722</v>
      </c>
    </row>
    <row r="106" spans="1:69" x14ac:dyDescent="0.25">
      <c r="A106" t="s">
        <v>1245</v>
      </c>
      <c r="B106" t="s">
        <v>1246</v>
      </c>
      <c r="C106" t="s">
        <v>1575</v>
      </c>
      <c r="D106" t="s">
        <v>1576</v>
      </c>
      <c r="R106">
        <v>3.3879781417670181</v>
      </c>
      <c r="S106">
        <v>1.7970401682347441</v>
      </c>
      <c r="T106">
        <v>3.8421599179381891</v>
      </c>
      <c r="U106">
        <v>5.2283983330865986</v>
      </c>
      <c r="V106">
        <v>3.9088956956482228</v>
      </c>
      <c r="W106">
        <v>4.6871427485311186</v>
      </c>
      <c r="X106">
        <v>8.9764123470030324</v>
      </c>
      <c r="Y106">
        <v>9.2858574392133733</v>
      </c>
      <c r="Z106">
        <v>4.661413943947549</v>
      </c>
      <c r="AA106">
        <v>6.835805082595404</v>
      </c>
      <c r="AB106">
        <v>7.2798957327949072</v>
      </c>
      <c r="AC106">
        <v>8.4678548764601818</v>
      </c>
      <c r="AD106">
        <v>6.9423450187914684</v>
      </c>
      <c r="AE106">
        <v>5.2916617007109057</v>
      </c>
      <c r="AF106">
        <v>8.6743141773324286</v>
      </c>
      <c r="AG106">
        <v>15.723549070355601</v>
      </c>
      <c r="AH106">
        <v>17.149151997395979</v>
      </c>
      <c r="AI106">
        <v>28.369599653277671</v>
      </c>
      <c r="AJ106">
        <v>34.817542907270443</v>
      </c>
      <c r="AK106">
        <v>23.655720780655209</v>
      </c>
      <c r="AL106">
        <v>22.464234613380921</v>
      </c>
      <c r="AM106">
        <v>18.868074986928271</v>
      </c>
      <c r="AN106">
        <v>28.305468370665359</v>
      </c>
      <c r="AO106">
        <v>23.469030191918481</v>
      </c>
      <c r="AP106">
        <v>18.305074414379881</v>
      </c>
      <c r="AQ106">
        <v>14.153789654533981</v>
      </c>
      <c r="AR106">
        <v>9.9977440930336758</v>
      </c>
      <c r="AS106">
        <v>9.8036101690812529</v>
      </c>
      <c r="AT106">
        <v>9.1168091168091063</v>
      </c>
      <c r="AU106">
        <v>5.2654482158398537</v>
      </c>
      <c r="AV106">
        <v>4.6610169491525371</v>
      </c>
      <c r="AW106">
        <v>6.7443467956946872</v>
      </c>
      <c r="AX106">
        <v>3.561517113783518</v>
      </c>
      <c r="AY106">
        <v>3.9303260384100138</v>
      </c>
      <c r="AZ106">
        <v>7.9587451654490957</v>
      </c>
      <c r="BA106">
        <v>6.0425125388106009</v>
      </c>
      <c r="BB106">
        <v>4.2117117117117147</v>
      </c>
      <c r="BC106">
        <v>4.8555579569195597</v>
      </c>
      <c r="BD106">
        <v>3.9299209893507001</v>
      </c>
      <c r="BE106">
        <v>5.6521451708864614</v>
      </c>
      <c r="BF106">
        <v>1.7331998498310099</v>
      </c>
      <c r="BG106">
        <v>-0.22756627098821861</v>
      </c>
      <c r="BH106">
        <v>-6.1644680064167248E-2</v>
      </c>
      <c r="BI106">
        <v>0.39476930668639187</v>
      </c>
      <c r="BJ106">
        <v>2.3482428115015388</v>
      </c>
      <c r="BK106">
        <v>2.850247925946455</v>
      </c>
      <c r="BL106">
        <v>3.3385863538200811</v>
      </c>
      <c r="BM106">
        <v>3.3267438576673758</v>
      </c>
      <c r="BN106">
        <v>5.1109653438285534</v>
      </c>
      <c r="BO106">
        <v>14.60814394924334</v>
      </c>
      <c r="BP106">
        <v>17.12496596787366</v>
      </c>
      <c r="BQ106">
        <v>3.7037037037036891</v>
      </c>
    </row>
    <row r="107" spans="1:69" x14ac:dyDescent="0.25">
      <c r="A107" t="s">
        <v>1247</v>
      </c>
      <c r="B107" t="s">
        <v>1248</v>
      </c>
      <c r="C107" t="s">
        <v>1575</v>
      </c>
      <c r="D107" t="s">
        <v>1576</v>
      </c>
      <c r="P107">
        <v>4.0093064826845319</v>
      </c>
      <c r="Q107">
        <v>6.4119588700402321</v>
      </c>
      <c r="R107">
        <v>13.12384620263982</v>
      </c>
      <c r="S107">
        <v>22.36452944718874</v>
      </c>
      <c r="T107">
        <v>13.42592485303755</v>
      </c>
      <c r="U107">
        <v>10.317415887741349</v>
      </c>
      <c r="V107">
        <v>11.820277539148901</v>
      </c>
      <c r="W107">
        <v>10.35567227571913</v>
      </c>
      <c r="X107">
        <v>12.82500238274695</v>
      </c>
      <c r="Y107">
        <v>17.470304279577171</v>
      </c>
      <c r="Z107">
        <v>14.189927636413151</v>
      </c>
      <c r="AA107">
        <v>10.832506862383619</v>
      </c>
      <c r="AB107">
        <v>11.83390975316928</v>
      </c>
      <c r="AC107">
        <v>12.447569329185329</v>
      </c>
      <c r="AD107">
        <v>11.521260736849481</v>
      </c>
      <c r="AE107">
        <v>11.8350618936099</v>
      </c>
      <c r="AF107">
        <v>9.8019338739867479</v>
      </c>
      <c r="AG107">
        <v>10.83270376899122</v>
      </c>
      <c r="AH107">
        <v>14.329539032857189</v>
      </c>
      <c r="AI107">
        <v>16.192137561523349</v>
      </c>
      <c r="AJ107">
        <v>19.50500167309298</v>
      </c>
      <c r="AK107">
        <v>13.637424171721831</v>
      </c>
      <c r="AL107">
        <v>14.330803336588779</v>
      </c>
      <c r="AM107">
        <v>22.705647224337039</v>
      </c>
      <c r="AN107">
        <v>14.583822433400121</v>
      </c>
      <c r="AO107">
        <v>10.08285806521079</v>
      </c>
      <c r="AP107">
        <v>7.7105387896988482</v>
      </c>
      <c r="AQ107">
        <v>7.2661980440096006</v>
      </c>
      <c r="AR107">
        <v>5.01996827507182</v>
      </c>
      <c r="AS107">
        <v>4.6875701373552614</v>
      </c>
      <c r="AT107">
        <v>5.3988398589782793</v>
      </c>
      <c r="AU107">
        <v>4.150058616647196</v>
      </c>
      <c r="AV107">
        <v>4.09500376698844</v>
      </c>
      <c r="AW107">
        <v>4.6993897247451324</v>
      </c>
      <c r="AX107">
        <v>4.9032835092689151</v>
      </c>
      <c r="AY107">
        <v>5.6408777215634203</v>
      </c>
      <c r="AZ107">
        <v>5.4324925655014882</v>
      </c>
      <c r="BA107">
        <v>9.4134631216984808</v>
      </c>
      <c r="BB107">
        <v>3.7301478656316238</v>
      </c>
      <c r="BC107">
        <v>4.1121113931521851</v>
      </c>
      <c r="BD107">
        <v>5.5538989225749322</v>
      </c>
      <c r="BE107">
        <v>4.2795142691943049</v>
      </c>
      <c r="BF107">
        <v>3.89555152647667</v>
      </c>
      <c r="BG107">
        <v>3.503790931398115</v>
      </c>
      <c r="BH107">
        <v>3.095517220272415</v>
      </c>
      <c r="BI107">
        <v>2.1208171336158781</v>
      </c>
      <c r="BJ107">
        <v>3.323894475760973</v>
      </c>
      <c r="BK107">
        <v>3.2270347104614281</v>
      </c>
      <c r="BL107">
        <v>2.5840582925127089</v>
      </c>
      <c r="BM107">
        <v>2.415130940834139</v>
      </c>
      <c r="BN107">
        <v>4.2716638153679778</v>
      </c>
      <c r="BO107">
        <v>9.1043798307543682</v>
      </c>
      <c r="BP107">
        <v>6.0266345006053452</v>
      </c>
      <c r="BQ107">
        <v>3.4897408602694719</v>
      </c>
    </row>
    <row r="108" spans="1:69" x14ac:dyDescent="0.25">
      <c r="A108" t="s">
        <v>1249</v>
      </c>
      <c r="B108" t="s">
        <v>1250</v>
      </c>
      <c r="C108" t="s">
        <v>1575</v>
      </c>
      <c r="D108" t="s">
        <v>1576</v>
      </c>
      <c r="V108">
        <v>11.89304475248024</v>
      </c>
      <c r="W108">
        <v>9.5333808560652571</v>
      </c>
      <c r="Y108">
        <v>15.487911459019941</v>
      </c>
      <c r="Z108">
        <v>13.028647996993429</v>
      </c>
      <c r="AA108">
        <v>10.81658525470495</v>
      </c>
      <c r="AB108">
        <v>10.620753648024071</v>
      </c>
      <c r="AC108">
        <v>10.284098213138041</v>
      </c>
      <c r="AD108">
        <v>8.508374343915948</v>
      </c>
      <c r="AE108">
        <v>8.7297207270258088</v>
      </c>
      <c r="AF108">
        <v>8.1890744948108072</v>
      </c>
      <c r="AG108">
        <v>8.9104702001338101</v>
      </c>
      <c r="AH108">
        <v>8.9299414289402659</v>
      </c>
      <c r="AI108">
        <v>10.858965778278719</v>
      </c>
      <c r="AJ108">
        <v>12.445244163387089</v>
      </c>
      <c r="AK108">
        <v>10.056116744884131</v>
      </c>
      <c r="AL108">
        <v>10.633242581830761</v>
      </c>
      <c r="AM108">
        <v>20.5661948376355</v>
      </c>
      <c r="AN108">
        <v>11.128702970708851</v>
      </c>
      <c r="AO108">
        <v>8.8270506175634225</v>
      </c>
      <c r="AP108">
        <v>7.1253272251305697</v>
      </c>
      <c r="AQ108">
        <v>6.8107932379719349</v>
      </c>
      <c r="AR108">
        <v>4.4643546767589077</v>
      </c>
      <c r="AS108">
        <v>4.1823463395654459</v>
      </c>
      <c r="AT108">
        <v>5.0074329082237314</v>
      </c>
      <c r="AU108">
        <v>3.8957052575849018</v>
      </c>
      <c r="AV108">
        <v>4.5273382421901101</v>
      </c>
      <c r="AW108">
        <v>4.4634684073657569</v>
      </c>
      <c r="AX108">
        <v>6.0821872953504297</v>
      </c>
      <c r="AY108">
        <v>6.1255661562028472</v>
      </c>
      <c r="AZ108">
        <v>6.1435665524804737</v>
      </c>
      <c r="BA108">
        <v>10.278393762113479</v>
      </c>
      <c r="BB108">
        <v>3.9989545184994362</v>
      </c>
      <c r="BC108">
        <v>4.0674955595026336</v>
      </c>
      <c r="BD108">
        <v>5.799111731459166</v>
      </c>
      <c r="BE108">
        <v>5.0068631936727304</v>
      </c>
      <c r="BF108">
        <v>4.3411548980430972</v>
      </c>
      <c r="BG108">
        <v>3.525662037582824</v>
      </c>
      <c r="BH108">
        <v>3.1290027447392541</v>
      </c>
      <c r="BI108">
        <v>2.8149579136194389</v>
      </c>
      <c r="BJ108">
        <v>3.3378758610956849</v>
      </c>
      <c r="BK108">
        <v>3.1328537599167592</v>
      </c>
      <c r="BL108">
        <v>2.705901963278095</v>
      </c>
      <c r="BM108">
        <v>2.8981937602627021</v>
      </c>
      <c r="BN108">
        <v>4.2593641754286837</v>
      </c>
      <c r="BO108">
        <v>8.8110920927958691</v>
      </c>
      <c r="BP108">
        <v>6.2065759227212594</v>
      </c>
      <c r="BQ108">
        <v>3.6210927388584349</v>
      </c>
    </row>
    <row r="109" spans="1:69" x14ac:dyDescent="0.25">
      <c r="A109" t="s">
        <v>1251</v>
      </c>
      <c r="B109" t="s">
        <v>1252</v>
      </c>
      <c r="C109" t="s">
        <v>1575</v>
      </c>
      <c r="D109" t="s">
        <v>1576</v>
      </c>
      <c r="Z109">
        <v>12.02365397066105</v>
      </c>
      <c r="AA109">
        <v>10.81658525470495</v>
      </c>
      <c r="AB109">
        <v>8.8041383691720334</v>
      </c>
      <c r="AC109">
        <v>7.8925166609237536</v>
      </c>
      <c r="AD109">
        <v>7.170701324495508</v>
      </c>
      <c r="AE109">
        <v>6.8090559389512686</v>
      </c>
      <c r="AF109">
        <v>7.0217530390278142</v>
      </c>
      <c r="AG109">
        <v>8.5078680108630067</v>
      </c>
      <c r="AH109">
        <v>7.546164772727713</v>
      </c>
      <c r="AI109">
        <v>8.2397003745320614</v>
      </c>
      <c r="AJ109">
        <v>9.2754537065518221</v>
      </c>
      <c r="AK109">
        <v>9.4977919840365672</v>
      </c>
      <c r="AL109">
        <v>7.5053941908710549</v>
      </c>
      <c r="AM109">
        <v>15.176347431344119</v>
      </c>
      <c r="AN109">
        <v>10.022173355323879</v>
      </c>
      <c r="AO109">
        <v>7.1916466043334424</v>
      </c>
      <c r="AP109">
        <v>6.6836553678998154</v>
      </c>
      <c r="AQ109">
        <v>6.0922623040259012</v>
      </c>
      <c r="AR109">
        <v>4.1426713728404847</v>
      </c>
      <c r="AS109">
        <v>3.8610653418550922</v>
      </c>
      <c r="AT109">
        <v>4.4197724588114582</v>
      </c>
      <c r="AU109">
        <v>3.8229399576847811</v>
      </c>
      <c r="AV109">
        <v>5.3029769736485903</v>
      </c>
      <c r="AW109">
        <v>4.3762390707731216</v>
      </c>
      <c r="AX109">
        <v>6.8363326589287681</v>
      </c>
      <c r="AY109">
        <v>6.2410332814282024</v>
      </c>
      <c r="AZ109">
        <v>6.5572277263806606</v>
      </c>
      <c r="BA109">
        <v>10.71566613096811</v>
      </c>
      <c r="BB109">
        <v>4.3290939603758094</v>
      </c>
      <c r="BC109">
        <v>3.9963952810721808</v>
      </c>
      <c r="BD109">
        <v>6.3327948384904209</v>
      </c>
      <c r="BE109">
        <v>5.5960701426858517</v>
      </c>
      <c r="BF109">
        <v>4.8851638759547082</v>
      </c>
      <c r="BG109">
        <v>3.525662037582824</v>
      </c>
      <c r="BH109">
        <v>3.157831179809234</v>
      </c>
      <c r="BI109">
        <v>3.2198868939571792</v>
      </c>
      <c r="BJ109">
        <v>3.850671662847271</v>
      </c>
      <c r="BK109">
        <v>2.845783760940845</v>
      </c>
      <c r="BL109">
        <v>2.744475283874718</v>
      </c>
      <c r="BM109">
        <v>3.4761737272219402</v>
      </c>
      <c r="BN109">
        <v>4.1727058221765869</v>
      </c>
      <c r="BO109">
        <v>8.2161971096743596</v>
      </c>
      <c r="BP109">
        <v>7.1022092855705923</v>
      </c>
      <c r="BQ109">
        <v>3.9220633029106788</v>
      </c>
    </row>
    <row r="110" spans="1:69" x14ac:dyDescent="0.25">
      <c r="A110" t="s">
        <v>1253</v>
      </c>
      <c r="B110" t="s">
        <v>1254</v>
      </c>
      <c r="C110" t="s">
        <v>1575</v>
      </c>
      <c r="D110" t="s">
        <v>1576</v>
      </c>
      <c r="O110">
        <v>5.6039633591737852</v>
      </c>
      <c r="P110">
        <v>3.8971178717738151</v>
      </c>
      <c r="Q110">
        <v>5.1832376454913849</v>
      </c>
      <c r="R110">
        <v>11.10298666982289</v>
      </c>
      <c r="S110">
        <v>17.809948033181819</v>
      </c>
      <c r="T110">
        <v>13.309105194054339</v>
      </c>
      <c r="U110">
        <v>10.48601714827406</v>
      </c>
      <c r="V110">
        <v>10.18691320451434</v>
      </c>
      <c r="W110">
        <v>8.8235294117966649</v>
      </c>
      <c r="X110">
        <v>10.54988666704268</v>
      </c>
      <c r="Y110">
        <v>14.301290428071971</v>
      </c>
      <c r="Z110">
        <v>11.741483513821271</v>
      </c>
      <c r="AA110">
        <v>7.252332620119021</v>
      </c>
      <c r="AB110">
        <v>6.2286903908932167</v>
      </c>
      <c r="AC110">
        <v>5.6596127870328834</v>
      </c>
      <c r="AD110">
        <v>5.3932584269663879</v>
      </c>
      <c r="AE110">
        <v>3.832262565269414</v>
      </c>
      <c r="AF110">
        <v>5.1724966523771716</v>
      </c>
      <c r="AG110">
        <v>4.75957807533924</v>
      </c>
      <c r="AH110">
        <v>4.5178028277877242</v>
      </c>
      <c r="AI110">
        <v>7.1588809523038321</v>
      </c>
      <c r="AJ110">
        <v>6.323448045517984</v>
      </c>
      <c r="AK110">
        <v>4.5963186428918066</v>
      </c>
      <c r="AL110">
        <v>4.9488892126269448</v>
      </c>
      <c r="AM110">
        <v>8.0694260332722241</v>
      </c>
      <c r="AN110">
        <v>8.710607849472181</v>
      </c>
      <c r="AO110">
        <v>5.1857603781201496</v>
      </c>
      <c r="AP110">
        <v>4.0208333333330577</v>
      </c>
      <c r="AQ110">
        <v>4.6114475951537237</v>
      </c>
      <c r="AR110">
        <v>3.8232175109555659</v>
      </c>
      <c r="AS110">
        <v>2.7991074183429112</v>
      </c>
      <c r="AT110">
        <v>4.3170996923618006</v>
      </c>
      <c r="AU110">
        <v>2.95584372642747</v>
      </c>
      <c r="AV110">
        <v>2.9141347005947922</v>
      </c>
      <c r="AW110">
        <v>2.8274851939120089</v>
      </c>
      <c r="AX110">
        <v>3.4758069375540011</v>
      </c>
      <c r="AY110">
        <v>4.2519532197796712</v>
      </c>
      <c r="AZ110">
        <v>4.4109970419348876</v>
      </c>
      <c r="BA110">
        <v>8.033273276503401</v>
      </c>
      <c r="BB110">
        <v>1.019504577311376</v>
      </c>
      <c r="BC110">
        <v>3.3434265756174</v>
      </c>
      <c r="BD110">
        <v>4.473883421650231</v>
      </c>
      <c r="BE110">
        <v>4.1776358710251458</v>
      </c>
      <c r="BF110">
        <v>2.581170372529356</v>
      </c>
      <c r="BG110">
        <v>1.2013996448105759</v>
      </c>
      <c r="BH110">
        <v>1.374885426214465</v>
      </c>
      <c r="BI110">
        <v>1.6503899443157279</v>
      </c>
      <c r="BJ110">
        <v>1.1476533930581601</v>
      </c>
      <c r="BK110">
        <v>2.4803084319190658</v>
      </c>
      <c r="BL110">
        <v>1.989587441208958</v>
      </c>
      <c r="BM110">
        <v>2.103948821360802</v>
      </c>
      <c r="BN110">
        <v>3.4667787695192862</v>
      </c>
      <c r="BO110">
        <v>6.3275200729044752</v>
      </c>
      <c r="BP110">
        <v>4.5645771981489442</v>
      </c>
      <c r="BQ110">
        <v>3.4505302813101881</v>
      </c>
    </row>
    <row r="111" spans="1:69" x14ac:dyDescent="0.25">
      <c r="A111" t="s">
        <v>1255</v>
      </c>
      <c r="B111" t="s">
        <v>1256</v>
      </c>
      <c r="C111" t="s">
        <v>1575</v>
      </c>
      <c r="D111" t="s">
        <v>1576</v>
      </c>
      <c r="E111">
        <v>39.590443686006743</v>
      </c>
      <c r="F111">
        <v>13.6919315403424</v>
      </c>
      <c r="G111">
        <v>131.39784946236529</v>
      </c>
      <c r="H111">
        <v>145.91078066914471</v>
      </c>
      <c r="I111">
        <v>108.9947089947092</v>
      </c>
      <c r="J111">
        <v>306.76311030741482</v>
      </c>
      <c r="K111">
        <v>1136.2541122076991</v>
      </c>
      <c r="L111">
        <v>106</v>
      </c>
      <c r="M111">
        <v>128.84304207119749</v>
      </c>
      <c r="N111">
        <v>15.479877331440401</v>
      </c>
      <c r="O111">
        <v>12.39946851304104</v>
      </c>
      <c r="P111">
        <v>4.2337458774160686</v>
      </c>
      <c r="Q111">
        <v>6.5217409185260369</v>
      </c>
      <c r="R111">
        <v>31.041882433918161</v>
      </c>
      <c r="S111">
        <v>40.49181160069498</v>
      </c>
      <c r="T111">
        <v>19.165691661053309</v>
      </c>
      <c r="U111">
        <v>19.828649992753419</v>
      </c>
      <c r="V111">
        <v>11.0520846464477</v>
      </c>
      <c r="W111">
        <v>8.1125942567737788</v>
      </c>
      <c r="X111">
        <v>16.23276953343083</v>
      </c>
      <c r="Y111">
        <v>18.035422125312991</v>
      </c>
      <c r="Z111">
        <v>12.265907587485311</v>
      </c>
      <c r="AA111">
        <v>9.4454253492114351</v>
      </c>
      <c r="AB111">
        <v>11.799738207665181</v>
      </c>
      <c r="AC111">
        <v>10.45503922314116</v>
      </c>
      <c r="AD111">
        <v>4.724535185433977</v>
      </c>
      <c r="AE111">
        <v>5.8226657673248434</v>
      </c>
      <c r="AF111">
        <v>9.2786540660283894</v>
      </c>
      <c r="AG111">
        <v>8.0453567153090706</v>
      </c>
      <c r="AH111">
        <v>6.4155407991636366</v>
      </c>
      <c r="AI111">
        <v>7.8191975650563474</v>
      </c>
      <c r="AJ111">
        <v>9.4190678434700406</v>
      </c>
      <c r="AK111">
        <v>7.5235100624267748</v>
      </c>
      <c r="AL111">
        <v>9.6719108926401027</v>
      </c>
      <c r="AM111">
        <v>8.5319982918914334</v>
      </c>
      <c r="AN111">
        <v>9.4203030057299575</v>
      </c>
      <c r="AO111">
        <v>7.9732809651334566</v>
      </c>
      <c r="AP111">
        <v>6.226151548872136</v>
      </c>
      <c r="AQ111">
        <v>58.451041351552583</v>
      </c>
      <c r="AR111">
        <v>20.477832442889241</v>
      </c>
      <c r="AS111">
        <v>3.6886203705668188</v>
      </c>
      <c r="AT111">
        <v>11.50011605508873</v>
      </c>
      <c r="AU111">
        <v>11.90012003384135</v>
      </c>
      <c r="AV111">
        <v>6.757312563335641</v>
      </c>
      <c r="AW111">
        <v>6.0640618913364754</v>
      </c>
      <c r="AX111">
        <v>10.45320018733474</v>
      </c>
      <c r="AY111">
        <v>13.108670985345951</v>
      </c>
      <c r="AZ111">
        <v>6.4065608796600477</v>
      </c>
      <c r="BA111">
        <v>10.22666632724826</v>
      </c>
      <c r="BB111">
        <v>4.3864131179207364</v>
      </c>
      <c r="BC111">
        <v>5.1342063901588544</v>
      </c>
      <c r="BD111">
        <v>5.3560484911258213</v>
      </c>
      <c r="BE111">
        <v>4.2795142691943049</v>
      </c>
      <c r="BF111">
        <v>6.4124945790039112</v>
      </c>
      <c r="BG111">
        <v>6.3949288239655928</v>
      </c>
      <c r="BH111">
        <v>6.3631206119664627</v>
      </c>
      <c r="BI111">
        <v>3.5258045281545121</v>
      </c>
      <c r="BJ111">
        <v>3.808798576919489</v>
      </c>
      <c r="BK111">
        <v>3.1983475592499611</v>
      </c>
      <c r="BL111">
        <v>3.0305846094166058</v>
      </c>
      <c r="BM111">
        <v>1.919835272707928</v>
      </c>
      <c r="BN111">
        <v>1.5600788298333439</v>
      </c>
      <c r="BO111">
        <v>4.2094646371478417</v>
      </c>
      <c r="BP111">
        <v>3.6693865485976112</v>
      </c>
      <c r="BQ111">
        <v>2.181512736151888</v>
      </c>
    </row>
    <row r="112" spans="1:69" x14ac:dyDescent="0.25">
      <c r="A112" t="s">
        <v>1257</v>
      </c>
      <c r="B112" t="s">
        <v>1258</v>
      </c>
      <c r="C112" t="s">
        <v>1575</v>
      </c>
      <c r="D112" t="s">
        <v>1576</v>
      </c>
      <c r="AE112">
        <v>9.5238275884310717</v>
      </c>
      <c r="AF112">
        <v>8.152342538008714</v>
      </c>
      <c r="AG112">
        <v>9.9240233981040191</v>
      </c>
      <c r="AH112">
        <v>8.8468869123255232</v>
      </c>
      <c r="AI112">
        <v>10.0118383223406</v>
      </c>
      <c r="AJ112">
        <v>12.445244163387089</v>
      </c>
      <c r="AK112">
        <v>10.334630787055129</v>
      </c>
      <c r="AL112">
        <v>9.6793465806792813</v>
      </c>
      <c r="AM112">
        <v>21.729346883819009</v>
      </c>
      <c r="AN112">
        <v>10.563288669181359</v>
      </c>
      <c r="AO112">
        <v>8.7900138193516213</v>
      </c>
      <c r="AP112">
        <v>7.572834670725924</v>
      </c>
      <c r="AQ112">
        <v>6.2100670945581022</v>
      </c>
      <c r="AR112">
        <v>4.6917056304843792</v>
      </c>
      <c r="AS112">
        <v>4.0887626168031233</v>
      </c>
      <c r="AT112">
        <v>4.7148963468960954</v>
      </c>
      <c r="AU112">
        <v>4.6057475780799164</v>
      </c>
      <c r="AV112">
        <v>5.7070093187473772</v>
      </c>
      <c r="AW112">
        <v>4.6684662236988199</v>
      </c>
      <c r="AX112">
        <v>7.2028834964758701</v>
      </c>
      <c r="AY112">
        <v>6.7302629141405577</v>
      </c>
      <c r="AZ112">
        <v>7.1398113913982932</v>
      </c>
      <c r="BA112">
        <v>11.48466695992359</v>
      </c>
      <c r="BB112">
        <v>4.5301765913280052</v>
      </c>
      <c r="BC112">
        <v>4.8273419007467258</v>
      </c>
      <c r="BD112">
        <v>6.7395240045165004</v>
      </c>
      <c r="BE112">
        <v>6.0514366213996693</v>
      </c>
      <c r="BF112">
        <v>5.1618989858149353</v>
      </c>
      <c r="BG112">
        <v>4.4053523418529297</v>
      </c>
      <c r="BH112">
        <v>3.4027432773718851</v>
      </c>
      <c r="BI112">
        <v>3.7410308211077141</v>
      </c>
      <c r="BJ112">
        <v>4.3142113462378351</v>
      </c>
      <c r="BK112">
        <v>3.0174818103140559</v>
      </c>
      <c r="BL112">
        <v>3.093420880753635</v>
      </c>
      <c r="BM112">
        <v>3.9418032690806459</v>
      </c>
      <c r="BN112">
        <v>4.370121904781568</v>
      </c>
      <c r="BO112">
        <v>9.5733711855595338</v>
      </c>
      <c r="BP112">
        <v>7.1214237183133857</v>
      </c>
      <c r="BQ112">
        <v>4.1908172134452348</v>
      </c>
    </row>
    <row r="113" spans="1:69" x14ac:dyDescent="0.25">
      <c r="A113" t="s">
        <v>1259</v>
      </c>
      <c r="B113" t="s">
        <v>1260</v>
      </c>
      <c r="C113" t="s">
        <v>1575</v>
      </c>
      <c r="D113" t="s">
        <v>1576</v>
      </c>
    </row>
    <row r="114" spans="1:69" x14ac:dyDescent="0.25">
      <c r="A114" t="s">
        <v>1261</v>
      </c>
      <c r="B114" t="s">
        <v>1262</v>
      </c>
      <c r="C114" t="s">
        <v>1575</v>
      </c>
      <c r="D114" t="s">
        <v>1576</v>
      </c>
      <c r="E114">
        <v>1.7798778467738241</v>
      </c>
      <c r="F114">
        <v>1.695212939144328</v>
      </c>
      <c r="G114">
        <v>3.6322149710698741</v>
      </c>
      <c r="H114">
        <v>2.94616135685229</v>
      </c>
      <c r="I114">
        <v>13.355261150815281</v>
      </c>
      <c r="J114">
        <v>9.474758591706987</v>
      </c>
      <c r="K114">
        <v>10.80184834893417</v>
      </c>
      <c r="L114">
        <v>13.062202477796991</v>
      </c>
      <c r="M114">
        <v>3.2374124262750219</v>
      </c>
      <c r="N114">
        <v>-0.58413661046634924</v>
      </c>
      <c r="O114">
        <v>5.0922616199755169</v>
      </c>
      <c r="P114">
        <v>3.0799386840653709</v>
      </c>
      <c r="Q114">
        <v>6.4420974615824322</v>
      </c>
      <c r="R114">
        <v>16.940815979173571</v>
      </c>
      <c r="S114">
        <v>28.598734077509029</v>
      </c>
      <c r="T114">
        <v>5.748430297674366</v>
      </c>
      <c r="U114">
        <v>-7.6339476339288188</v>
      </c>
      <c r="V114">
        <v>8.3074700917116573</v>
      </c>
      <c r="W114">
        <v>2.5230487569517979</v>
      </c>
      <c r="X114">
        <v>6.2756833676233494</v>
      </c>
      <c r="Y114">
        <v>11.34607347950951</v>
      </c>
      <c r="Z114">
        <v>13.11254689764195</v>
      </c>
      <c r="AA114">
        <v>7.8907427937748746</v>
      </c>
      <c r="AB114">
        <v>11.868081298673371</v>
      </c>
      <c r="AC114">
        <v>8.3189071186007997</v>
      </c>
      <c r="AD114">
        <v>5.5564242323655382</v>
      </c>
      <c r="AE114">
        <v>8.7297207270258088</v>
      </c>
      <c r="AF114">
        <v>8.8011258125183254</v>
      </c>
      <c r="AG114">
        <v>9.3834718618533515</v>
      </c>
      <c r="AH114">
        <v>7.074280029423007</v>
      </c>
      <c r="AI114">
        <v>8.9712325027324979</v>
      </c>
      <c r="AJ114">
        <v>13.87024617736831</v>
      </c>
      <c r="AK114">
        <v>11.787817041813449</v>
      </c>
      <c r="AL114">
        <v>6.3268904877986669</v>
      </c>
      <c r="AM114">
        <v>10.247935555611919</v>
      </c>
      <c r="AN114">
        <v>10.224886163754441</v>
      </c>
      <c r="AO114">
        <v>8.977152338264526</v>
      </c>
      <c r="AP114">
        <v>7.1642521146272369</v>
      </c>
      <c r="AQ114">
        <v>13.23083897679772</v>
      </c>
      <c r="AR114">
        <v>4.6698203803759357</v>
      </c>
      <c r="AS114">
        <v>4.0094359104519022</v>
      </c>
      <c r="AT114">
        <v>3.7792931223563722</v>
      </c>
      <c r="AU114">
        <v>4.2971520392956339</v>
      </c>
      <c r="AV114">
        <v>3.805858995288506</v>
      </c>
      <c r="AW114">
        <v>3.767251734775154</v>
      </c>
      <c r="AX114">
        <v>4.2463436203192186</v>
      </c>
      <c r="AY114">
        <v>5.7965233756163377</v>
      </c>
      <c r="AZ114">
        <v>6.3728813559323099</v>
      </c>
      <c r="BA114">
        <v>8.3492670490758147</v>
      </c>
      <c r="BB114">
        <v>10.882352941176441</v>
      </c>
      <c r="BC114">
        <v>11.989389920424401</v>
      </c>
      <c r="BD114">
        <v>8.9117933648337111</v>
      </c>
      <c r="BE114">
        <v>9.4789969141980102</v>
      </c>
      <c r="BF114">
        <v>10.017878474610241</v>
      </c>
      <c r="BG114">
        <v>6.6656567186789939</v>
      </c>
      <c r="BH114">
        <v>4.906973441272565</v>
      </c>
      <c r="BI114">
        <v>4.9482163406214061</v>
      </c>
      <c r="BJ114">
        <v>3.3281733746129771</v>
      </c>
      <c r="BK114">
        <v>3.9388264669162978</v>
      </c>
      <c r="BL114">
        <v>3.7295057353912942</v>
      </c>
      <c r="BM114">
        <v>6.623436776285355</v>
      </c>
      <c r="BN114">
        <v>5.1314074717636888</v>
      </c>
      <c r="BO114">
        <v>6.6990341407985179</v>
      </c>
      <c r="BP114">
        <v>5.649143189079247</v>
      </c>
      <c r="BQ114">
        <v>4.9530355097365568</v>
      </c>
    </row>
    <row r="115" spans="1:69" x14ac:dyDescent="0.25">
      <c r="A115" t="s">
        <v>1263</v>
      </c>
      <c r="B115" t="s">
        <v>1264</v>
      </c>
      <c r="C115" t="s">
        <v>1575</v>
      </c>
      <c r="D115" t="s">
        <v>1576</v>
      </c>
    </row>
    <row r="116" spans="1:69" x14ac:dyDescent="0.25">
      <c r="A116" t="s">
        <v>1265</v>
      </c>
      <c r="B116" t="s">
        <v>1266</v>
      </c>
      <c r="C116" t="s">
        <v>1575</v>
      </c>
      <c r="D116" t="s">
        <v>1576</v>
      </c>
      <c r="E116">
        <v>0.45083726943177638</v>
      </c>
      <c r="F116">
        <v>2.7569993586355039</v>
      </c>
      <c r="G116">
        <v>4.263727121490855</v>
      </c>
      <c r="H116">
        <v>2.4536205866892802</v>
      </c>
      <c r="I116">
        <v>6.7172897192629488</v>
      </c>
      <c r="J116">
        <v>4.9881235154394599</v>
      </c>
      <c r="K116">
        <v>3.0542986414027311</v>
      </c>
      <c r="L116">
        <v>3.1833150395518</v>
      </c>
      <c r="M116">
        <v>4.6808510638298966</v>
      </c>
      <c r="N116">
        <v>7.4186991859755409</v>
      </c>
      <c r="O116">
        <v>8.2071901609102653</v>
      </c>
      <c r="P116">
        <v>8.9617486341766917</v>
      </c>
      <c r="Q116">
        <v>8.6058174530106619</v>
      </c>
      <c r="R116">
        <v>11.41485038732961</v>
      </c>
      <c r="S116">
        <v>16.976127321204789</v>
      </c>
      <c r="T116">
        <v>20.875850340195161</v>
      </c>
      <c r="U116">
        <v>17.98569586133863</v>
      </c>
      <c r="V116">
        <v>13.47225529379477</v>
      </c>
      <c r="W116">
        <v>7.7111121462186931</v>
      </c>
      <c r="X116">
        <v>13.295468824828109</v>
      </c>
      <c r="Y116">
        <v>18.154462255797199</v>
      </c>
      <c r="Z116">
        <v>20.373511070193359</v>
      </c>
      <c r="AA116">
        <v>17.14712620370916</v>
      </c>
      <c r="AB116">
        <v>10.44762553485937</v>
      </c>
      <c r="AC116">
        <v>8.6511105379638575</v>
      </c>
      <c r="AD116">
        <v>5.3954862017035188</v>
      </c>
      <c r="AE116">
        <v>3.8270416654265929</v>
      </c>
      <c r="AF116">
        <v>3.1594103483501379</v>
      </c>
      <c r="AG116">
        <v>2.1345698910710338</v>
      </c>
      <c r="AH116">
        <v>4.0890538815354427</v>
      </c>
      <c r="AI116">
        <v>3.3173288668011831</v>
      </c>
      <c r="AJ116">
        <v>3.2108103714237779</v>
      </c>
      <c r="AK116">
        <v>3.0699985383590369</v>
      </c>
      <c r="AL116">
        <v>1.469415224114222</v>
      </c>
      <c r="AM116">
        <v>2.3092019261095089</v>
      </c>
      <c r="AN116">
        <v>2.524864467808019</v>
      </c>
      <c r="AO116">
        <v>1.755744696074194</v>
      </c>
      <c r="AP116">
        <v>1.5418020226136979</v>
      </c>
      <c r="AQ116">
        <v>2.4076809453471499</v>
      </c>
      <c r="AR116">
        <v>1.629886052214069</v>
      </c>
      <c r="AS116">
        <v>5.5776326994038703</v>
      </c>
      <c r="AT116">
        <v>4.8528027960747684</v>
      </c>
      <c r="AU116">
        <v>4.6282051282051517</v>
      </c>
      <c r="AV116">
        <v>3.4922190907976498</v>
      </c>
      <c r="AW116">
        <v>2.1785460573052271</v>
      </c>
      <c r="AX116">
        <v>2.4565469293163869</v>
      </c>
      <c r="AY116">
        <v>3.9357611400135371</v>
      </c>
      <c r="AZ116">
        <v>4.8857453754080176</v>
      </c>
      <c r="BA116">
        <v>4.0356883494139097</v>
      </c>
      <c r="BB116">
        <v>-4.4475468687674642</v>
      </c>
      <c r="BC116">
        <v>-0.91838864537677389</v>
      </c>
      <c r="BD116">
        <v>2.5489783020855001</v>
      </c>
      <c r="BE116">
        <v>1.694741166803664</v>
      </c>
      <c r="BF116">
        <v>0.51509948490057322</v>
      </c>
      <c r="BG116">
        <v>0.19091639871374491</v>
      </c>
      <c r="BH116">
        <v>-0.33095978337178761</v>
      </c>
      <c r="BI116">
        <v>2.012477359632367E-2</v>
      </c>
      <c r="BJ116">
        <v>0.3621730382293778</v>
      </c>
      <c r="BK116">
        <v>0.47113071371291559</v>
      </c>
      <c r="BL116">
        <v>0.9378429611892739</v>
      </c>
      <c r="BM116">
        <v>-0.3261836512800329</v>
      </c>
      <c r="BN116">
        <v>2.340341134470437</v>
      </c>
      <c r="BO116">
        <v>7.8294573643410468</v>
      </c>
      <c r="BP116">
        <v>6.2994248741912466</v>
      </c>
      <c r="BQ116">
        <v>2.1134499957731672</v>
      </c>
    </row>
    <row r="117" spans="1:69" x14ac:dyDescent="0.25">
      <c r="A117" t="s">
        <v>1267</v>
      </c>
      <c r="B117" t="s">
        <v>1268</v>
      </c>
      <c r="C117" t="s">
        <v>1575</v>
      </c>
      <c r="D117" t="s">
        <v>1576</v>
      </c>
      <c r="E117">
        <v>9.8224108129786725</v>
      </c>
      <c r="F117">
        <v>3.1625643958574492</v>
      </c>
      <c r="G117">
        <v>0.72132057165633712</v>
      </c>
      <c r="H117">
        <v>0.37184960722166582</v>
      </c>
      <c r="I117">
        <v>3.8144895722304271</v>
      </c>
      <c r="J117">
        <v>2.154374835209675</v>
      </c>
      <c r="K117">
        <v>-0.38814853215443179</v>
      </c>
      <c r="L117">
        <v>1.5976100796435391</v>
      </c>
      <c r="M117">
        <v>0.69036052199623255</v>
      </c>
      <c r="N117">
        <v>3.5931945155128111</v>
      </c>
      <c r="O117">
        <v>1.6668709397006849</v>
      </c>
      <c r="P117">
        <v>4.195298372654225</v>
      </c>
      <c r="Q117">
        <v>6.3982413512887124</v>
      </c>
      <c r="R117">
        <v>9.8194867331876186</v>
      </c>
      <c r="S117">
        <v>14.24893553825674</v>
      </c>
      <c r="T117">
        <v>12.879181833834069</v>
      </c>
      <c r="U117">
        <v>11.25614250621115</v>
      </c>
      <c r="V117">
        <v>27.287784679309318</v>
      </c>
      <c r="W117">
        <v>11.72196920412121</v>
      </c>
      <c r="X117">
        <v>10.487236727348551</v>
      </c>
      <c r="Y117">
        <v>20.643914437379809</v>
      </c>
      <c r="Z117">
        <v>24.203589762448601</v>
      </c>
      <c r="AA117">
        <v>18.689725926956381</v>
      </c>
      <c r="AB117">
        <v>19.74018917786108</v>
      </c>
      <c r="AC117">
        <v>12.54021945388684</v>
      </c>
      <c r="AD117">
        <v>4.3893409574154143</v>
      </c>
      <c r="AE117">
        <v>18.42900302114737</v>
      </c>
      <c r="AF117">
        <v>28.571428571429209</v>
      </c>
      <c r="AG117">
        <v>28.670634920634459</v>
      </c>
      <c r="AH117">
        <v>22.349653045489649</v>
      </c>
      <c r="AI117">
        <v>7.6276749376393447</v>
      </c>
      <c r="AJ117">
        <v>17.128567943401169</v>
      </c>
      <c r="AK117">
        <v>25.807722616233161</v>
      </c>
      <c r="AL117">
        <v>21.202630754776081</v>
      </c>
      <c r="AM117">
        <v>31.447028423772799</v>
      </c>
      <c r="AN117">
        <v>49.655985846274632</v>
      </c>
      <c r="AO117">
        <v>28.937344016813661</v>
      </c>
      <c r="AP117">
        <v>17.349225753870769</v>
      </c>
      <c r="AQ117">
        <v>17.86613421303975</v>
      </c>
      <c r="AR117">
        <v>20.070707814686578</v>
      </c>
      <c r="AS117">
        <v>14.47675131885666</v>
      </c>
      <c r="AT117">
        <v>11.27424713321167</v>
      </c>
      <c r="AU117">
        <v>14.33593373784039</v>
      </c>
      <c r="AV117">
        <v>16.468011624479178</v>
      </c>
      <c r="AW117">
        <v>14.76150869706724</v>
      </c>
      <c r="AX117">
        <v>13.43311800850802</v>
      </c>
      <c r="AY117">
        <v>10.01589825119239</v>
      </c>
      <c r="AZ117">
        <v>17.34104046242766</v>
      </c>
      <c r="BA117">
        <v>25.410509031198721</v>
      </c>
      <c r="BB117">
        <v>13.55155482815062</v>
      </c>
      <c r="BC117">
        <v>10.089362928797909</v>
      </c>
      <c r="BD117">
        <v>26.293385673860801</v>
      </c>
      <c r="BE117">
        <v>27.256812724290839</v>
      </c>
      <c r="BF117">
        <v>36.603035519102932</v>
      </c>
      <c r="BG117">
        <v>16.60655323574489</v>
      </c>
      <c r="BH117">
        <v>12.48468156115333</v>
      </c>
      <c r="BI117">
        <v>7.2454254895297892</v>
      </c>
      <c r="BJ117">
        <v>8.0449243766027756</v>
      </c>
      <c r="BK117">
        <v>18.014118337187419</v>
      </c>
      <c r="BL117">
        <v>39.90734556977835</v>
      </c>
      <c r="BM117">
        <v>30.594139038729509</v>
      </c>
      <c r="BN117">
        <v>43.389016268151437</v>
      </c>
      <c r="BO117">
        <v>43.488464174217867</v>
      </c>
      <c r="BP117">
        <v>44.57918575727971</v>
      </c>
      <c r="BQ117">
        <v>32.455871402916991</v>
      </c>
    </row>
    <row r="118" spans="1:69" x14ac:dyDescent="0.25">
      <c r="A118" t="s">
        <v>1269</v>
      </c>
      <c r="B118" t="s">
        <v>1270</v>
      </c>
      <c r="C118" t="s">
        <v>1575</v>
      </c>
      <c r="D118" t="s">
        <v>1576</v>
      </c>
      <c r="E118">
        <v>3.4782379040959919</v>
      </c>
      <c r="F118">
        <v>0.9162604318466876</v>
      </c>
      <c r="G118">
        <v>1.2923621654152071</v>
      </c>
      <c r="H118">
        <v>3.9549574292974201</v>
      </c>
      <c r="I118">
        <v>-9.0136519671747836E-2</v>
      </c>
      <c r="J118">
        <v>-0.45558086585781038</v>
      </c>
      <c r="K118">
        <v>1.983218917121641</v>
      </c>
      <c r="L118">
        <v>3.290949887816724</v>
      </c>
      <c r="M118">
        <v>2.1964759828679932</v>
      </c>
      <c r="N118">
        <v>5.7392536613673313</v>
      </c>
      <c r="O118">
        <v>4.3555952647056362</v>
      </c>
      <c r="P118">
        <v>3.5958904107603722</v>
      </c>
      <c r="Q118">
        <v>5.1859504132551768</v>
      </c>
      <c r="R118">
        <v>4.8909840899257127</v>
      </c>
      <c r="S118">
        <v>7.6999999997692603</v>
      </c>
      <c r="T118">
        <v>9.5171773440553586</v>
      </c>
      <c r="U118">
        <v>12.823230182813431</v>
      </c>
      <c r="V118">
        <v>9.1677625399551221</v>
      </c>
      <c r="W118">
        <v>4.6119428668201792</v>
      </c>
      <c r="AJ118">
        <v>180.95238095238071</v>
      </c>
      <c r="AK118">
        <v>83.615819209039003</v>
      </c>
      <c r="AL118">
        <v>207.69230769230879</v>
      </c>
      <c r="AM118">
        <v>448.49999999999892</v>
      </c>
      <c r="AN118">
        <v>387.31084776663818</v>
      </c>
      <c r="AO118">
        <v>-16.117325751057191</v>
      </c>
      <c r="AP118">
        <v>23.063199678872738</v>
      </c>
      <c r="AQ118">
        <v>14.768773557552761</v>
      </c>
      <c r="AR118">
        <v>12.577762339343611</v>
      </c>
      <c r="AS118">
        <v>4.9789621318373509</v>
      </c>
      <c r="AT118">
        <v>16.374081496326241</v>
      </c>
      <c r="AU118">
        <v>19.316694601978959</v>
      </c>
      <c r="AV118">
        <v>33.616210599238293</v>
      </c>
      <c r="AW118">
        <v>26.96190681932719</v>
      </c>
      <c r="AX118">
        <v>36.959480920187112</v>
      </c>
      <c r="AY118">
        <v>53.230962911427973</v>
      </c>
      <c r="AZ118">
        <v>-10.06749257689779</v>
      </c>
      <c r="BA118">
        <v>12.66285282692281</v>
      </c>
      <c r="BB118">
        <v>6.873615472125497</v>
      </c>
      <c r="BC118">
        <v>2.877747252747596</v>
      </c>
      <c r="BD118">
        <v>5.8014553708529997</v>
      </c>
      <c r="BE118">
        <v>6.0890964159504257</v>
      </c>
      <c r="BF118">
        <v>1.879498007494689</v>
      </c>
      <c r="BG118">
        <v>2.2359740790467928</v>
      </c>
      <c r="BH118">
        <v>1.3933302878030871</v>
      </c>
      <c r="BI118">
        <v>0.55652139715551108</v>
      </c>
      <c r="BJ118">
        <v>0.18405889884768989</v>
      </c>
      <c r="BK118">
        <v>0.36744148893684919</v>
      </c>
      <c r="BL118">
        <v>-0.19896538002392819</v>
      </c>
      <c r="BM118">
        <v>0.5741626794257948</v>
      </c>
      <c r="BN118">
        <v>6.0418648905804391</v>
      </c>
      <c r="BO118">
        <v>4.9947659638104351</v>
      </c>
      <c r="BP118">
        <v>4.3583535108958573</v>
      </c>
      <c r="BQ118">
        <v>-12.29698375870071</v>
      </c>
    </row>
    <row r="119" spans="1:69" x14ac:dyDescent="0.25">
      <c r="A119" t="s">
        <v>1271</v>
      </c>
      <c r="B119" t="s">
        <v>1272</v>
      </c>
      <c r="C119" t="s">
        <v>1575</v>
      </c>
      <c r="D119" t="s">
        <v>1576</v>
      </c>
      <c r="E119">
        <v>1.988397239020341</v>
      </c>
      <c r="F119">
        <v>4.711614996793533</v>
      </c>
      <c r="G119">
        <v>11.016292445576971</v>
      </c>
      <c r="H119">
        <v>12.928023075590289</v>
      </c>
      <c r="I119">
        <v>19.245054357257938</v>
      </c>
      <c r="J119">
        <v>7.3170694278334638</v>
      </c>
      <c r="K119">
        <v>10.68664303423869</v>
      </c>
      <c r="L119">
        <v>3.3202186782153218</v>
      </c>
      <c r="M119">
        <v>15.231798403425159</v>
      </c>
      <c r="N119">
        <v>21.763294919345348</v>
      </c>
      <c r="O119">
        <v>13.372475149184639</v>
      </c>
      <c r="P119">
        <v>6.7318745298098754</v>
      </c>
      <c r="Q119">
        <v>9.8113239127997218</v>
      </c>
      <c r="R119">
        <v>21.35493091682979</v>
      </c>
      <c r="S119">
        <v>42.51618195852916</v>
      </c>
      <c r="T119">
        <v>49.361338233405313</v>
      </c>
      <c r="U119">
        <v>32.035110223608577</v>
      </c>
      <c r="V119">
        <v>30.316741272592822</v>
      </c>
      <c r="W119">
        <v>43.749998285360611</v>
      </c>
      <c r="X119">
        <v>44.444455804374421</v>
      </c>
      <c r="Y119">
        <v>58.528426089364622</v>
      </c>
      <c r="Z119">
        <v>51.793241601010813</v>
      </c>
      <c r="AA119">
        <v>50.243226389676103</v>
      </c>
      <c r="AB119">
        <v>83.950046193703372</v>
      </c>
      <c r="AC119">
        <v>30.85239707709092</v>
      </c>
      <c r="AD119">
        <v>31.994629024070271</v>
      </c>
      <c r="AE119">
        <v>22.12840118766459</v>
      </c>
      <c r="AF119">
        <v>18.29776822323041</v>
      </c>
      <c r="AG119">
        <v>25.725509085284191</v>
      </c>
      <c r="AH119">
        <v>20.758195033448491</v>
      </c>
      <c r="AI119">
        <v>15.510721994253039</v>
      </c>
      <c r="AJ119">
        <v>6.8087788794363382</v>
      </c>
      <c r="AK119">
        <v>3.9477117682403118</v>
      </c>
      <c r="AL119">
        <v>4.0428529107694651</v>
      </c>
      <c r="AM119">
        <v>1.552656274957769</v>
      </c>
      <c r="AN119">
        <v>1.6512315011665779</v>
      </c>
      <c r="AO119">
        <v>2.2604189826729719</v>
      </c>
      <c r="AP119">
        <v>1.815430802822416</v>
      </c>
      <c r="AQ119">
        <v>1.659241709534274</v>
      </c>
      <c r="AR119">
        <v>3.231832609064667</v>
      </c>
      <c r="AS119">
        <v>5.1364712324515054</v>
      </c>
      <c r="AT119">
        <v>6.4050855038686842</v>
      </c>
      <c r="AU119">
        <v>5.1970223021662791</v>
      </c>
      <c r="AV119">
        <v>2.0556632975374241</v>
      </c>
      <c r="AW119">
        <v>3.1581932429846389</v>
      </c>
      <c r="AX119">
        <v>3.9870478280659261</v>
      </c>
      <c r="AY119">
        <v>6.687079061366612</v>
      </c>
      <c r="AZ119">
        <v>5.0515573649214573</v>
      </c>
      <c r="BA119">
        <v>12.69439427758776</v>
      </c>
      <c r="BB119">
        <v>12.003129846174289</v>
      </c>
      <c r="BC119">
        <v>5.3967311316747741</v>
      </c>
      <c r="BD119">
        <v>4.0010266434312003</v>
      </c>
      <c r="BE119">
        <v>5.1858998875069773</v>
      </c>
      <c r="BF119">
        <v>3.8722792374824948</v>
      </c>
      <c r="BG119">
        <v>2.0446148153933339</v>
      </c>
      <c r="BH119">
        <v>1.633055581813263</v>
      </c>
      <c r="BI119">
        <v>1.696927619977507</v>
      </c>
      <c r="BJ119">
        <v>1.760415591805965</v>
      </c>
      <c r="BK119">
        <v>2.6829176826739198</v>
      </c>
      <c r="BL119">
        <v>3.0139717915605289</v>
      </c>
      <c r="BM119">
        <v>2.8479240151866478</v>
      </c>
      <c r="BN119">
        <v>4.4442397018973878</v>
      </c>
      <c r="BO119">
        <v>8.3087551155892019</v>
      </c>
      <c r="BP119">
        <v>8.7363029993729828</v>
      </c>
      <c r="BQ119">
        <v>5.8568384997006557</v>
      </c>
    </row>
    <row r="120" spans="1:69" x14ac:dyDescent="0.25">
      <c r="A120" t="s">
        <v>1273</v>
      </c>
      <c r="B120" t="s">
        <v>1274</v>
      </c>
      <c r="C120" t="s">
        <v>1575</v>
      </c>
      <c r="D120" t="s">
        <v>1576</v>
      </c>
      <c r="E120">
        <v>2.2281124206708358</v>
      </c>
      <c r="F120">
        <v>6.7898234044024397</v>
      </c>
      <c r="G120">
        <v>9.4081940682655514</v>
      </c>
      <c r="H120">
        <v>6.5811373646405702</v>
      </c>
      <c r="I120">
        <v>5.1727504232881527</v>
      </c>
      <c r="J120">
        <v>7.7083332642049998</v>
      </c>
      <c r="K120">
        <v>7.9303675444844952</v>
      </c>
      <c r="L120">
        <v>1.7060931600593201</v>
      </c>
      <c r="M120">
        <v>2.079221858136254</v>
      </c>
      <c r="N120">
        <v>2.4580542561779941</v>
      </c>
      <c r="O120">
        <v>6.1107420359874007</v>
      </c>
      <c r="P120">
        <v>11.97257188640258</v>
      </c>
      <c r="Q120">
        <v>12.88146308464591</v>
      </c>
      <c r="R120">
        <v>20.03237781107055</v>
      </c>
      <c r="S120">
        <v>39.679972457954669</v>
      </c>
      <c r="T120">
        <v>39.306731955589768</v>
      </c>
      <c r="U120">
        <v>31.310866404514481</v>
      </c>
      <c r="V120">
        <v>34.616715693275559</v>
      </c>
      <c r="W120">
        <v>50.55094595791131</v>
      </c>
      <c r="X120">
        <v>78.310011124361381</v>
      </c>
      <c r="Y120">
        <v>131.02501228600639</v>
      </c>
      <c r="Z120">
        <v>116.799989401855</v>
      </c>
      <c r="AA120">
        <v>120.3644098122526</v>
      </c>
      <c r="AB120">
        <v>145.95150271429651</v>
      </c>
      <c r="AC120">
        <v>373.21563136284732</v>
      </c>
      <c r="AD120">
        <v>307.16191464394069</v>
      </c>
      <c r="AE120">
        <v>47.644927536231911</v>
      </c>
      <c r="AF120">
        <v>19.079754601227009</v>
      </c>
      <c r="AG120">
        <v>16.383307573415781</v>
      </c>
      <c r="AH120">
        <v>20.318725099601579</v>
      </c>
      <c r="AI120">
        <v>17.25533480500361</v>
      </c>
      <c r="AJ120">
        <v>19.10887982428617</v>
      </c>
      <c r="AK120">
        <v>12.065331928345691</v>
      </c>
      <c r="AL120">
        <v>10.883874000940329</v>
      </c>
      <c r="AM120">
        <v>12.253550985796</v>
      </c>
      <c r="AN120">
        <v>9.9338999055712591</v>
      </c>
      <c r="AO120">
        <v>11.45851228311294</v>
      </c>
      <c r="AP120">
        <v>8.9549938347718356</v>
      </c>
      <c r="AQ120">
        <v>5.4887537133965578</v>
      </c>
      <c r="AR120">
        <v>5.189754592999825</v>
      </c>
      <c r="AS120">
        <v>1.032636409994893</v>
      </c>
      <c r="AT120">
        <v>1.123028391167207</v>
      </c>
      <c r="AU120">
        <v>5.8023458946842927</v>
      </c>
      <c r="AV120">
        <v>0.70763061681807027</v>
      </c>
      <c r="AW120">
        <v>-0.42159503454741609</v>
      </c>
      <c r="AX120">
        <v>1.3407032811949211</v>
      </c>
      <c r="AY120">
        <v>2.0540791458744292</v>
      </c>
      <c r="AZ120">
        <v>0.46622697293606541</v>
      </c>
      <c r="BA120">
        <v>4.5274476513865132</v>
      </c>
      <c r="BB120">
        <v>3.367623172712499</v>
      </c>
      <c r="BC120">
        <v>2.7027027027027342</v>
      </c>
      <c r="BD120">
        <v>3.4883720930232309</v>
      </c>
      <c r="BE120">
        <v>1.675537157500518</v>
      </c>
      <c r="BF120">
        <v>1.5897634742147571</v>
      </c>
      <c r="BG120">
        <v>0.46755725190850311</v>
      </c>
      <c r="BH120">
        <v>-0.61734257764276457</v>
      </c>
      <c r="BI120">
        <v>-0.53516819571869545</v>
      </c>
      <c r="BJ120">
        <v>0.2498078401230083</v>
      </c>
      <c r="BK120">
        <v>0.80506037952852638</v>
      </c>
      <c r="BL120">
        <v>0.81764594029279369</v>
      </c>
      <c r="BM120">
        <v>-0.5752546208977557</v>
      </c>
      <c r="BN120">
        <v>1.4796547472256141</v>
      </c>
      <c r="BO120">
        <v>4.4116272548837099</v>
      </c>
      <c r="BP120">
        <v>4.2252260316891768</v>
      </c>
      <c r="BQ120">
        <v>3.0748088980502462</v>
      </c>
    </row>
    <row r="121" spans="1:69" x14ac:dyDescent="0.25">
      <c r="A121" t="s">
        <v>1275</v>
      </c>
      <c r="B121" t="s">
        <v>1276</v>
      </c>
      <c r="C121" t="s">
        <v>1575</v>
      </c>
      <c r="D121" t="s">
        <v>1576</v>
      </c>
      <c r="E121">
        <v>2.3501614137705031</v>
      </c>
      <c r="F121">
        <v>2.0506973127869772</v>
      </c>
      <c r="G121">
        <v>4.6911436074047064</v>
      </c>
      <c r="H121">
        <v>7.4547182253910318</v>
      </c>
      <c r="I121">
        <v>5.9123225321858737</v>
      </c>
      <c r="J121">
        <v>4.5192683074345812</v>
      </c>
      <c r="K121">
        <v>2.346588934133182</v>
      </c>
      <c r="L121">
        <v>3.7333383207382189</v>
      </c>
      <c r="M121">
        <v>1.27731335390797</v>
      </c>
      <c r="N121">
        <v>2.6572527338697189</v>
      </c>
      <c r="O121">
        <v>4.9683198732933507</v>
      </c>
      <c r="P121">
        <v>4.7916643833378627</v>
      </c>
      <c r="Q121">
        <v>5.7495039373000747</v>
      </c>
      <c r="R121">
        <v>10.79861745476016</v>
      </c>
      <c r="S121">
        <v>19.159769585469871</v>
      </c>
      <c r="T121">
        <v>16.950502566830639</v>
      </c>
      <c r="U121">
        <v>16.61416647257882</v>
      </c>
      <c r="V121">
        <v>17.130048786649951</v>
      </c>
      <c r="W121">
        <v>12.094013842507421</v>
      </c>
      <c r="X121">
        <v>14.79857356614842</v>
      </c>
      <c r="Y121">
        <v>21.064168277074469</v>
      </c>
      <c r="Z121">
        <v>17.969298751967219</v>
      </c>
      <c r="AA121">
        <v>16.480414620221431</v>
      </c>
      <c r="AB121">
        <v>14.64657667487695</v>
      </c>
      <c r="AC121">
        <v>10.79449600768111</v>
      </c>
      <c r="AD121">
        <v>9.2059914425311788</v>
      </c>
      <c r="AE121">
        <v>5.8235469186201678</v>
      </c>
      <c r="AF121">
        <v>4.7472849038978913</v>
      </c>
      <c r="AG121">
        <v>5.0582474766711947</v>
      </c>
      <c r="AH121">
        <v>6.2598313795697678</v>
      </c>
      <c r="AI121">
        <v>6.4566090614639959</v>
      </c>
      <c r="AJ121">
        <v>6.2499992979029111</v>
      </c>
      <c r="AK121">
        <v>5.2705899859293011</v>
      </c>
      <c r="AL121">
        <v>4.6267346833129803</v>
      </c>
      <c r="AM121">
        <v>4.0518421806571618</v>
      </c>
      <c r="AN121">
        <v>5.2354225804430126</v>
      </c>
      <c r="AO121">
        <v>4.0069766898104007</v>
      </c>
      <c r="AP121">
        <v>2.0431077975013578</v>
      </c>
      <c r="AQ121">
        <v>1.9550855771938109</v>
      </c>
      <c r="AR121">
        <v>1.6634599500771441</v>
      </c>
      <c r="AS121">
        <v>2.537685320950017</v>
      </c>
      <c r="AT121">
        <v>2.7851654271355391</v>
      </c>
      <c r="AU121">
        <v>2.4653231917116498</v>
      </c>
      <c r="AV121">
        <v>2.6725555277284978</v>
      </c>
      <c r="AW121">
        <v>2.2067366142365699</v>
      </c>
      <c r="AX121">
        <v>1.985292985279804</v>
      </c>
      <c r="AY121">
        <v>2.090843910127544</v>
      </c>
      <c r="AZ121">
        <v>1.8297411220240281</v>
      </c>
      <c r="BA121">
        <v>3.3478325840102179</v>
      </c>
      <c r="BB121">
        <v>0.7747681313873811</v>
      </c>
      <c r="BC121">
        <v>1.5255160211824761</v>
      </c>
      <c r="BD121">
        <v>2.7806327287932309</v>
      </c>
      <c r="BE121">
        <v>3.041363332267748</v>
      </c>
      <c r="BF121">
        <v>1.21999342274306</v>
      </c>
      <c r="BG121">
        <v>0.2410474298267557</v>
      </c>
      <c r="BH121">
        <v>3.879039965797329E-2</v>
      </c>
      <c r="BI121">
        <v>-9.4016656915750035E-2</v>
      </c>
      <c r="BJ121">
        <v>1.2265331664581181</v>
      </c>
      <c r="BK121">
        <v>1.1374876360039059</v>
      </c>
      <c r="BL121">
        <v>0.61124694376530397</v>
      </c>
      <c r="BM121">
        <v>-0.13770757391651031</v>
      </c>
      <c r="BN121">
        <v>1.8737832576248059</v>
      </c>
      <c r="BO121">
        <v>8.2012899116171791</v>
      </c>
      <c r="BP121">
        <v>5.6221944219590112</v>
      </c>
      <c r="BQ121">
        <v>0.98237302306141705</v>
      </c>
    </row>
    <row r="122" spans="1:69" x14ac:dyDescent="0.25">
      <c r="A122" t="s">
        <v>1277</v>
      </c>
      <c r="B122" t="s">
        <v>1278</v>
      </c>
      <c r="C122" t="s">
        <v>1575</v>
      </c>
      <c r="D122" t="s">
        <v>1576</v>
      </c>
      <c r="E122">
        <v>3.2742491383558758</v>
      </c>
      <c r="F122">
        <v>6.6984505363520936</v>
      </c>
      <c r="G122">
        <v>1.407506702413148</v>
      </c>
      <c r="H122">
        <v>1.7625027539107549</v>
      </c>
      <c r="I122">
        <v>2.0134228187918621</v>
      </c>
      <c r="J122">
        <v>2.6315789473685229</v>
      </c>
      <c r="K122">
        <v>1.9023986765922469</v>
      </c>
      <c r="L122">
        <v>3.023538961038557</v>
      </c>
      <c r="M122">
        <v>5.9286980500299498</v>
      </c>
      <c r="N122">
        <v>6.3034585347709546</v>
      </c>
      <c r="O122">
        <v>14.728004196256659</v>
      </c>
      <c r="P122">
        <v>5.3361792958586758</v>
      </c>
      <c r="Q122">
        <v>5.4277029963075059</v>
      </c>
      <c r="R122">
        <v>17.682591982483761</v>
      </c>
      <c r="S122">
        <v>27.158189455021631</v>
      </c>
      <c r="T122">
        <v>17.37614678858008</v>
      </c>
      <c r="U122">
        <v>9.7936532753465073</v>
      </c>
      <c r="V122">
        <v>11.19100163703586</v>
      </c>
      <c r="W122">
        <v>34.899801524050822</v>
      </c>
      <c r="X122">
        <v>29.079259610978578</v>
      </c>
      <c r="Y122">
        <v>27.30815898823073</v>
      </c>
      <c r="Z122">
        <v>12.73971811450912</v>
      </c>
      <c r="AA122">
        <v>6.5454079672006582</v>
      </c>
      <c r="AB122">
        <v>11.582111084425341</v>
      </c>
      <c r="AC122">
        <v>27.814769323745288</v>
      </c>
      <c r="AD122">
        <v>25.67310123917725</v>
      </c>
      <c r="AE122">
        <v>15.1053754209796</v>
      </c>
      <c r="AF122">
        <v>6.6524480496268419</v>
      </c>
      <c r="AG122">
        <v>8.2667657440090778</v>
      </c>
      <c r="AH122">
        <v>14.329539032857189</v>
      </c>
      <c r="AI122">
        <v>21.960175116508289</v>
      </c>
      <c r="AJ122">
        <v>51.071097730431312</v>
      </c>
      <c r="AK122">
        <v>77.296592955965096</v>
      </c>
      <c r="AL122">
        <v>22.06994941852923</v>
      </c>
      <c r="AM122">
        <v>35.063394248477167</v>
      </c>
      <c r="AN122">
        <v>19.908748836416809</v>
      </c>
      <c r="AO122">
        <v>26.406656607404251</v>
      </c>
      <c r="AP122">
        <v>9.6575526126859543</v>
      </c>
      <c r="AQ122">
        <v>8.6318961301214436</v>
      </c>
      <c r="AR122">
        <v>5.954239491130056</v>
      </c>
      <c r="AS122">
        <v>8.1710835612022468</v>
      </c>
      <c r="AT122">
        <v>6.8019093078759028</v>
      </c>
      <c r="AU122">
        <v>7.0763500931098502</v>
      </c>
      <c r="AV122">
        <v>10.08695652173914</v>
      </c>
      <c r="AW122">
        <v>13.55450236966824</v>
      </c>
      <c r="AX122">
        <v>15.052865887590491</v>
      </c>
      <c r="AY122">
        <v>8.5610640870615686</v>
      </c>
      <c r="AZ122">
        <v>9.2448206727556244</v>
      </c>
      <c r="BA122">
        <v>22.022838499184349</v>
      </c>
      <c r="BB122">
        <v>9.592245989304816</v>
      </c>
      <c r="BC122">
        <v>12.6105519975603</v>
      </c>
      <c r="BD122">
        <v>7.5558564658089997</v>
      </c>
      <c r="BE122">
        <v>6.8739770867430927</v>
      </c>
      <c r="BF122">
        <v>9.3415007656967255</v>
      </c>
      <c r="BG122">
        <v>8.2740788623141874</v>
      </c>
      <c r="BH122">
        <v>3.6915422885572489</v>
      </c>
      <c r="BI122">
        <v>2.3510219748584622</v>
      </c>
      <c r="BJ122">
        <v>4.3783986499156109</v>
      </c>
      <c r="BK122">
        <v>3.7366388215216331</v>
      </c>
      <c r="BL122">
        <v>3.9051000086587231</v>
      </c>
      <c r="BM122">
        <v>5.2267777929352004</v>
      </c>
      <c r="BN122">
        <v>5.8627824280106298</v>
      </c>
      <c r="BO122">
        <v>10.34956883912716</v>
      </c>
      <c r="BP122">
        <v>6.4741373466206271</v>
      </c>
      <c r="BQ122">
        <v>5.4119444798165883</v>
      </c>
    </row>
    <row r="123" spans="1:69" x14ac:dyDescent="0.25">
      <c r="A123" t="s">
        <v>1279</v>
      </c>
      <c r="B123" t="s">
        <v>1280</v>
      </c>
      <c r="C123" t="s">
        <v>1575</v>
      </c>
      <c r="D123" t="s">
        <v>1576</v>
      </c>
      <c r="O123">
        <v>5.8999999989999159</v>
      </c>
      <c r="P123">
        <v>4.8158640236526757</v>
      </c>
      <c r="Q123">
        <v>7.6576576576575999</v>
      </c>
      <c r="R123">
        <v>11.12970711213371</v>
      </c>
      <c r="S123">
        <v>19.427710843520401</v>
      </c>
      <c r="T123">
        <v>11.97982345530882</v>
      </c>
      <c r="U123">
        <v>11.49999999999967</v>
      </c>
      <c r="V123">
        <v>14.566517189387611</v>
      </c>
      <c r="W123">
        <v>6.921521299524076</v>
      </c>
      <c r="X123">
        <v>14.246491763078369</v>
      </c>
      <c r="Y123">
        <v>11.111111111111329</v>
      </c>
      <c r="Z123">
        <v>7.6999999999997533</v>
      </c>
      <c r="AA123">
        <v>7.4280408542249097</v>
      </c>
      <c r="AB123">
        <v>5.0201670983146132</v>
      </c>
      <c r="AC123">
        <v>3.847472738376108</v>
      </c>
      <c r="AD123">
        <v>2.9850746271475588</v>
      </c>
      <c r="AF123">
        <v>-0.1999999999999082</v>
      </c>
      <c r="AG123">
        <v>6.6132264529057752</v>
      </c>
      <c r="AH123">
        <v>25.712719298245361</v>
      </c>
      <c r="AI123">
        <v>16.192137561523349</v>
      </c>
      <c r="AJ123">
        <v>8.1554959785521248</v>
      </c>
      <c r="AK123">
        <v>3.995835605571898</v>
      </c>
      <c r="AL123">
        <v>3.3166666666670639</v>
      </c>
      <c r="AM123">
        <v>3.5166962413288578</v>
      </c>
      <c r="AN123">
        <v>2.353124513012733</v>
      </c>
      <c r="AO123">
        <v>6.5012180267958577</v>
      </c>
      <c r="AP123">
        <v>3.0378842030025028</v>
      </c>
      <c r="AQ123">
        <v>3.0916666666670332</v>
      </c>
      <c r="AR123">
        <v>0.60625656777942671</v>
      </c>
      <c r="AS123">
        <v>0.66688092559795986</v>
      </c>
      <c r="AT123">
        <v>1.772204373510166</v>
      </c>
      <c r="AU123">
        <v>1.832993890020495</v>
      </c>
      <c r="AV123">
        <v>1.629999999999981</v>
      </c>
      <c r="AW123">
        <v>3.3618682147660111</v>
      </c>
      <c r="AX123">
        <v>3.4936853461953081</v>
      </c>
      <c r="AY123">
        <v>6.2517246665644324</v>
      </c>
      <c r="AZ123">
        <v>4.7439063902164751</v>
      </c>
      <c r="BA123">
        <v>13.971231001272921</v>
      </c>
      <c r="BB123">
        <v>-0.7390697431447768</v>
      </c>
      <c r="BC123">
        <v>4.8455187585211608</v>
      </c>
      <c r="BD123">
        <v>4.1624416292779003</v>
      </c>
      <c r="BE123">
        <v>4.5152295667099027</v>
      </c>
      <c r="BF123">
        <v>4.8246231426953718</v>
      </c>
      <c r="BG123">
        <v>2.8994790500605698</v>
      </c>
      <c r="BH123">
        <v>-0.87685135970404904</v>
      </c>
      <c r="BI123">
        <v>-0.77843046305414176</v>
      </c>
      <c r="BJ123">
        <v>3.323894475760973</v>
      </c>
      <c r="BK123">
        <v>4.4623110847548118</v>
      </c>
      <c r="BL123">
        <v>0.76151404726560079</v>
      </c>
      <c r="BM123">
        <v>0.3332943506283782</v>
      </c>
      <c r="BN123">
        <v>1.3460937724311779</v>
      </c>
      <c r="BO123">
        <v>4.2291556889711748</v>
      </c>
      <c r="BP123">
        <v>2.0848698632713392</v>
      </c>
      <c r="BQ123">
        <v>1.556596112839526</v>
      </c>
    </row>
    <row r="124" spans="1:69" x14ac:dyDescent="0.25">
      <c r="A124" t="s">
        <v>1281</v>
      </c>
      <c r="B124" t="s">
        <v>1282</v>
      </c>
      <c r="C124" t="s">
        <v>1575</v>
      </c>
      <c r="D124" t="s">
        <v>1576</v>
      </c>
      <c r="E124">
        <v>3.5745115253591009</v>
      </c>
      <c r="F124">
        <v>5.3684617848005516</v>
      </c>
      <c r="G124">
        <v>6.8354403481972987</v>
      </c>
      <c r="H124">
        <v>6.7069055639798982</v>
      </c>
      <c r="I124">
        <v>3.800389453057528</v>
      </c>
      <c r="J124">
        <v>6.6559909426062056</v>
      </c>
      <c r="K124">
        <v>5.0408320588767612</v>
      </c>
      <c r="L124">
        <v>3.9898480888151751</v>
      </c>
      <c r="M124">
        <v>5.3394329573934378</v>
      </c>
      <c r="N124">
        <v>5.249820911020266</v>
      </c>
      <c r="O124">
        <v>6.9241738348578084</v>
      </c>
      <c r="P124">
        <v>6.3953488372092648</v>
      </c>
      <c r="Q124">
        <v>4.843517138599049</v>
      </c>
      <c r="R124">
        <v>11.608623548922059</v>
      </c>
      <c r="S124">
        <v>23.222245807684239</v>
      </c>
      <c r="T124">
        <v>11.73126614987075</v>
      </c>
      <c r="U124">
        <v>9.3740363860623379</v>
      </c>
      <c r="V124">
        <v>8.1618268959684173</v>
      </c>
      <c r="W124">
        <v>4.209566010686812</v>
      </c>
      <c r="X124">
        <v>3.7018509254626939</v>
      </c>
      <c r="Y124">
        <v>7.7785817655571803</v>
      </c>
      <c r="Z124">
        <v>4.9121629182052269</v>
      </c>
      <c r="AA124">
        <v>2.7410409556314002</v>
      </c>
      <c r="AB124">
        <v>1.8997197134848529</v>
      </c>
      <c r="AC124">
        <v>2.2616136919315508</v>
      </c>
      <c r="AD124">
        <v>2.0322773460849008</v>
      </c>
      <c r="AE124">
        <v>0.59558679945324855</v>
      </c>
      <c r="AF124">
        <v>0.1261768416965835</v>
      </c>
      <c r="AG124">
        <v>0.67855758045755765</v>
      </c>
      <c r="AH124">
        <v>2.2722896206431682</v>
      </c>
      <c r="AI124">
        <v>3.0785162869516038</v>
      </c>
      <c r="AJ124">
        <v>3.25143848753308</v>
      </c>
      <c r="AK124">
        <v>1.760283060592702</v>
      </c>
      <c r="AL124">
        <v>1.2430458970792411</v>
      </c>
      <c r="AM124">
        <v>0.69545805786900372</v>
      </c>
      <c r="AN124">
        <v>-0.12789904502044641</v>
      </c>
      <c r="AO124">
        <v>0.13660035857590941</v>
      </c>
      <c r="AP124">
        <v>1.747804586921331</v>
      </c>
      <c r="AQ124">
        <v>0.66197419138591085</v>
      </c>
      <c r="AR124">
        <v>-0.34129692832755359</v>
      </c>
      <c r="AS124">
        <v>-0.67657868359517515</v>
      </c>
      <c r="AT124">
        <v>-0.74005550416273758</v>
      </c>
      <c r="AU124">
        <v>-0.92349402694232052</v>
      </c>
      <c r="AV124">
        <v>-0.25654181631602452</v>
      </c>
      <c r="AW124">
        <v>-8.5733882031027164E-3</v>
      </c>
      <c r="AX124">
        <v>-0.2829460687643906</v>
      </c>
      <c r="AY124">
        <v>0.24935511607908489</v>
      </c>
      <c r="AZ124">
        <v>6.003945449866898E-2</v>
      </c>
      <c r="BA124">
        <v>1.380078861649201</v>
      </c>
      <c r="BB124">
        <v>-1.352836729517185</v>
      </c>
      <c r="BC124">
        <v>-0.72824320751777882</v>
      </c>
      <c r="BD124">
        <v>-0.27245561610124008</v>
      </c>
      <c r="BE124">
        <v>-4.4064510443260187E-2</v>
      </c>
      <c r="BF124">
        <v>0.33503791218474138</v>
      </c>
      <c r="BG124">
        <v>2.7592267135325308</v>
      </c>
      <c r="BH124">
        <v>0.79527963057983919</v>
      </c>
      <c r="BI124">
        <v>-0.12725884448975369</v>
      </c>
      <c r="BJ124">
        <v>0.48419979612638508</v>
      </c>
      <c r="BK124">
        <v>0.98909459802184796</v>
      </c>
      <c r="BL124">
        <v>0.4687761593839499</v>
      </c>
      <c r="BM124">
        <v>-2.4995834027731041E-2</v>
      </c>
      <c r="BN124">
        <v>-0.2333527793982636</v>
      </c>
      <c r="BO124">
        <v>2.497702781722547</v>
      </c>
      <c r="BP124">
        <v>3.2681336593316348</v>
      </c>
      <c r="BQ124">
        <v>2.7385368163524069</v>
      </c>
    </row>
    <row r="125" spans="1:69" x14ac:dyDescent="0.25">
      <c r="A125" t="s">
        <v>1283</v>
      </c>
      <c r="B125" t="s">
        <v>1284</v>
      </c>
      <c r="C125" t="s">
        <v>1575</v>
      </c>
      <c r="D125" t="s">
        <v>1576</v>
      </c>
      <c r="AM125">
        <v>1877.3723951757161</v>
      </c>
      <c r="AN125">
        <v>176.15529894237031</v>
      </c>
      <c r="AO125">
        <v>39.182542365411066</v>
      </c>
      <c r="AP125">
        <v>17.40804106073568</v>
      </c>
      <c r="AQ125">
        <v>7.1463266545233166</v>
      </c>
      <c r="AR125">
        <v>8.296027653425714</v>
      </c>
      <c r="AS125">
        <v>13.180890586573071</v>
      </c>
      <c r="AT125">
        <v>8.3541377716134111</v>
      </c>
      <c r="AU125">
        <v>5.8369245210564582</v>
      </c>
      <c r="AV125">
        <v>6.4382181011894088</v>
      </c>
      <c r="AW125">
        <v>6.8820543898189603</v>
      </c>
      <c r="AX125">
        <v>7.5799992912576677</v>
      </c>
      <c r="AY125">
        <v>8.7216938609174157</v>
      </c>
      <c r="AZ125">
        <v>10.84683620755561</v>
      </c>
      <c r="BA125">
        <v>17.139899777207031</v>
      </c>
      <c r="BB125">
        <v>7.3160785828857877</v>
      </c>
      <c r="BC125">
        <v>7.4004635634139682</v>
      </c>
      <c r="BD125">
        <v>8.4529046617680006</v>
      </c>
      <c r="BE125">
        <v>5.1956836903506316</v>
      </c>
      <c r="BF125">
        <v>5.9428387164841849</v>
      </c>
      <c r="BG125">
        <v>6.8494497700334946</v>
      </c>
      <c r="BH125">
        <v>6.6782858561524439</v>
      </c>
      <c r="BI125">
        <v>14.36109423862478</v>
      </c>
      <c r="BJ125">
        <v>7.4426632130679247</v>
      </c>
      <c r="BK125">
        <v>6.1636624757775662</v>
      </c>
      <c r="BL125">
        <v>5.3335609891667479</v>
      </c>
      <c r="BM125">
        <v>6.7181545486146401</v>
      </c>
      <c r="BN125">
        <v>8.0414713402839109</v>
      </c>
      <c r="BO125">
        <v>15.0278644440851</v>
      </c>
      <c r="BP125">
        <v>14.724990020033101</v>
      </c>
      <c r="BQ125">
        <v>8.8394389745267201</v>
      </c>
    </row>
    <row r="126" spans="1:69" x14ac:dyDescent="0.25">
      <c r="A126" t="s">
        <v>1285</v>
      </c>
      <c r="B126" t="s">
        <v>1286</v>
      </c>
      <c r="C126" t="s">
        <v>1575</v>
      </c>
      <c r="D126" t="s">
        <v>1576</v>
      </c>
      <c r="E126">
        <v>1.243781094527306</v>
      </c>
      <c r="F126">
        <v>2.4570024570025351</v>
      </c>
      <c r="G126">
        <v>3.1175059952037811</v>
      </c>
      <c r="H126">
        <v>0.6976744186045889</v>
      </c>
      <c r="I126">
        <v>-9.930486693143406E-2</v>
      </c>
      <c r="J126">
        <v>3.5785288280674181</v>
      </c>
      <c r="K126">
        <v>5.0143953932341407</v>
      </c>
      <c r="L126">
        <v>1.7591957959829929</v>
      </c>
      <c r="M126">
        <v>0.36671157005101862</v>
      </c>
      <c r="N126">
        <v>-0.1715010065623305</v>
      </c>
      <c r="O126">
        <v>2.1885270390743852</v>
      </c>
      <c r="P126">
        <v>3.7802061254490651</v>
      </c>
      <c r="Q126">
        <v>5.8316447431100471</v>
      </c>
      <c r="R126">
        <v>9.281194223321064</v>
      </c>
      <c r="S126">
        <v>17.809948033181819</v>
      </c>
      <c r="T126">
        <v>19.120184013605058</v>
      </c>
      <c r="U126">
        <v>11.4490304932756</v>
      </c>
      <c r="V126">
        <v>14.82096448189349</v>
      </c>
      <c r="W126">
        <v>16.9317824582842</v>
      </c>
      <c r="X126">
        <v>7.979352618487864</v>
      </c>
      <c r="Y126">
        <v>13.85818145624839</v>
      </c>
      <c r="Z126">
        <v>11.60305343511425</v>
      </c>
      <c r="AA126">
        <v>20.666714666282719</v>
      </c>
      <c r="AB126">
        <v>11.397782736852291</v>
      </c>
      <c r="AC126">
        <v>10.284098213138041</v>
      </c>
      <c r="AD126">
        <v>13.006566421882701</v>
      </c>
      <c r="AE126">
        <v>2.5342759889288828</v>
      </c>
      <c r="AF126">
        <v>8.6376731898008394</v>
      </c>
      <c r="AG126">
        <v>12.264963048158171</v>
      </c>
      <c r="AH126">
        <v>13.789317276388291</v>
      </c>
      <c r="AI126">
        <v>17.78181442991999</v>
      </c>
      <c r="AJ126">
        <v>20.084495575463151</v>
      </c>
      <c r="AK126">
        <v>27.332364447578389</v>
      </c>
      <c r="AL126">
        <v>45.978881303621847</v>
      </c>
      <c r="AM126">
        <v>28.814389430673149</v>
      </c>
      <c r="AN126">
        <v>1.554328160550088</v>
      </c>
      <c r="AO126">
        <v>8.8640874157752236</v>
      </c>
      <c r="AP126">
        <v>11.36184505057833</v>
      </c>
      <c r="AQ126">
        <v>6.7224365075392782</v>
      </c>
      <c r="AR126">
        <v>5.7420010952048353</v>
      </c>
      <c r="AS126">
        <v>9.9800251535097892</v>
      </c>
      <c r="AT126">
        <v>5.7385981434146682</v>
      </c>
      <c r="AU126">
        <v>1.9613082173916221</v>
      </c>
      <c r="AV126">
        <v>9.8156906297965385</v>
      </c>
      <c r="AW126">
        <v>11.62403554424262</v>
      </c>
      <c r="AX126">
        <v>10.312778357468259</v>
      </c>
      <c r="AY126">
        <v>14.453734208170779</v>
      </c>
      <c r="AZ126">
        <v>9.7588802302752899</v>
      </c>
      <c r="BA126">
        <v>26.23981664450627</v>
      </c>
      <c r="BB126">
        <v>9.2341259239465181</v>
      </c>
      <c r="BC126">
        <v>3.9613888911538511</v>
      </c>
      <c r="BD126">
        <v>14.022491301470421</v>
      </c>
      <c r="BE126">
        <v>9.377770035475983</v>
      </c>
      <c r="BF126">
        <v>5.7174935703773286</v>
      </c>
      <c r="BG126">
        <v>6.8781549927594892</v>
      </c>
      <c r="BH126">
        <v>6.5821542928477861</v>
      </c>
      <c r="BI126">
        <v>6.2972495381462492</v>
      </c>
      <c r="BJ126">
        <v>8.0056496770994467</v>
      </c>
      <c r="BK126">
        <v>4.6898064677632991</v>
      </c>
      <c r="BL126">
        <v>5.2396379576479228</v>
      </c>
      <c r="BM126">
        <v>5.4051620793339197</v>
      </c>
      <c r="BN126">
        <v>6.107936036591763</v>
      </c>
      <c r="BO126">
        <v>7.6598626827222391</v>
      </c>
      <c r="BP126">
        <v>7.6713963402940228</v>
      </c>
      <c r="BQ126">
        <v>4.4897885424344786</v>
      </c>
    </row>
    <row r="127" spans="1:69" x14ac:dyDescent="0.25">
      <c r="A127" t="s">
        <v>1287</v>
      </c>
      <c r="B127" t="s">
        <v>1288</v>
      </c>
      <c r="C127" t="s">
        <v>1575</v>
      </c>
      <c r="D127" t="s">
        <v>1576</v>
      </c>
      <c r="AO127">
        <v>31.94733772185668</v>
      </c>
      <c r="AP127">
        <v>23.435427849700499</v>
      </c>
      <c r="AQ127">
        <v>10.45738258467212</v>
      </c>
      <c r="AR127">
        <v>37.030925836934408</v>
      </c>
      <c r="AS127">
        <v>18.700734283802309</v>
      </c>
      <c r="AT127">
        <v>6.9196798942303959</v>
      </c>
      <c r="AU127">
        <v>2.1342098631024302</v>
      </c>
      <c r="AV127">
        <v>2.9746129518435498</v>
      </c>
      <c r="AW127">
        <v>4.1106508472338072</v>
      </c>
      <c r="AX127">
        <v>4.3386739184431038</v>
      </c>
      <c r="AY127">
        <v>5.552123331625423</v>
      </c>
      <c r="AZ127">
        <v>10.23010326604841</v>
      </c>
      <c r="BA127">
        <v>24.520102423410162</v>
      </c>
      <c r="BB127">
        <v>6.8365624810536803</v>
      </c>
      <c r="BC127">
        <v>7.9677222557968372</v>
      </c>
      <c r="BD127">
        <v>16.636326273149511</v>
      </c>
      <c r="BE127">
        <v>2.7684423654095669</v>
      </c>
      <c r="BF127">
        <v>6.6137520235808154</v>
      </c>
      <c r="BG127">
        <v>7.5342472977589026</v>
      </c>
      <c r="BH127">
        <v>6.5033183899338356</v>
      </c>
      <c r="BI127">
        <v>0.38883829689579902</v>
      </c>
      <c r="BJ127">
        <v>3.1753098637993959</v>
      </c>
      <c r="BK127">
        <v>1.5426614523843589</v>
      </c>
      <c r="BL127">
        <v>1.1336225771880359</v>
      </c>
      <c r="BM127">
        <v>6.3254229633807757</v>
      </c>
      <c r="BN127">
        <v>11.90503981851468</v>
      </c>
      <c r="BO127">
        <v>13.922909317417581</v>
      </c>
      <c r="BP127">
        <v>10.75327704167424</v>
      </c>
    </row>
    <row r="128" spans="1:69" x14ac:dyDescent="0.25">
      <c r="A128" t="s">
        <v>1289</v>
      </c>
      <c r="B128" t="s">
        <v>1290</v>
      </c>
      <c r="C128" t="s">
        <v>1575</v>
      </c>
      <c r="D128" t="s">
        <v>1576</v>
      </c>
      <c r="AN128">
        <v>-0.79894433781187779</v>
      </c>
      <c r="AO128">
        <v>7.1508614087279616</v>
      </c>
      <c r="AP128">
        <v>7.9602139777745604</v>
      </c>
      <c r="AQ128">
        <v>14.806503543776261</v>
      </c>
      <c r="AR128">
        <v>4.0082070208878227</v>
      </c>
      <c r="AS128">
        <v>-0.7919925294735668</v>
      </c>
      <c r="AT128">
        <v>-0.60064830012368586</v>
      </c>
      <c r="AU128">
        <v>0.21146656802260699</v>
      </c>
      <c r="AV128">
        <v>0.94174611779921003</v>
      </c>
      <c r="AW128">
        <v>4.319336774347855</v>
      </c>
      <c r="AX128">
        <v>6.6152591200158719</v>
      </c>
      <c r="AY128">
        <v>5.8106855046430637</v>
      </c>
      <c r="AZ128">
        <v>8.7088277056804912</v>
      </c>
      <c r="BA128">
        <v>24.096851930605041</v>
      </c>
      <c r="BB128">
        <v>-1.241717541896374</v>
      </c>
      <c r="BC128">
        <v>3.9963952810721808</v>
      </c>
      <c r="BD128">
        <v>5.4784474961744998</v>
      </c>
      <c r="BE128">
        <v>2.9343160929395098</v>
      </c>
      <c r="BF128">
        <v>2.941625095473491</v>
      </c>
      <c r="BG128">
        <v>3.855688614242069</v>
      </c>
      <c r="BH128">
        <v>1.22393195511119</v>
      </c>
      <c r="BI128">
        <v>3.0191397513912799</v>
      </c>
      <c r="BJ128">
        <v>2.9126355737147782</v>
      </c>
      <c r="BK128">
        <v>2.4590851538014591</v>
      </c>
      <c r="BL128">
        <v>1.94257500833107</v>
      </c>
      <c r="BM128">
        <v>2.9402951426396968</v>
      </c>
      <c r="BN128">
        <v>2.920734775929485</v>
      </c>
      <c r="BO128">
        <v>5.3437026489543697</v>
      </c>
      <c r="BP128">
        <v>2.127467965941944</v>
      </c>
      <c r="BQ128">
        <v>0.80804201653665408</v>
      </c>
    </row>
    <row r="129" spans="1:69" x14ac:dyDescent="0.25">
      <c r="A129" t="s">
        <v>1291</v>
      </c>
      <c r="B129" t="s">
        <v>1292</v>
      </c>
      <c r="C129" t="s">
        <v>1575</v>
      </c>
      <c r="D129" t="s">
        <v>1576</v>
      </c>
      <c r="AZ129">
        <v>3.5925213126641729</v>
      </c>
      <c r="BA129">
        <v>13.665399525244149</v>
      </c>
      <c r="BB129">
        <v>9.8164388450865676</v>
      </c>
      <c r="BC129">
        <v>-3.8995504065164912</v>
      </c>
      <c r="BD129">
        <v>1.4974097987596999</v>
      </c>
      <c r="BE129">
        <v>-3.045862927755707</v>
      </c>
      <c r="BF129">
        <v>-1.488059084680996</v>
      </c>
      <c r="BG129">
        <v>2.1039852092504301</v>
      </c>
      <c r="BH129">
        <v>0.57201574363425556</v>
      </c>
      <c r="BI129">
        <v>1.9173109023337771</v>
      </c>
      <c r="BJ129">
        <v>0.35552088854682828</v>
      </c>
      <c r="BK129">
        <v>0.56403049149347573</v>
      </c>
      <c r="BL129">
        <v>-1.813079953029471</v>
      </c>
      <c r="BM129">
        <v>2.5532455441463009</v>
      </c>
      <c r="BN129">
        <v>2.0536167677390749</v>
      </c>
      <c r="BO129">
        <v>5.345954409089039</v>
      </c>
      <c r="BP129">
        <v>9.2830737451772105</v>
      </c>
      <c r="BQ129">
        <v>2.4554507215902781</v>
      </c>
    </row>
    <row r="130" spans="1:69" x14ac:dyDescent="0.25">
      <c r="A130" t="s">
        <v>1293</v>
      </c>
      <c r="B130" t="s">
        <v>1294</v>
      </c>
      <c r="C130" t="s">
        <v>1575</v>
      </c>
      <c r="D130" t="s">
        <v>1576</v>
      </c>
      <c r="Y130">
        <v>17.73665480468124</v>
      </c>
      <c r="Z130">
        <v>10.47636319668899</v>
      </c>
      <c r="AA130">
        <v>5.9272229820199307</v>
      </c>
      <c r="AB130">
        <v>2.2915353703470651</v>
      </c>
      <c r="AC130">
        <v>2.7149047054881841</v>
      </c>
      <c r="AD130">
        <v>2.61954629955699</v>
      </c>
      <c r="AE130">
        <v>-6.6855337242675153E-3</v>
      </c>
      <c r="AF130">
        <v>0.96301264865157044</v>
      </c>
      <c r="AG130">
        <v>0.23252503399781299</v>
      </c>
      <c r="AH130">
        <v>5.169964955625729</v>
      </c>
      <c r="AI130">
        <v>4.0109840775561718</v>
      </c>
      <c r="AJ130">
        <v>4.3237394435542047</v>
      </c>
      <c r="AK130">
        <v>2.8584467251445811</v>
      </c>
      <c r="AL130">
        <v>1.7948614643378209</v>
      </c>
      <c r="AM130">
        <v>1.4422695880494301</v>
      </c>
      <c r="AN130">
        <v>2.9568002509261979</v>
      </c>
      <c r="AO130">
        <v>2.0865738516912149</v>
      </c>
      <c r="AP130">
        <v>8.9051833911601594</v>
      </c>
      <c r="AQ130">
        <v>3.4463586595527338</v>
      </c>
      <c r="AR130">
        <v>3.3630363036304538</v>
      </c>
      <c r="AS130">
        <v>2.1488553274369622</v>
      </c>
      <c r="AT130">
        <v>2.3034474834925471</v>
      </c>
      <c r="AU130">
        <v>2.0410910262020838</v>
      </c>
      <c r="AV130">
        <v>2.2354366437455262</v>
      </c>
      <c r="AW130">
        <v>2.314554622380927</v>
      </c>
      <c r="AX130">
        <v>3.3778190398823762</v>
      </c>
      <c r="AY130">
        <v>8.4874857584587851</v>
      </c>
      <c r="AZ130">
        <v>4.4808860861472581</v>
      </c>
      <c r="BA130">
        <v>5.3002967507258436</v>
      </c>
      <c r="BB130">
        <v>2.0579370904183629</v>
      </c>
      <c r="BC130">
        <v>0.85087864979584427</v>
      </c>
      <c r="BD130">
        <v>5.8351651957086004</v>
      </c>
      <c r="BE130">
        <v>0.81608928156245897</v>
      </c>
      <c r="BF130">
        <v>1.106985540001294</v>
      </c>
      <c r="BG130">
        <v>0.24786539236494179</v>
      </c>
      <c r="BH130">
        <v>-2.3018756304561578</v>
      </c>
      <c r="BI130">
        <v>-0.68703712329403932</v>
      </c>
      <c r="BJ130">
        <v>0.69491671161360435</v>
      </c>
      <c r="BK130">
        <v>-1.037122141315725</v>
      </c>
      <c r="BL130">
        <v>-0.32956206366397728</v>
      </c>
      <c r="BM130">
        <v>-1.167245017693531</v>
      </c>
      <c r="BN130">
        <v>1.1956888703840021</v>
      </c>
      <c r="BO130">
        <v>2.6681753311124909</v>
      </c>
      <c r="BP130">
        <v>3.5571123084824312</v>
      </c>
    </row>
    <row r="131" spans="1:69" x14ac:dyDescent="0.25">
      <c r="A131" t="s">
        <v>1295</v>
      </c>
      <c r="B131" t="s">
        <v>1296</v>
      </c>
      <c r="C131" t="s">
        <v>1575</v>
      </c>
      <c r="D131" t="s">
        <v>1576</v>
      </c>
      <c r="E131">
        <v>7.9655657548259233</v>
      </c>
      <c r="F131">
        <v>8.1956528825409176</v>
      </c>
      <c r="G131">
        <v>6.6183109749239106</v>
      </c>
      <c r="H131">
        <v>20.69164731864764</v>
      </c>
      <c r="I131">
        <v>29.462831450079779</v>
      </c>
      <c r="J131">
        <v>13.548194710465401</v>
      </c>
      <c r="K131">
        <v>11.261384877580969</v>
      </c>
      <c r="L131">
        <v>10.882440057196369</v>
      </c>
      <c r="M131">
        <v>10.77182139693512</v>
      </c>
      <c r="N131">
        <v>12.389564711118719</v>
      </c>
      <c r="O131">
        <v>15.95034236469454</v>
      </c>
      <c r="P131">
        <v>13.51170233130787</v>
      </c>
      <c r="Q131">
        <v>11.68898668068447</v>
      </c>
      <c r="R131">
        <v>3.2210290469232552</v>
      </c>
      <c r="S131">
        <v>24.304199540239669</v>
      </c>
      <c r="T131">
        <v>25.249256405673268</v>
      </c>
      <c r="U131">
        <v>15.327320521319439</v>
      </c>
      <c r="V131">
        <v>10.09666533133873</v>
      </c>
      <c r="W131">
        <v>14.460285019502409</v>
      </c>
      <c r="X131">
        <v>18.323496342179119</v>
      </c>
      <c r="Y131">
        <v>28.69760863620165</v>
      </c>
      <c r="Z131">
        <v>21.351640254000021</v>
      </c>
      <c r="AA131">
        <v>7.1908466400686972</v>
      </c>
      <c r="AB131">
        <v>3.4206141949892128</v>
      </c>
      <c r="AC131">
        <v>2.2739564000186312</v>
      </c>
      <c r="AD131">
        <v>2.4591087921527421</v>
      </c>
      <c r="AE131">
        <v>2.7499809606335748</v>
      </c>
      <c r="AF131">
        <v>3.0496607708742318</v>
      </c>
      <c r="AG131">
        <v>7.1460977372160546</v>
      </c>
      <c r="AH131">
        <v>5.7001654456140054</v>
      </c>
      <c r="AI131">
        <v>8.5732722572867672</v>
      </c>
      <c r="AJ131">
        <v>9.3327904816149534</v>
      </c>
      <c r="AK131">
        <v>6.2132814635518399</v>
      </c>
      <c r="AL131">
        <v>4.8009966021535373</v>
      </c>
      <c r="AM131">
        <v>6.2658595003967923</v>
      </c>
      <c r="AN131">
        <v>4.4807410855724807</v>
      </c>
      <c r="AO131">
        <v>4.9245435429275366</v>
      </c>
      <c r="AP131">
        <v>4.4389318457463007</v>
      </c>
      <c r="AQ131">
        <v>7.5135800807930693</v>
      </c>
      <c r="AR131">
        <v>0.8129572544463699</v>
      </c>
      <c r="AS131">
        <v>2.2591658008015711</v>
      </c>
      <c r="AT131">
        <v>4.0665758789779218</v>
      </c>
      <c r="AU131">
        <v>2.7622621029659928</v>
      </c>
      <c r="AV131">
        <v>3.5148745145993918</v>
      </c>
      <c r="AW131">
        <v>3.5906629888257759</v>
      </c>
      <c r="AX131">
        <v>2.7537916273503922</v>
      </c>
      <c r="AY131">
        <v>2.242340285189206</v>
      </c>
      <c r="AZ131">
        <v>2.5345738213793232</v>
      </c>
      <c r="BA131">
        <v>4.6738965553340801</v>
      </c>
      <c r="BB131">
        <v>2.756496544939298</v>
      </c>
      <c r="BC131">
        <v>2.9392865265568582</v>
      </c>
      <c r="BD131">
        <v>4.0259650043609003</v>
      </c>
      <c r="BE131">
        <v>2.1870710443331371</v>
      </c>
      <c r="BF131">
        <v>1.301347545474125</v>
      </c>
      <c r="BG131">
        <v>1.274774464013219</v>
      </c>
      <c r="BH131">
        <v>0.70633177245574985</v>
      </c>
      <c r="BI131">
        <v>0.97168573991216789</v>
      </c>
      <c r="BJ131">
        <v>1.944332307863661</v>
      </c>
      <c r="BK131">
        <v>1.4758393500264511</v>
      </c>
      <c r="BL131">
        <v>0.38300030360813581</v>
      </c>
      <c r="BM131">
        <v>0.5372880234117372</v>
      </c>
      <c r="BN131">
        <v>2.4983333333333939</v>
      </c>
      <c r="BO131">
        <v>5.0895136506284162</v>
      </c>
      <c r="BP131">
        <v>3.597456250290104</v>
      </c>
      <c r="BQ131">
        <v>2.3217432864354208</v>
      </c>
    </row>
    <row r="132" spans="1:69" x14ac:dyDescent="0.25">
      <c r="A132" t="s">
        <v>1297</v>
      </c>
      <c r="B132" t="s">
        <v>1298</v>
      </c>
      <c r="C132" t="s">
        <v>1575</v>
      </c>
      <c r="D132" t="s">
        <v>1576</v>
      </c>
      <c r="R132">
        <v>8.2666666660000594</v>
      </c>
      <c r="S132">
        <v>12.99261083751867</v>
      </c>
      <c r="T132">
        <v>8.3923705721844524</v>
      </c>
      <c r="U132">
        <v>5.2350427353237601</v>
      </c>
      <c r="V132">
        <v>9.8895192593310188</v>
      </c>
      <c r="W132">
        <v>8.6897451227484002</v>
      </c>
      <c r="X132">
        <v>7.0499999992500939</v>
      </c>
      <c r="Y132">
        <v>6.9282266856318842</v>
      </c>
      <c r="Z132">
        <v>7.3747815958380709</v>
      </c>
      <c r="AA132">
        <v>7.7767984269085284</v>
      </c>
      <c r="AB132">
        <v>4.7181680927515561</v>
      </c>
      <c r="AC132">
        <v>1.1774600504666879</v>
      </c>
      <c r="AD132">
        <v>1.4903218142787651</v>
      </c>
      <c r="AE132">
        <v>0.95360674019203751</v>
      </c>
      <c r="AF132">
        <v>0.65484469170165627</v>
      </c>
      <c r="AG132">
        <v>1.468132880419132</v>
      </c>
      <c r="AH132">
        <v>3.342033590557921</v>
      </c>
      <c r="AI132">
        <v>9.8336353154340195</v>
      </c>
      <c r="AJ132">
        <v>9.058188362327579</v>
      </c>
      <c r="AK132">
        <v>-0.54547121378820995</v>
      </c>
      <c r="AL132">
        <v>0.38254136516591553</v>
      </c>
      <c r="AM132">
        <v>2.5344352617079191</v>
      </c>
      <c r="AN132">
        <v>2.6867275658248442</v>
      </c>
      <c r="AO132">
        <v>3.553985696842866</v>
      </c>
      <c r="AP132">
        <v>0.68219143470760391</v>
      </c>
      <c r="AQ132">
        <v>0.12965828767402679</v>
      </c>
      <c r="AR132">
        <v>2.9908103592316571</v>
      </c>
      <c r="AS132">
        <v>1.8129461388708901</v>
      </c>
      <c r="AT132">
        <v>1.2999999999999921</v>
      </c>
      <c r="AU132">
        <v>0.88845014807490663</v>
      </c>
      <c r="AV132">
        <v>0.96135029354211221</v>
      </c>
      <c r="AW132">
        <v>1.248564436798894</v>
      </c>
      <c r="AX132">
        <v>4.1429758363102316</v>
      </c>
      <c r="AY132">
        <v>3.0570133916672222</v>
      </c>
      <c r="AZ132">
        <v>5.4849498327759614</v>
      </c>
      <c r="BA132">
        <v>10.582709786514419</v>
      </c>
      <c r="BB132">
        <v>4.6095954844778726</v>
      </c>
      <c r="BC132">
        <v>4.4964028776978662</v>
      </c>
      <c r="BD132">
        <v>4.8394034987095003</v>
      </c>
      <c r="BE132">
        <v>3.2551460028721051</v>
      </c>
      <c r="BF132">
        <v>2.6822968408503942</v>
      </c>
      <c r="BG132">
        <v>2.9089267285862479</v>
      </c>
      <c r="BH132">
        <v>3.2717016609213339</v>
      </c>
      <c r="BI132">
        <v>3.1983977665837382</v>
      </c>
      <c r="BJ132">
        <v>2.171832985100056</v>
      </c>
      <c r="BK132">
        <v>0.54313314819956682</v>
      </c>
      <c r="BL132">
        <v>1.0918480265585599</v>
      </c>
      <c r="BM132">
        <v>2.1017295482740002</v>
      </c>
      <c r="BN132">
        <v>3.4236294760918842</v>
      </c>
      <c r="BO132">
        <v>3.980649619903132</v>
      </c>
      <c r="BP132">
        <v>3.6421640303070868</v>
      </c>
      <c r="BQ132">
        <v>2.8985507246376212</v>
      </c>
    </row>
    <row r="133" spans="1:69" x14ac:dyDescent="0.25">
      <c r="A133" t="s">
        <v>1299</v>
      </c>
      <c r="B133" t="s">
        <v>1300</v>
      </c>
      <c r="C133" t="s">
        <v>1575</v>
      </c>
      <c r="D133" t="s">
        <v>1576</v>
      </c>
      <c r="E133">
        <v>2.8571428571428612</v>
      </c>
      <c r="F133">
        <v>3.779706383426753</v>
      </c>
      <c r="G133">
        <v>2.0525502320969902</v>
      </c>
      <c r="H133">
        <v>2.0979020979021059</v>
      </c>
      <c r="I133">
        <v>4.0342045376431157</v>
      </c>
      <c r="J133">
        <v>2.8602860286027121</v>
      </c>
      <c r="K133">
        <v>3.5444912994938051</v>
      </c>
      <c r="L133">
        <v>3.0169484750214761</v>
      </c>
      <c r="M133">
        <v>2.5376807134879229</v>
      </c>
      <c r="N133">
        <v>2.254381499689158</v>
      </c>
      <c r="O133">
        <v>3.9555092109976919</v>
      </c>
      <c r="P133">
        <v>4.9532569364098658</v>
      </c>
      <c r="Q133">
        <v>5.4277029963075059</v>
      </c>
      <c r="R133">
        <v>12.94081333409372</v>
      </c>
      <c r="S133">
        <v>22.704081622615782</v>
      </c>
      <c r="T133">
        <v>14.723130192344151</v>
      </c>
      <c r="U133">
        <v>9.9315956528130034</v>
      </c>
      <c r="V133">
        <v>11.19100163703586</v>
      </c>
      <c r="W133">
        <v>10.66024759291814</v>
      </c>
      <c r="X133">
        <v>15.225393244551571</v>
      </c>
      <c r="Y133">
        <v>18.769636074443351</v>
      </c>
      <c r="Z133">
        <v>13.2666874934914</v>
      </c>
      <c r="AA133">
        <v>7.6462430660614791</v>
      </c>
      <c r="AB133">
        <v>10.24366335265448</v>
      </c>
      <c r="AC133">
        <v>11.507169505730859</v>
      </c>
      <c r="AD133">
        <v>22.328375055441558</v>
      </c>
      <c r="AE133">
        <v>18.68796068796053</v>
      </c>
      <c r="AF133">
        <v>13.55072378278224</v>
      </c>
      <c r="AG133">
        <v>10.83270376899122</v>
      </c>
      <c r="AH133">
        <v>14.329539032857189</v>
      </c>
      <c r="AI133">
        <v>23.32256643664671</v>
      </c>
      <c r="AJ133">
        <v>24.225352112676308</v>
      </c>
      <c r="AK133">
        <v>12.06032360182898</v>
      </c>
      <c r="AL133">
        <v>11.819690174625659</v>
      </c>
      <c r="AM133">
        <v>10.85532114943909</v>
      </c>
      <c r="AN133">
        <v>12.535959455896259</v>
      </c>
      <c r="AO133">
        <v>11.056916532198739</v>
      </c>
      <c r="AP133">
        <v>7.145111608839291</v>
      </c>
      <c r="AQ133">
        <v>6.6134607051805814</v>
      </c>
      <c r="AR133">
        <v>4.8584474990266662</v>
      </c>
      <c r="AS133">
        <v>7.0570272909989136</v>
      </c>
      <c r="AT133">
        <v>6.5848236851131361</v>
      </c>
      <c r="AU133">
        <v>5.1270475145537109</v>
      </c>
      <c r="AV133">
        <v>5.4529322432720271</v>
      </c>
      <c r="AW133">
        <v>5.2962144519482246</v>
      </c>
      <c r="AX133">
        <v>4.8709841679673218</v>
      </c>
      <c r="AY133">
        <v>4.2671746339026431</v>
      </c>
      <c r="AZ133">
        <v>5.843975705316014</v>
      </c>
      <c r="BA133">
        <v>9.2331688822297551</v>
      </c>
      <c r="BB133">
        <v>2.225524640817977</v>
      </c>
      <c r="BC133">
        <v>3.7069432220050138</v>
      </c>
      <c r="BD133">
        <v>5.4628459294407161</v>
      </c>
      <c r="BE133">
        <v>3.946658678749837</v>
      </c>
      <c r="BF133">
        <v>2.744836218961864</v>
      </c>
      <c r="BG133">
        <v>3.428264148107802</v>
      </c>
      <c r="BH133">
        <v>3.1434169622742441</v>
      </c>
      <c r="BI133">
        <v>2.7731600402147452</v>
      </c>
      <c r="BJ133">
        <v>3.3629651485560772</v>
      </c>
      <c r="BK133">
        <v>3.4025017947203851</v>
      </c>
      <c r="BL133">
        <v>2.504609594604009</v>
      </c>
      <c r="BM133">
        <v>2.5266350008470622</v>
      </c>
      <c r="BN133">
        <v>4.2716638153679778</v>
      </c>
      <c r="BO133">
        <v>8.3337063009623087</v>
      </c>
      <c r="BP133">
        <v>5.0867748315811188</v>
      </c>
      <c r="BQ133">
        <v>3.8354027172853251</v>
      </c>
    </row>
    <row r="134" spans="1:69" x14ac:dyDescent="0.25">
      <c r="A134" t="s">
        <v>1301</v>
      </c>
      <c r="B134" t="s">
        <v>1302</v>
      </c>
      <c r="C134" t="s">
        <v>1575</v>
      </c>
      <c r="D134" t="s">
        <v>1576</v>
      </c>
      <c r="AH134">
        <v>61.33259651061875</v>
      </c>
      <c r="AI134">
        <v>35.642982971226971</v>
      </c>
      <c r="AJ134">
        <v>13.441558441558589</v>
      </c>
      <c r="AK134">
        <v>9.8645296699103167</v>
      </c>
      <c r="AL134">
        <v>6.2672224151902922</v>
      </c>
      <c r="AM134">
        <v>6.7844807862022991</v>
      </c>
      <c r="AN134">
        <v>19.593918987858402</v>
      </c>
      <c r="AO134">
        <v>13.024415696346191</v>
      </c>
      <c r="AP134">
        <v>27.5088624491449</v>
      </c>
      <c r="AQ134">
        <v>90.980734562287793</v>
      </c>
      <c r="AR134">
        <v>125.27212839928011</v>
      </c>
      <c r="AS134">
        <v>25.08464142813154</v>
      </c>
      <c r="AT134">
        <v>7.8118079478347058</v>
      </c>
      <c r="AU134">
        <v>10.63134463233329</v>
      </c>
      <c r="AV134">
        <v>15.489352923352509</v>
      </c>
      <c r="AW134">
        <v>10.46226673142081</v>
      </c>
      <c r="AX134">
        <v>7.16541759946639</v>
      </c>
      <c r="AY134">
        <v>6.5455943905278708</v>
      </c>
      <c r="AZ134">
        <v>4.6619726946970097</v>
      </c>
      <c r="BA134">
        <v>7.6288088757751638</v>
      </c>
      <c r="BB134">
        <v>0.1411876749803849</v>
      </c>
      <c r="BC134">
        <v>5.9825452155008172</v>
      </c>
      <c r="BD134">
        <v>7.5689885610997996</v>
      </c>
      <c r="BE134">
        <v>4.2551267783208973</v>
      </c>
      <c r="BF134">
        <v>6.3714271778294709</v>
      </c>
      <c r="BG134">
        <v>4.1292430687377113</v>
      </c>
      <c r="BH134">
        <v>1.277354271029923</v>
      </c>
      <c r="BI134">
        <v>1.5969122758320411</v>
      </c>
      <c r="BJ134">
        <v>0.82547860756802593</v>
      </c>
      <c r="BK134">
        <v>2.0403926689020149</v>
      </c>
      <c r="BL134">
        <v>3.322558812569254</v>
      </c>
      <c r="BM134">
        <v>5.1040726295991909</v>
      </c>
      <c r="BN134">
        <v>3.7556203665887722</v>
      </c>
      <c r="BO134">
        <v>22.956222513205589</v>
      </c>
      <c r="BP134">
        <v>31.23013417326456</v>
      </c>
      <c r="BQ134">
        <v>23.130569594258809</v>
      </c>
    </row>
    <row r="135" spans="1:69" x14ac:dyDescent="0.25">
      <c r="A135" t="s">
        <v>1303</v>
      </c>
      <c r="B135" t="s">
        <v>1304</v>
      </c>
      <c r="C135" t="s">
        <v>1575</v>
      </c>
      <c r="D135" t="s">
        <v>1576</v>
      </c>
      <c r="BB135">
        <v>1.195096711655427</v>
      </c>
      <c r="BC135">
        <v>3.9834794185583311</v>
      </c>
      <c r="BD135">
        <v>4.9714857169238416</v>
      </c>
      <c r="BE135">
        <v>6.5814744768367737</v>
      </c>
      <c r="BF135">
        <v>4.8210195629739889</v>
      </c>
      <c r="BG135">
        <v>1.854604213409097</v>
      </c>
      <c r="BH135">
        <v>-3.7491452479962861</v>
      </c>
      <c r="BI135">
        <v>-0.78335962436150774</v>
      </c>
      <c r="BJ135">
        <v>4.3213521830319079</v>
      </c>
      <c r="BK135">
        <v>6.0769890788960694</v>
      </c>
      <c r="BL135">
        <v>3.0053894939038268</v>
      </c>
      <c r="BM135">
        <v>84.864333047204056</v>
      </c>
      <c r="BN135">
        <v>154.7560960233933</v>
      </c>
      <c r="BO135">
        <v>171.2054913366413</v>
      </c>
      <c r="BP135">
        <v>221.34164402336501</v>
      </c>
      <c r="BQ135">
        <v>45.24304227167184</v>
      </c>
    </row>
    <row r="136" spans="1:69" x14ac:dyDescent="0.25">
      <c r="A136" t="s">
        <v>1305</v>
      </c>
      <c r="B136" t="s">
        <v>1306</v>
      </c>
      <c r="C136" t="s">
        <v>1575</v>
      </c>
      <c r="D136" t="s">
        <v>1576</v>
      </c>
      <c r="AU136">
        <v>14.159647011632471</v>
      </c>
      <c r="AV136">
        <v>10.330288123682349</v>
      </c>
      <c r="AW136">
        <v>7.8290870488323536</v>
      </c>
      <c r="AX136">
        <v>10.83435884814136</v>
      </c>
      <c r="AY136">
        <v>7.3414460827855788</v>
      </c>
      <c r="AZ136">
        <v>11.39189668071025</v>
      </c>
      <c r="BA136">
        <v>17.489448642993018</v>
      </c>
      <c r="BB136">
        <v>7.427643059149192</v>
      </c>
      <c r="BC136">
        <v>7.2899279689021821</v>
      </c>
      <c r="BD136">
        <v>8.4881675184940004</v>
      </c>
      <c r="BE136">
        <v>6.8317870341854832</v>
      </c>
      <c r="BF136">
        <v>7.5773068174139979</v>
      </c>
      <c r="BG136">
        <v>9.8611128557490382</v>
      </c>
      <c r="BH136">
        <v>7.7486968762132236</v>
      </c>
      <c r="BI136">
        <v>8.8342486833648763</v>
      </c>
      <c r="BJ136">
        <v>12.419632390713771</v>
      </c>
      <c r="BK136">
        <v>23.563514895374169</v>
      </c>
      <c r="BL136">
        <v>26.966276019787809</v>
      </c>
      <c r="BM136">
        <v>16.95572414962546</v>
      </c>
      <c r="BN136">
        <v>7.8155938585864844</v>
      </c>
      <c r="BO136">
        <v>7.5929848656031336</v>
      </c>
      <c r="BP136">
        <v>10.09445356655517</v>
      </c>
      <c r="BQ136">
        <v>8.2149743911896387</v>
      </c>
    </row>
    <row r="137" spans="1:69" x14ac:dyDescent="0.25">
      <c r="A137" t="s">
        <v>1307</v>
      </c>
      <c r="B137" t="s">
        <v>1308</v>
      </c>
      <c r="C137" t="s">
        <v>1575</v>
      </c>
      <c r="D137" t="s">
        <v>1576</v>
      </c>
      <c r="J137">
        <v>11.424999999667801</v>
      </c>
      <c r="K137">
        <v>12.242913768340861</v>
      </c>
      <c r="L137">
        <v>7.2961087423089062</v>
      </c>
      <c r="M137">
        <v>0.39123144730920478</v>
      </c>
      <c r="N137">
        <v>9.7859705554738436</v>
      </c>
      <c r="O137">
        <v>-5.2963714220470353</v>
      </c>
      <c r="P137">
        <v>-3.1038494081085082</v>
      </c>
      <c r="Q137">
        <v>-0.25102319208900781</v>
      </c>
      <c r="R137">
        <v>7.9708955631859961</v>
      </c>
      <c r="S137">
        <v>7.4584515608289363</v>
      </c>
      <c r="T137">
        <v>9.11920030145642</v>
      </c>
      <c r="U137">
        <v>5.4792152796884563</v>
      </c>
      <c r="V137">
        <v>6.2802130275090677</v>
      </c>
      <c r="W137">
        <v>29.379794164169819</v>
      </c>
      <c r="X137">
        <v>-6.0390287501709397</v>
      </c>
      <c r="Y137">
        <v>9.7342887947139225</v>
      </c>
      <c r="Z137">
        <v>11.199722607489401</v>
      </c>
      <c r="AA137">
        <v>10.2588088556284</v>
      </c>
      <c r="AB137">
        <v>10.60520361990959</v>
      </c>
      <c r="AC137">
        <v>12.47762720531821</v>
      </c>
      <c r="AD137">
        <v>9.1384405546715595</v>
      </c>
      <c r="AE137">
        <v>3.2909810456155801</v>
      </c>
      <c r="AF137">
        <v>4.355716878402891</v>
      </c>
      <c r="AG137">
        <v>6.0869565217390882</v>
      </c>
      <c r="AH137">
        <v>1.511839708560929</v>
      </c>
      <c r="AI137">
        <v>8.4514624080388163</v>
      </c>
      <c r="AJ137">
        <v>11.896095301125071</v>
      </c>
      <c r="AK137">
        <v>9.3597515895313528</v>
      </c>
      <c r="AL137">
        <v>11.07355327203889</v>
      </c>
      <c r="AM137">
        <v>5.1125989044431437</v>
      </c>
      <c r="AN137">
        <v>7.2379849449912896</v>
      </c>
      <c r="AO137">
        <v>4.0280777537796268</v>
      </c>
      <c r="AP137">
        <v>3.5502958579882078</v>
      </c>
      <c r="AQ137">
        <v>3.7092731829573942</v>
      </c>
      <c r="AR137">
        <v>2.6486225229581848</v>
      </c>
      <c r="AS137">
        <v>-2.9000000000002419</v>
      </c>
      <c r="AT137">
        <v>-8.8139375214554647</v>
      </c>
      <c r="AU137">
        <v>-9.7976470588235678</v>
      </c>
      <c r="AV137">
        <v>-2.1911519198664422</v>
      </c>
      <c r="AW137">
        <v>-2.1975677405590019</v>
      </c>
      <c r="AX137">
        <v>2.6502057613165748</v>
      </c>
      <c r="AY137">
        <v>1.459268762027244</v>
      </c>
      <c r="AZ137">
        <v>6.2509878299355286</v>
      </c>
      <c r="BA137">
        <v>10.36072889549982</v>
      </c>
      <c r="BB137">
        <v>2.4599002560994792</v>
      </c>
      <c r="BC137">
        <v>2.7998950010926791</v>
      </c>
      <c r="BD137">
        <v>15.5184815317561</v>
      </c>
      <c r="BE137">
        <v>6.0598039215686388</v>
      </c>
      <c r="BF137">
        <v>2.605818027195169</v>
      </c>
      <c r="BG137">
        <v>2.4329414159922549</v>
      </c>
      <c r="BH137">
        <v>10.40229335881506</v>
      </c>
      <c r="BI137">
        <v>25.85387421244608</v>
      </c>
      <c r="BJ137">
        <v>25.803618478833769</v>
      </c>
      <c r="BK137">
        <v>13.17020385367212</v>
      </c>
      <c r="BL137">
        <v>-2.162178834705947</v>
      </c>
      <c r="BM137">
        <v>1.4470365699874099</v>
      </c>
      <c r="BN137">
        <v>2.868330277510192</v>
      </c>
      <c r="BO137">
        <v>4.5103014923570317</v>
      </c>
      <c r="BP137">
        <v>2.3731753143516858</v>
      </c>
      <c r="BQ137">
        <v>2.1261576688502508</v>
      </c>
    </row>
    <row r="138" spans="1:69" x14ac:dyDescent="0.25">
      <c r="A138" t="s">
        <v>1309</v>
      </c>
      <c r="B138" t="s">
        <v>1310</v>
      </c>
      <c r="C138" t="s">
        <v>1575</v>
      </c>
      <c r="D138" t="s">
        <v>1576</v>
      </c>
      <c r="K138">
        <v>2.4790083965773122</v>
      </c>
      <c r="L138">
        <v>3.2071790871852901</v>
      </c>
      <c r="M138">
        <v>3.9694541053438859</v>
      </c>
      <c r="N138">
        <v>2.254381499689158</v>
      </c>
      <c r="O138">
        <v>13.39876253481825</v>
      </c>
      <c r="P138">
        <v>8.391345249205802</v>
      </c>
      <c r="Q138">
        <v>7.8805762890535149</v>
      </c>
      <c r="R138">
        <v>13.44060069717403</v>
      </c>
      <c r="S138">
        <v>34.220604226879239</v>
      </c>
      <c r="T138">
        <v>17.742787699652322</v>
      </c>
      <c r="U138">
        <v>9.6691198466874084</v>
      </c>
      <c r="V138">
        <v>8.8657319002618848</v>
      </c>
      <c r="W138">
        <v>10.87751829209911</v>
      </c>
      <c r="X138">
        <v>9.3900427128736013</v>
      </c>
      <c r="Y138">
        <v>19.477729113291161</v>
      </c>
      <c r="Z138">
        <v>15.1248443770346</v>
      </c>
      <c r="AA138">
        <v>4.6140674987308783</v>
      </c>
      <c r="AB138">
        <v>1.4730585346230129</v>
      </c>
      <c r="AC138">
        <v>1.205484103655883</v>
      </c>
      <c r="AD138">
        <v>1.4231989823873239</v>
      </c>
      <c r="AE138">
        <v>2.1902582543313249</v>
      </c>
      <c r="AF138">
        <v>7.0217530390278142</v>
      </c>
      <c r="AG138">
        <v>0.82947242564637558</v>
      </c>
      <c r="AH138">
        <v>4.3726376639732916</v>
      </c>
      <c r="AI138">
        <v>4.2675566285597224</v>
      </c>
      <c r="AJ138">
        <v>6.1495505311904939</v>
      </c>
      <c r="AK138">
        <v>5.1388977994482818</v>
      </c>
      <c r="AL138">
        <v>0.84818159628960299</v>
      </c>
      <c r="AM138">
        <v>2.8159166515396792</v>
      </c>
      <c r="AN138">
        <v>5.6296592151237803</v>
      </c>
      <c r="AO138">
        <v>0.92484260961597309</v>
      </c>
      <c r="AP138">
        <v>-5.5202870547238049E-3</v>
      </c>
      <c r="AQ138">
        <v>3.2019434167909071</v>
      </c>
      <c r="AR138">
        <v>3.5037978410894208</v>
      </c>
      <c r="AS138">
        <v>3.7107860871360989</v>
      </c>
      <c r="AT138">
        <v>5.3072208102854708</v>
      </c>
      <c r="AU138">
        <v>-0.2555366269165083</v>
      </c>
      <c r="AV138">
        <v>1.034253724262215</v>
      </c>
      <c r="AW138">
        <v>1.460368144252453</v>
      </c>
      <c r="AX138">
        <v>3.898273707594762</v>
      </c>
      <c r="AY138">
        <v>2.3956208252916822</v>
      </c>
      <c r="AZ138">
        <v>2.8231037373692942</v>
      </c>
      <c r="BA138">
        <v>5.5495476938393686</v>
      </c>
      <c r="BB138">
        <v>-0.15693608716866941</v>
      </c>
      <c r="BC138">
        <v>3.250344091801288</v>
      </c>
      <c r="BD138">
        <v>2.7694079414409312</v>
      </c>
      <c r="BE138">
        <v>4.1776358710251458</v>
      </c>
      <c r="BF138">
        <v>1.4685651103542829</v>
      </c>
      <c r="BG138">
        <v>3.516955513692412</v>
      </c>
      <c r="BH138">
        <v>-0.98360095269699555</v>
      </c>
      <c r="BI138">
        <v>-3.078217656769267</v>
      </c>
      <c r="BJ138">
        <v>0.104262078958441</v>
      </c>
      <c r="BK138">
        <v>1.935618931506019</v>
      </c>
      <c r="BL138">
        <v>0.53908755919175744</v>
      </c>
      <c r="BM138">
        <v>-1.755808335175935</v>
      </c>
      <c r="BN138">
        <v>2.410703121743933</v>
      </c>
      <c r="BO138">
        <v>6.3781469513335143</v>
      </c>
      <c r="BP138">
        <v>4.0706082192620441</v>
      </c>
      <c r="BQ138">
        <v>-0.1102835758346942</v>
      </c>
    </row>
    <row r="139" spans="1:69" x14ac:dyDescent="0.25">
      <c r="A139" t="s">
        <v>1311</v>
      </c>
      <c r="B139" t="s">
        <v>1312</v>
      </c>
      <c r="C139" t="s">
        <v>1575</v>
      </c>
      <c r="D139" t="s">
        <v>1576</v>
      </c>
      <c r="L139">
        <v>3.0169484750214761</v>
      </c>
      <c r="M139">
        <v>4.0938914310683634</v>
      </c>
      <c r="N139">
        <v>2.6293408365833169</v>
      </c>
      <c r="O139">
        <v>4.6522974930315426</v>
      </c>
      <c r="P139">
        <v>4.7841143815461891</v>
      </c>
      <c r="Q139">
        <v>6.6711776652836932</v>
      </c>
      <c r="R139">
        <v>13.618317345837969</v>
      </c>
      <c r="S139">
        <v>23.24404853259724</v>
      </c>
      <c r="T139">
        <v>16.77357032458163</v>
      </c>
      <c r="U139">
        <v>9.7936532753465073</v>
      </c>
      <c r="V139">
        <v>10.6889574207751</v>
      </c>
      <c r="W139">
        <v>10.30612922229659</v>
      </c>
      <c r="X139">
        <v>14.72217036899923</v>
      </c>
      <c r="Y139">
        <v>17.91992414062663</v>
      </c>
      <c r="Z139">
        <v>14.047968671886791</v>
      </c>
      <c r="AA139">
        <v>7.8127414121648942</v>
      </c>
      <c r="AB139">
        <v>10.24366335265448</v>
      </c>
      <c r="AC139">
        <v>11.507169505730859</v>
      </c>
      <c r="AD139">
        <v>12.961686314347441</v>
      </c>
      <c r="AE139">
        <v>9.7643692434206244</v>
      </c>
      <c r="AF139">
        <v>11.53753613378939</v>
      </c>
      <c r="AG139">
        <v>8.0126289057241227</v>
      </c>
      <c r="AH139">
        <v>11.40963200657623</v>
      </c>
      <c r="AI139">
        <v>21.507988173267911</v>
      </c>
      <c r="AJ139">
        <v>21.615741122444899</v>
      </c>
      <c r="AK139">
        <v>10.63019968930374</v>
      </c>
      <c r="AL139">
        <v>10.26362374965486</v>
      </c>
      <c r="AM139">
        <v>9.7002503351630942</v>
      </c>
      <c r="AN139">
        <v>10.193206763074549</v>
      </c>
      <c r="AO139">
        <v>7.3591178178876708</v>
      </c>
      <c r="AP139">
        <v>6.9495660853411758</v>
      </c>
      <c r="AQ139">
        <v>5.1102495451755932</v>
      </c>
      <c r="AR139">
        <v>3.4543979358750749</v>
      </c>
      <c r="AS139">
        <v>4.6082299887259799</v>
      </c>
      <c r="AT139">
        <v>4.0550806134464503</v>
      </c>
      <c r="AU139">
        <v>3.950116637215928</v>
      </c>
      <c r="AV139">
        <v>3.733735661676441</v>
      </c>
      <c r="AW139">
        <v>4.3803228653460788</v>
      </c>
      <c r="AX139">
        <v>4.4405756568791261</v>
      </c>
      <c r="AY139">
        <v>4.2519532197796712</v>
      </c>
      <c r="AZ139">
        <v>4.5780857237715349</v>
      </c>
      <c r="BA139">
        <v>8.1081081081078228</v>
      </c>
      <c r="BB139">
        <v>2.5004998875638331</v>
      </c>
      <c r="BC139">
        <v>3.4912887261880021</v>
      </c>
      <c r="BD139">
        <v>4.9777356370697001</v>
      </c>
      <c r="BE139">
        <v>3.7818075467967791</v>
      </c>
      <c r="BF139">
        <v>2.5286478853837031</v>
      </c>
      <c r="BG139">
        <v>3.383412727494775</v>
      </c>
      <c r="BH139">
        <v>1.8614830286337101</v>
      </c>
      <c r="BI139">
        <v>1.6503899443157279</v>
      </c>
      <c r="BJ139">
        <v>2.1920101096298499</v>
      </c>
      <c r="BK139">
        <v>2.379517333604892</v>
      </c>
      <c r="BL139">
        <v>2.371678593630365</v>
      </c>
      <c r="BM139">
        <v>1.493890172995874</v>
      </c>
      <c r="BN139">
        <v>3.8780544241113071</v>
      </c>
      <c r="BO139">
        <v>7.713677269014191</v>
      </c>
      <c r="BP139">
        <v>4.7856128102113527</v>
      </c>
      <c r="BQ139">
        <v>3.46497037946077</v>
      </c>
    </row>
    <row r="140" spans="1:69" x14ac:dyDescent="0.25">
      <c r="A140" t="s">
        <v>1313</v>
      </c>
      <c r="B140" t="s">
        <v>1314</v>
      </c>
      <c r="C140" t="s">
        <v>1575</v>
      </c>
      <c r="D140" t="s">
        <v>1576</v>
      </c>
      <c r="AE140">
        <v>9.3254619000765171</v>
      </c>
      <c r="AF140">
        <v>9.0135193146375201</v>
      </c>
      <c r="AG140">
        <v>10.21968750397656</v>
      </c>
      <c r="AH140">
        <v>8.9299414289402659</v>
      </c>
      <c r="AI140">
        <v>8.4886464965069379</v>
      </c>
      <c r="AJ140">
        <v>14.245844608747779</v>
      </c>
      <c r="AK140">
        <v>10.63930218974385</v>
      </c>
      <c r="AL140">
        <v>9.3703441597146053</v>
      </c>
      <c r="AM140">
        <v>25.17787622499625</v>
      </c>
      <c r="AN140">
        <v>15.448025835252871</v>
      </c>
      <c r="AO140">
        <v>9.3303145853192806</v>
      </c>
      <c r="AP140">
        <v>8.0221076663174937</v>
      </c>
      <c r="AQ140">
        <v>7.1119111421070649</v>
      </c>
      <c r="AR140">
        <v>4.9257725614232442</v>
      </c>
      <c r="AS140">
        <v>3.8995298028471241</v>
      </c>
      <c r="AT140">
        <v>4.7148963468960954</v>
      </c>
      <c r="AU140">
        <v>4.4642640073484188</v>
      </c>
      <c r="AV140">
        <v>6.4894320867333759</v>
      </c>
      <c r="AW140">
        <v>4.5342137412969246</v>
      </c>
      <c r="AX140">
        <v>7.5640806170986981</v>
      </c>
      <c r="AY140">
        <v>6.8524661785462202</v>
      </c>
      <c r="AZ140">
        <v>7.7855689623676794</v>
      </c>
      <c r="BA140">
        <v>11.01038800683501</v>
      </c>
      <c r="BB140">
        <v>4.561506876709827</v>
      </c>
      <c r="BC140">
        <v>5.0496807585740173</v>
      </c>
      <c r="BD140">
        <v>6.6103898651248052</v>
      </c>
      <c r="BE140">
        <v>6.3147445031517737</v>
      </c>
      <c r="BF140">
        <v>5.5241287799426599</v>
      </c>
      <c r="BG140">
        <v>4.4053523418529297</v>
      </c>
      <c r="BH140">
        <v>3.4027432773718851</v>
      </c>
      <c r="BI140">
        <v>5.3441460099724427</v>
      </c>
      <c r="BJ140">
        <v>4.5725365531751958</v>
      </c>
      <c r="BK140">
        <v>3.4614748497372929</v>
      </c>
      <c r="BL140">
        <v>3.322558812569254</v>
      </c>
      <c r="BM140">
        <v>4.332968747117091</v>
      </c>
      <c r="BN140">
        <v>4.1564912548210744</v>
      </c>
      <c r="BO140">
        <v>9.4580128130402308</v>
      </c>
      <c r="BP140">
        <v>7.1269748213185107</v>
      </c>
      <c r="BQ140">
        <v>4.5034680132690141</v>
      </c>
    </row>
    <row r="141" spans="1:69" x14ac:dyDescent="0.25">
      <c r="A141" t="s">
        <v>1315</v>
      </c>
      <c r="B141" t="s">
        <v>1316</v>
      </c>
      <c r="C141" t="s">
        <v>1575</v>
      </c>
      <c r="D141" t="s">
        <v>1576</v>
      </c>
      <c r="AC141">
        <v>9.8566209543388865</v>
      </c>
      <c r="AD141">
        <v>10.42384023038864</v>
      </c>
      <c r="AE141">
        <v>4.124615263676862</v>
      </c>
      <c r="AF141">
        <v>7.1132376395533674</v>
      </c>
      <c r="AG141">
        <v>13.584052269553339</v>
      </c>
      <c r="AH141">
        <v>8.2750160875159171</v>
      </c>
      <c r="AI141">
        <v>7.0021695665112151</v>
      </c>
      <c r="AJ141">
        <v>8.8196409973388441</v>
      </c>
      <c r="AK141">
        <v>9.5234771910898992</v>
      </c>
      <c r="AL141">
        <v>9.843853892346651</v>
      </c>
      <c r="AM141">
        <v>29.913756187914299</v>
      </c>
      <c r="AN141">
        <v>17.81145371296309</v>
      </c>
      <c r="AO141">
        <v>8.2498900991550972</v>
      </c>
      <c r="AP141">
        <v>5.5722571112532977</v>
      </c>
      <c r="AQ141">
        <v>5.0843334414532402</v>
      </c>
      <c r="AR141">
        <v>-5.3213624882353358E-2</v>
      </c>
      <c r="AS141">
        <v>3.8226008808630589</v>
      </c>
      <c r="AT141">
        <v>4.4925960923975428</v>
      </c>
      <c r="AU141">
        <v>4.1664722549747264</v>
      </c>
      <c r="AV141">
        <v>6.1431307678958937</v>
      </c>
      <c r="AW141">
        <v>4.2137626876790479</v>
      </c>
      <c r="AX141">
        <v>8.1695460488126255</v>
      </c>
      <c r="AY141">
        <v>7.2549030183828638</v>
      </c>
      <c r="AZ141">
        <v>7.9051177898873037</v>
      </c>
      <c r="BA141">
        <v>11.30510988270191</v>
      </c>
      <c r="BB141">
        <v>4.7838902460251473</v>
      </c>
      <c r="BC141">
        <v>4.1869833581411919</v>
      </c>
      <c r="BD141">
        <v>7.2071027740057056</v>
      </c>
      <c r="BE141">
        <v>6.7097747140556674</v>
      </c>
      <c r="BF141">
        <v>5.6116293381582398</v>
      </c>
      <c r="BG141">
        <v>3.7405295157196718</v>
      </c>
      <c r="BH141">
        <v>4.3771266506565407</v>
      </c>
      <c r="BI141">
        <v>5.7063750461621199</v>
      </c>
      <c r="BJ141">
        <v>8.1568632340337164</v>
      </c>
      <c r="BK141">
        <v>2.79180778478365</v>
      </c>
      <c r="BL141">
        <v>2.8351455568750552</v>
      </c>
      <c r="BM141">
        <v>4.4641443723286081</v>
      </c>
      <c r="BN141">
        <v>5.1332034082496252</v>
      </c>
      <c r="BO141">
        <v>9.621476084890638</v>
      </c>
      <c r="BP141">
        <v>7.1145920534445519</v>
      </c>
      <c r="BQ141">
        <v>4.1908172134452348</v>
      </c>
    </row>
    <row r="142" spans="1:69" x14ac:dyDescent="0.25">
      <c r="A142" t="s">
        <v>1317</v>
      </c>
      <c r="B142" t="s">
        <v>1318</v>
      </c>
      <c r="C142" t="s">
        <v>1575</v>
      </c>
      <c r="D142" t="s">
        <v>1576</v>
      </c>
    </row>
    <row r="143" spans="1:69" x14ac:dyDescent="0.25">
      <c r="A143" t="s">
        <v>1319</v>
      </c>
      <c r="B143" t="s">
        <v>1320</v>
      </c>
      <c r="C143" t="s">
        <v>1575</v>
      </c>
      <c r="D143" t="s">
        <v>1576</v>
      </c>
      <c r="E143">
        <v>-1.544676806092006</v>
      </c>
      <c r="F143">
        <v>1.134443639799902</v>
      </c>
      <c r="G143">
        <v>1.503579952515488</v>
      </c>
      <c r="H143">
        <v>2.2729053999621369</v>
      </c>
      <c r="I143">
        <v>3.1956471760459211</v>
      </c>
      <c r="J143">
        <v>0.2227833062540214</v>
      </c>
      <c r="K143">
        <v>-0.15560165997384559</v>
      </c>
      <c r="L143">
        <v>2.1892393320351702</v>
      </c>
      <c r="M143">
        <v>5.8605664489857929</v>
      </c>
      <c r="N143">
        <v>7.456952733725756</v>
      </c>
      <c r="O143">
        <v>5.8669560776596752</v>
      </c>
      <c r="P143">
        <v>2.6653802085999092</v>
      </c>
      <c r="Q143">
        <v>6.3494860501361261</v>
      </c>
      <c r="R143">
        <v>9.6266431017112186</v>
      </c>
      <c r="S143">
        <v>12.30288679524724</v>
      </c>
      <c r="T143">
        <v>6.625992553209791</v>
      </c>
      <c r="U143">
        <v>1.3295186805823029</v>
      </c>
      <c r="V143">
        <v>1.2248795880284511</v>
      </c>
      <c r="W143">
        <v>12.141597276465999</v>
      </c>
      <c r="X143">
        <v>10.73192143087304</v>
      </c>
      <c r="Y143">
        <v>26.145410101446529</v>
      </c>
      <c r="Z143">
        <v>17.968995496010081</v>
      </c>
      <c r="AA143">
        <v>10.82574916756872</v>
      </c>
      <c r="AB143">
        <v>13.964388006500061</v>
      </c>
      <c r="AC143">
        <v>16.638253747921681</v>
      </c>
      <c r="AD143">
        <v>1.4811801223542931</v>
      </c>
      <c r="AE143">
        <v>7.9763619357062669</v>
      </c>
      <c r="AF143">
        <v>7.7171656055926947</v>
      </c>
      <c r="AG143">
        <v>13.991548900207549</v>
      </c>
      <c r="AH143">
        <v>11.56753608905581</v>
      </c>
      <c r="AI143">
        <v>21.495252052759021</v>
      </c>
      <c r="AJ143">
        <v>12.18563072143894</v>
      </c>
      <c r="AK143">
        <v>11.38343705122058</v>
      </c>
      <c r="AL143">
        <v>11.746737017494629</v>
      </c>
      <c r="AM143">
        <v>8.4487124869834762</v>
      </c>
      <c r="AN143">
        <v>7.6748487344980489</v>
      </c>
      <c r="AO143">
        <v>15.9358310447214</v>
      </c>
      <c r="AP143">
        <v>9.5736962640516197</v>
      </c>
      <c r="AQ143">
        <v>9.3642430068322948</v>
      </c>
      <c r="AR143">
        <v>4.6917056304843792</v>
      </c>
      <c r="AS143">
        <v>6.1762759101204496</v>
      </c>
      <c r="AT143">
        <v>14.15845579912002</v>
      </c>
      <c r="AU143">
        <v>9.5510316700725149</v>
      </c>
      <c r="AV143">
        <v>6.3146378705117447</v>
      </c>
      <c r="AW143">
        <v>7.575925829958563</v>
      </c>
      <c r="AX143">
        <v>11.639686097111831</v>
      </c>
      <c r="AY143">
        <v>10.02018360570346</v>
      </c>
      <c r="AZ143">
        <v>15.84211149248431</v>
      </c>
      <c r="BA143">
        <v>22.5644955300126</v>
      </c>
      <c r="BB143">
        <v>3.4649632210607422</v>
      </c>
      <c r="BC143">
        <v>6.2176488930462011</v>
      </c>
      <c r="BD143">
        <v>6.7167684358853998</v>
      </c>
      <c r="BE143">
        <v>7.5429137323943696</v>
      </c>
      <c r="BF143">
        <v>6.9084503482845214</v>
      </c>
      <c r="BG143">
        <v>3.179002282360595</v>
      </c>
      <c r="BH143">
        <v>3.768367830620964</v>
      </c>
      <c r="BI143">
        <v>3.9588884659306971</v>
      </c>
      <c r="BJ143">
        <v>7.7041376785060169</v>
      </c>
      <c r="BK143">
        <v>2.135037737132004</v>
      </c>
      <c r="BL143">
        <v>3.528393582318115</v>
      </c>
      <c r="BM143">
        <v>6.1539450839173764</v>
      </c>
      <c r="BN143">
        <v>7.0147807123819472</v>
      </c>
      <c r="BO143">
        <v>49.721102111432742</v>
      </c>
      <c r="BP143">
        <v>16.541174227983181</v>
      </c>
      <c r="BQ143">
        <v>-0.42936004906973008</v>
      </c>
    </row>
    <row r="144" spans="1:69" x14ac:dyDescent="0.25">
      <c r="A144" t="s">
        <v>1321</v>
      </c>
      <c r="B144" t="s">
        <v>1322</v>
      </c>
      <c r="C144" t="s">
        <v>1575</v>
      </c>
      <c r="D144" t="s">
        <v>1576</v>
      </c>
      <c r="Y144">
        <v>13.85818145624839</v>
      </c>
      <c r="Z144">
        <v>11.741483513821271</v>
      </c>
      <c r="AA144">
        <v>10.374767217493741</v>
      </c>
      <c r="AB144">
        <v>11.4826535601296</v>
      </c>
      <c r="AC144">
        <v>10.284098213138041</v>
      </c>
      <c r="AD144">
        <v>7.7286389008592016</v>
      </c>
      <c r="AE144">
        <v>8.7297207270258088</v>
      </c>
      <c r="AF144">
        <v>8.6376731898008394</v>
      </c>
      <c r="AG144">
        <v>9.1832376219716227</v>
      </c>
      <c r="AH144">
        <v>9.8504092576909805</v>
      </c>
      <c r="AI144">
        <v>10.0118383223406</v>
      </c>
      <c r="AJ144">
        <v>13.22426577265068</v>
      </c>
      <c r="AK144">
        <v>10.098967153517579</v>
      </c>
      <c r="AL144">
        <v>9.1686623332198511</v>
      </c>
      <c r="AM144">
        <v>12.3681943936948</v>
      </c>
      <c r="AN144">
        <v>10.2090464634145</v>
      </c>
      <c r="AO144">
        <v>9.0988094810171916</v>
      </c>
      <c r="AP144">
        <v>7.1061665685938289</v>
      </c>
      <c r="AQ144">
        <v>8.8185861394017451</v>
      </c>
      <c r="AR144">
        <v>4.8653978507752846</v>
      </c>
      <c r="AS144">
        <v>4.0887626168031233</v>
      </c>
      <c r="AT144">
        <v>4.4197724588114582</v>
      </c>
      <c r="AU144">
        <v>3.7501746577846609</v>
      </c>
      <c r="AV144">
        <v>5.151901507695781</v>
      </c>
      <c r="AW144">
        <v>4.4749928907810652</v>
      </c>
      <c r="AX144">
        <v>5.378875963615025</v>
      </c>
      <c r="AY144">
        <v>6.1568760393855682</v>
      </c>
      <c r="AZ144">
        <v>6.9362147089577357</v>
      </c>
      <c r="BA144">
        <v>11.40342708139322</v>
      </c>
      <c r="BB144">
        <v>4.3886760206047128</v>
      </c>
      <c r="BC144">
        <v>4.8455187585211608</v>
      </c>
      <c r="BD144">
        <v>6.3810958246069109</v>
      </c>
      <c r="BE144">
        <v>5.981721323155611</v>
      </c>
      <c r="BF144">
        <v>5.4961444543898033</v>
      </c>
      <c r="BG144">
        <v>5.1940097907600604</v>
      </c>
      <c r="BH144">
        <v>3.3243711326409482</v>
      </c>
      <c r="BI144">
        <v>3.3715300351209549</v>
      </c>
      <c r="BJ144">
        <v>3.5202568881161742</v>
      </c>
      <c r="BK144">
        <v>4.2915910533787534</v>
      </c>
      <c r="BL144">
        <v>3.4642805799902048</v>
      </c>
      <c r="BM144">
        <v>4.8716739856555469</v>
      </c>
      <c r="BN144">
        <v>4.1591965791179764</v>
      </c>
      <c r="BO144">
        <v>7.6702057938028041</v>
      </c>
      <c r="BP144">
        <v>7.3828138428098367</v>
      </c>
      <c r="BQ144">
        <v>4.6062109812710688</v>
      </c>
    </row>
    <row r="145" spans="1:69" x14ac:dyDescent="0.25">
      <c r="A145" t="s">
        <v>1323</v>
      </c>
      <c r="B145" t="s">
        <v>1324</v>
      </c>
      <c r="C145" t="s">
        <v>1575</v>
      </c>
      <c r="D145" t="s">
        <v>1576</v>
      </c>
      <c r="Z145">
        <v>12.857207792164211</v>
      </c>
      <c r="AA145">
        <v>10.83180977381712</v>
      </c>
      <c r="AB145">
        <v>10.620753648024071</v>
      </c>
      <c r="AC145">
        <v>10.284098213138041</v>
      </c>
      <c r="AD145">
        <v>8.508374343915948</v>
      </c>
      <c r="AE145">
        <v>8.7335591870667457</v>
      </c>
      <c r="AF145">
        <v>8.1890744948108072</v>
      </c>
      <c r="AG145">
        <v>9.0711587578002177</v>
      </c>
      <c r="AH145">
        <v>8.9299414289402659</v>
      </c>
      <c r="AI145">
        <v>10.332672054294861</v>
      </c>
      <c r="AJ145">
        <v>12.18563072143894</v>
      </c>
      <c r="AK145">
        <v>9.9552238341595682</v>
      </c>
      <c r="AL145">
        <v>10.263099825651789</v>
      </c>
      <c r="AM145">
        <v>21.729346883819009</v>
      </c>
      <c r="AN145">
        <v>11.708647115425711</v>
      </c>
      <c r="AO145">
        <v>8.977152338264526</v>
      </c>
      <c r="AP145">
        <v>7.0876176294872613</v>
      </c>
      <c r="AQ145">
        <v>6.8805452103735076</v>
      </c>
      <c r="AR145">
        <v>4.5670875285674217</v>
      </c>
      <c r="AS145">
        <v>4.0639620138259609</v>
      </c>
      <c r="AT145">
        <v>5.0774504552249571</v>
      </c>
      <c r="AU145">
        <v>4.2402666068864523</v>
      </c>
      <c r="AV145">
        <v>4.9252741801387963</v>
      </c>
      <c r="AW145">
        <v>4.5046033160389953</v>
      </c>
      <c r="AX145">
        <v>6.415040183696842</v>
      </c>
      <c r="AY145">
        <v>5.8106855046430637</v>
      </c>
      <c r="AZ145">
        <v>6.1778121480938788</v>
      </c>
      <c r="BA145">
        <v>10.29697582212537</v>
      </c>
      <c r="BB145">
        <v>4.2025166121648159</v>
      </c>
      <c r="BC145">
        <v>4.1121113931521851</v>
      </c>
      <c r="BD145">
        <v>6.1607755382867548</v>
      </c>
      <c r="BE145">
        <v>5.0180415542924628</v>
      </c>
      <c r="BF145">
        <v>4.6316161972946128</v>
      </c>
      <c r="BG145">
        <v>3.534368561473237</v>
      </c>
      <c r="BH145">
        <v>3.1634645736587639</v>
      </c>
      <c r="BI145">
        <v>2.952495412145582</v>
      </c>
      <c r="BJ145">
        <v>3.6347372201243382</v>
      </c>
      <c r="BK145">
        <v>3.239292459391423</v>
      </c>
      <c r="BL145">
        <v>2.759808734744428</v>
      </c>
      <c r="BM145">
        <v>2.99313555869912</v>
      </c>
      <c r="BN145">
        <v>4.2227896203319411</v>
      </c>
      <c r="BO145">
        <v>8.4873086953504284</v>
      </c>
      <c r="BP145">
        <v>6.2065759227212594</v>
      </c>
      <c r="BQ145">
        <v>3.6966328135552051</v>
      </c>
    </row>
    <row r="146" spans="1:69" x14ac:dyDescent="0.25">
      <c r="A146" t="s">
        <v>1325</v>
      </c>
      <c r="B146" t="s">
        <v>1326</v>
      </c>
      <c r="C146" t="s">
        <v>1575</v>
      </c>
      <c r="D146" t="s">
        <v>1576</v>
      </c>
      <c r="S146">
        <v>13.422834516592379</v>
      </c>
      <c r="T146">
        <v>14.211939681942621</v>
      </c>
      <c r="U146">
        <v>11.412551998413569</v>
      </c>
      <c r="V146">
        <v>16.688311688555238</v>
      </c>
      <c r="W146">
        <v>13.48357901184893</v>
      </c>
      <c r="X146">
        <v>16.00355239774775</v>
      </c>
      <c r="Y146">
        <v>16.274841618253319</v>
      </c>
      <c r="Z146">
        <v>12.41326137239799</v>
      </c>
      <c r="AA146">
        <v>12.13991769547337</v>
      </c>
      <c r="AB146">
        <v>17.49235474006143</v>
      </c>
      <c r="AC146">
        <v>10.983862571577371</v>
      </c>
      <c r="AD146">
        <v>13.320825515947091</v>
      </c>
      <c r="AE146">
        <v>18.004966887417229</v>
      </c>
      <c r="AF146">
        <v>11.75026306559101</v>
      </c>
      <c r="AG146">
        <v>11.45637162586322</v>
      </c>
      <c r="AH146">
        <v>14.72824556462966</v>
      </c>
      <c r="AI146">
        <v>11.63475699558184</v>
      </c>
      <c r="AJ146">
        <v>17.678100263852269</v>
      </c>
      <c r="AK146">
        <v>17.20852017937208</v>
      </c>
      <c r="AL146">
        <v>13.13566076837237</v>
      </c>
      <c r="AM146">
        <v>8.2147386219530212</v>
      </c>
      <c r="AN146">
        <v>9.2708333333332291</v>
      </c>
      <c r="AO146">
        <v>9.3303145853192806</v>
      </c>
      <c r="AS146">
        <v>6.1319753872269551</v>
      </c>
      <c r="AT146">
        <v>-9.6161535385847206</v>
      </c>
      <c r="AU146">
        <v>33.812578338125959</v>
      </c>
      <c r="AV146">
        <v>6.62916357146762</v>
      </c>
      <c r="AW146">
        <v>5.0234206861628534</v>
      </c>
      <c r="AX146">
        <v>3.437884230574427</v>
      </c>
      <c r="AY146">
        <v>6.072718797342934</v>
      </c>
      <c r="AZ146">
        <v>8.0124366904340896</v>
      </c>
      <c r="BA146">
        <v>10.71566613096811</v>
      </c>
      <c r="BB146">
        <v>-16.85969105406442</v>
      </c>
      <c r="BC146">
        <v>-2.405242545987059</v>
      </c>
      <c r="BD146">
        <v>5.0366305210156002</v>
      </c>
      <c r="BE146">
        <v>6.0514366213996693</v>
      </c>
      <c r="BF146">
        <v>4.865118994963848</v>
      </c>
      <c r="BG146">
        <v>5.3702896100858721</v>
      </c>
      <c r="BH146">
        <v>3.2184451365593052</v>
      </c>
      <c r="BI146">
        <v>6.5965049069654338</v>
      </c>
      <c r="BJ146">
        <v>4.4476993737630046</v>
      </c>
      <c r="BK146">
        <v>4.7518030162473961</v>
      </c>
      <c r="BL146">
        <v>5.1870835919798184</v>
      </c>
      <c r="BM146">
        <v>4.9780967625230916</v>
      </c>
      <c r="BN146">
        <v>6.047745919506756</v>
      </c>
      <c r="BO146">
        <v>8.2718038994302798</v>
      </c>
      <c r="BP146">
        <v>6.342217431249531</v>
      </c>
      <c r="BQ146">
        <v>6.1054462424503173</v>
      </c>
    </row>
    <row r="147" spans="1:69" x14ac:dyDescent="0.25">
      <c r="A147" t="s">
        <v>1327</v>
      </c>
      <c r="B147" t="s">
        <v>1328</v>
      </c>
      <c r="C147" t="s">
        <v>1575</v>
      </c>
      <c r="D147" t="s">
        <v>1576</v>
      </c>
      <c r="AF147">
        <v>5.7564640111813583</v>
      </c>
      <c r="AG147">
        <v>7.1969696969695507</v>
      </c>
      <c r="AH147">
        <v>6.1893540338235482</v>
      </c>
      <c r="AI147">
        <v>7.6060995774389157</v>
      </c>
      <c r="AJ147">
        <v>6.904896327427565</v>
      </c>
      <c r="AK147">
        <v>5.8243451463790636</v>
      </c>
      <c r="AL147">
        <v>10.676537184070799</v>
      </c>
      <c r="AM147">
        <v>11.443119644497269</v>
      </c>
      <c r="AN147">
        <v>8.0129244395266586</v>
      </c>
      <c r="AO147">
        <v>7.2269148953240618</v>
      </c>
      <c r="AP147">
        <v>5.8798310574351591</v>
      </c>
      <c r="AQ147">
        <v>5.4415255401998337</v>
      </c>
      <c r="AR147">
        <v>3.3880075420400968</v>
      </c>
      <c r="AS147">
        <v>4.1028098304232854</v>
      </c>
      <c r="AT147">
        <v>4.6460444205863398</v>
      </c>
      <c r="AU147">
        <v>2.801155051807465</v>
      </c>
      <c r="AV147">
        <v>3.2346481729392691</v>
      </c>
      <c r="AW147">
        <v>3.8573039136739888</v>
      </c>
      <c r="AX147">
        <v>4.1429758363102316</v>
      </c>
      <c r="AY147">
        <v>4.3655220300907001</v>
      </c>
      <c r="AZ147">
        <v>5.4387588387655654</v>
      </c>
      <c r="BA147">
        <v>8.9559870517778428</v>
      </c>
      <c r="BB147">
        <v>3.0416682769848462</v>
      </c>
      <c r="BC147">
        <v>3.2977796133984651</v>
      </c>
      <c r="BD147">
        <v>4.3707355993921997</v>
      </c>
      <c r="BE147">
        <v>3.3160556668764691</v>
      </c>
      <c r="BF147">
        <v>2.6822968408503942</v>
      </c>
      <c r="BG147">
        <v>2.0446148153933339</v>
      </c>
      <c r="BH147">
        <v>1.5579071134626019</v>
      </c>
      <c r="BI147">
        <v>1.1092080580702659</v>
      </c>
      <c r="BJ147">
        <v>2.1772757268926242</v>
      </c>
      <c r="BK147">
        <v>2.474463471184345</v>
      </c>
      <c r="BL147">
        <v>2.161762581330537</v>
      </c>
      <c r="BM147">
        <v>1.936941266942229</v>
      </c>
      <c r="BN147">
        <v>3.4950575739944831</v>
      </c>
      <c r="BO147">
        <v>8.6409110897385464</v>
      </c>
      <c r="BP147">
        <v>6.091141525041408</v>
      </c>
      <c r="BQ147">
        <v>2.9012514945506731</v>
      </c>
    </row>
    <row r="148" spans="1:69" x14ac:dyDescent="0.25">
      <c r="A148" t="s">
        <v>1329</v>
      </c>
      <c r="B148" t="s">
        <v>1330</v>
      </c>
      <c r="C148" t="s">
        <v>1575</v>
      </c>
      <c r="D148" t="s">
        <v>1576</v>
      </c>
      <c r="AK148">
        <v>1020.620565243536</v>
      </c>
      <c r="AL148">
        <v>410.45185856131633</v>
      </c>
      <c r="AM148">
        <v>72.254681616442824</v>
      </c>
      <c r="AN148">
        <v>39.647629032828938</v>
      </c>
      <c r="AO148">
        <v>24.625195386449999</v>
      </c>
      <c r="AP148">
        <v>8.8810484846589208</v>
      </c>
      <c r="AQ148">
        <v>5.0675538584196831</v>
      </c>
      <c r="AR148">
        <v>0.72755062655742375</v>
      </c>
      <c r="AS148">
        <v>0.98161547885759781</v>
      </c>
      <c r="AT148">
        <v>1.3671203081781911</v>
      </c>
      <c r="AU148">
        <v>0.28150661034557528</v>
      </c>
      <c r="AV148">
        <v>-1.134308549902469</v>
      </c>
      <c r="AW148">
        <v>1.164102521046706</v>
      </c>
      <c r="AX148">
        <v>2.6584848406526169</v>
      </c>
      <c r="AY148">
        <v>3.7391200406066392</v>
      </c>
      <c r="AZ148">
        <v>5.7371738279984248</v>
      </c>
      <c r="BA148">
        <v>10.925885624165501</v>
      </c>
      <c r="BB148">
        <v>4.4530445651853521</v>
      </c>
      <c r="BC148">
        <v>1.319213620554631</v>
      </c>
      <c r="BD148">
        <v>4.1302756264508522</v>
      </c>
      <c r="BE148">
        <v>3.089982770554172</v>
      </c>
      <c r="BF148">
        <v>1.04747937065344</v>
      </c>
      <c r="BG148">
        <v>0.1037580094337085</v>
      </c>
      <c r="BH148">
        <v>-0.8840974055005959</v>
      </c>
      <c r="BI148">
        <v>0.905525075460342</v>
      </c>
      <c r="BJ148">
        <v>3.7228886230370741</v>
      </c>
      <c r="BK148">
        <v>2.6979277920839362</v>
      </c>
      <c r="BL148">
        <v>2.3345093798802652</v>
      </c>
      <c r="BM148">
        <v>1.1998944498356869</v>
      </c>
      <c r="BN148">
        <v>4.6835442090345314</v>
      </c>
      <c r="BO148">
        <v>19.70504615183939</v>
      </c>
      <c r="BP148">
        <v>9.1173196239047485</v>
      </c>
      <c r="BQ148">
        <v>0.71573583522872319</v>
      </c>
    </row>
    <row r="149" spans="1:69" x14ac:dyDescent="0.25">
      <c r="A149" t="s">
        <v>1331</v>
      </c>
      <c r="B149" t="s">
        <v>1332</v>
      </c>
      <c r="C149" t="s">
        <v>1575</v>
      </c>
      <c r="D149" t="s">
        <v>1576</v>
      </c>
      <c r="E149">
        <v>0.44962029638985701</v>
      </c>
      <c r="F149">
        <v>0.48243359063082047</v>
      </c>
      <c r="G149">
        <v>0.89594664733989682</v>
      </c>
      <c r="H149">
        <v>2.8763224621266841</v>
      </c>
      <c r="I149">
        <v>3.096381512457357</v>
      </c>
      <c r="J149">
        <v>3.3336793292935298</v>
      </c>
      <c r="K149">
        <v>3.3316797725456242</v>
      </c>
      <c r="L149">
        <v>2.1661569873984918</v>
      </c>
      <c r="M149">
        <v>2.6254290896315311</v>
      </c>
      <c r="N149">
        <v>2.2944343704716461</v>
      </c>
      <c r="O149">
        <v>4.6393534438994806</v>
      </c>
      <c r="P149">
        <v>4.6722149804139699</v>
      </c>
      <c r="Q149">
        <v>5.2256805055554807</v>
      </c>
      <c r="R149">
        <v>6.0680983591020299</v>
      </c>
      <c r="S149">
        <v>9.540655416605933</v>
      </c>
      <c r="T149">
        <v>10.717671133919669</v>
      </c>
      <c r="U149">
        <v>9.7973464371629628</v>
      </c>
      <c r="V149">
        <v>6.7054941145066609</v>
      </c>
      <c r="W149">
        <v>3.0946607742464809</v>
      </c>
      <c r="X149">
        <v>4.5465277904216466</v>
      </c>
      <c r="Y149">
        <v>6.2999000624459258</v>
      </c>
      <c r="Z149">
        <v>8.0729437593459537</v>
      </c>
      <c r="AA149">
        <v>9.3570509942738163</v>
      </c>
      <c r="AB149">
        <v>8.6692715980852224</v>
      </c>
      <c r="AC149">
        <v>6.4358578078699331</v>
      </c>
      <c r="AD149">
        <v>4.093587785300925</v>
      </c>
      <c r="AE149">
        <v>0.29456340854543561</v>
      </c>
      <c r="AF149">
        <v>-5.6662909389104392E-2</v>
      </c>
      <c r="AG149">
        <v>1.4365905663490419</v>
      </c>
      <c r="AH149">
        <v>3.3709588729044269</v>
      </c>
      <c r="AI149">
        <v>3.2537665908363942</v>
      </c>
      <c r="AJ149">
        <v>3.1183565987485071</v>
      </c>
      <c r="AK149">
        <v>3.1541737596178918</v>
      </c>
      <c r="AL149">
        <v>3.588098185351642</v>
      </c>
      <c r="AM149">
        <v>2.1947646868907009</v>
      </c>
      <c r="AN149">
        <v>1.8676942496910509</v>
      </c>
      <c r="AO149">
        <v>1.183859688435708</v>
      </c>
      <c r="AP149">
        <v>1.367512612079427</v>
      </c>
      <c r="AQ149">
        <v>0.95857011049467389</v>
      </c>
      <c r="AR149">
        <v>1.0251967647493221</v>
      </c>
      <c r="AS149">
        <v>3.1507670702259198</v>
      </c>
      <c r="AT149">
        <v>2.663821105791027</v>
      </c>
      <c r="AU149">
        <v>2.0740861357164251</v>
      </c>
      <c r="AV149">
        <v>2.0498403056351808</v>
      </c>
      <c r="AW149">
        <v>2.22567916428889</v>
      </c>
      <c r="AX149">
        <v>2.4876966516408778</v>
      </c>
      <c r="AY149">
        <v>2.6663149457706901</v>
      </c>
      <c r="AZ149">
        <v>2.3124586178612732</v>
      </c>
      <c r="BA149">
        <v>3.4018796302557099</v>
      </c>
      <c r="BB149">
        <v>0.36804199788888731</v>
      </c>
      <c r="BC149">
        <v>2.2736791162154022</v>
      </c>
      <c r="BD149">
        <v>3.4106834106834212</v>
      </c>
      <c r="BE149">
        <v>2.6628416550802121</v>
      </c>
      <c r="BF149">
        <v>1.7340396351916221</v>
      </c>
      <c r="BG149">
        <v>0.62854398544071655</v>
      </c>
      <c r="BH149">
        <v>0.47474316143777878</v>
      </c>
      <c r="BI149">
        <v>0.29083333333331718</v>
      </c>
      <c r="BJ149">
        <v>1.7307995911888721</v>
      </c>
      <c r="BK149">
        <v>1.5281952430737951</v>
      </c>
      <c r="BL149">
        <v>1.743320756538483</v>
      </c>
      <c r="BM149">
        <v>0.81995730212703555</v>
      </c>
      <c r="BN149">
        <v>2.52692009066166</v>
      </c>
      <c r="BO149">
        <v>6.336008077779189</v>
      </c>
      <c r="BP149">
        <v>3.7414036198313552</v>
      </c>
      <c r="BQ149">
        <v>2.051132699548591</v>
      </c>
    </row>
    <row r="150" spans="1:69" x14ac:dyDescent="0.25">
      <c r="A150" t="s">
        <v>1333</v>
      </c>
      <c r="B150" t="s">
        <v>1334</v>
      </c>
      <c r="C150" t="s">
        <v>1575</v>
      </c>
      <c r="D150" t="s">
        <v>1576</v>
      </c>
      <c r="AK150">
        <v>951.69619487080115</v>
      </c>
      <c r="AL150">
        <v>108.9895406243229</v>
      </c>
      <c r="AM150">
        <v>35.924705392964221</v>
      </c>
      <c r="AN150">
        <v>24.97593553167507</v>
      </c>
      <c r="AO150">
        <v>17.6104698431032</v>
      </c>
      <c r="AP150">
        <v>8.4473834209295227</v>
      </c>
      <c r="AQ150">
        <v>4.6442142266078656</v>
      </c>
      <c r="AR150">
        <v>2.364818361118068</v>
      </c>
      <c r="AS150">
        <v>2.6542547779604768</v>
      </c>
      <c r="AT150">
        <v>2.487040035554569</v>
      </c>
      <c r="AU150">
        <v>1.9388757385589619</v>
      </c>
      <c r="AV150">
        <v>2.942647529484729</v>
      </c>
      <c r="AW150">
        <v>6.1923854719743998</v>
      </c>
      <c r="AX150">
        <v>6.7484502789311174</v>
      </c>
      <c r="AY150">
        <v>6.5361990876587743</v>
      </c>
      <c r="AZ150">
        <v>10.092977584916831</v>
      </c>
      <c r="BA150">
        <v>15.40231910649859</v>
      </c>
      <c r="BB150">
        <v>3.5341067285894372</v>
      </c>
      <c r="BC150">
        <v>-1.084635950151617</v>
      </c>
      <c r="BD150">
        <v>4.3707355993921997</v>
      </c>
      <c r="BE150">
        <v>2.2577892437459481</v>
      </c>
      <c r="BF150">
        <v>-2.9454778257921609E-2</v>
      </c>
      <c r="BG150">
        <v>0.62049063673242122</v>
      </c>
      <c r="BH150">
        <v>0.17424224362518551</v>
      </c>
      <c r="BI150">
        <v>0.1406333345053265</v>
      </c>
      <c r="BJ150">
        <v>2.930363123746655</v>
      </c>
      <c r="BK150">
        <v>2.5344542418659808</v>
      </c>
      <c r="BL150">
        <v>2.811409200756152</v>
      </c>
      <c r="BM150">
        <v>0.21906490484215621</v>
      </c>
      <c r="BN150">
        <v>3.275829374311563</v>
      </c>
      <c r="BO150">
        <v>17.310283019881481</v>
      </c>
      <c r="BP150">
        <v>8.9380462331663697</v>
      </c>
      <c r="BQ150">
        <v>1.2657988582872861</v>
      </c>
    </row>
    <row r="151" spans="1:69" x14ac:dyDescent="0.25">
      <c r="A151" t="s">
        <v>1335</v>
      </c>
      <c r="B151" t="s">
        <v>1336</v>
      </c>
      <c r="C151" t="s">
        <v>1575</v>
      </c>
      <c r="D151" t="s">
        <v>1576</v>
      </c>
      <c r="AH151">
        <v>8.770945541591793</v>
      </c>
      <c r="AI151">
        <v>7.9696938436322391</v>
      </c>
      <c r="AJ151">
        <v>9.5688776593483897</v>
      </c>
      <c r="AK151">
        <v>7.7139216835661113</v>
      </c>
      <c r="AL151">
        <v>6.7058855277004481</v>
      </c>
      <c r="AM151">
        <v>6.2520689021027041</v>
      </c>
      <c r="AN151">
        <v>8.558666043084461</v>
      </c>
      <c r="AO151">
        <v>4.8224867678348753</v>
      </c>
      <c r="AP151">
        <v>3.4909371513885521</v>
      </c>
      <c r="AQ151">
        <v>0.17263038456857541</v>
      </c>
      <c r="AR151">
        <v>-3.204162481865882</v>
      </c>
      <c r="AS151">
        <v>-1.6097188396189479</v>
      </c>
      <c r="AT151">
        <v>-1.9846500864165211</v>
      </c>
      <c r="AU151">
        <v>-2.63751699816194</v>
      </c>
      <c r="AV151">
        <v>-1.5624520367130481</v>
      </c>
      <c r="AW151">
        <v>0.98072845203942427</v>
      </c>
      <c r="AX151">
        <v>4.3958928433567559</v>
      </c>
      <c r="AY151">
        <v>5.1499733775069707</v>
      </c>
      <c r="AZ151">
        <v>5.5714968914395282</v>
      </c>
      <c r="BA151">
        <v>8.6110185863699495</v>
      </c>
      <c r="BB151">
        <v>1.1690669545376471</v>
      </c>
      <c r="BC151">
        <v>2.809472420608452</v>
      </c>
      <c r="BD151">
        <v>5.8062461669104319</v>
      </c>
      <c r="BE151">
        <v>6.1073892833654941</v>
      </c>
      <c r="BF151">
        <v>5.500577791784842</v>
      </c>
      <c r="BG151">
        <v>6.0482345209408459</v>
      </c>
      <c r="BH151">
        <v>4.5605633802816419</v>
      </c>
      <c r="BI151">
        <v>2.3689574970589811</v>
      </c>
      <c r="BJ151">
        <v>1.228124040528163</v>
      </c>
      <c r="BK151">
        <v>3.0044629316693778</v>
      </c>
      <c r="BL151">
        <v>2.7519308105198239</v>
      </c>
      <c r="BM151">
        <v>0.81141051149165122</v>
      </c>
      <c r="BN151">
        <v>2.6454364705412622E-2</v>
      </c>
      <c r="BO151">
        <v>1.0450280236995351</v>
      </c>
      <c r="BP151">
        <v>0.4763844957880754</v>
      </c>
    </row>
    <row r="152" spans="1:69" x14ac:dyDescent="0.25">
      <c r="A152" t="s">
        <v>1337</v>
      </c>
      <c r="B152" t="s">
        <v>1338</v>
      </c>
      <c r="C152" t="s">
        <v>1575</v>
      </c>
      <c r="D152" t="s">
        <v>1576</v>
      </c>
    </row>
    <row r="153" spans="1:69" x14ac:dyDescent="0.25">
      <c r="A153" t="s">
        <v>1339</v>
      </c>
      <c r="B153" t="s">
        <v>1340</v>
      </c>
      <c r="C153" t="s">
        <v>1575</v>
      </c>
      <c r="D153" t="s">
        <v>1576</v>
      </c>
      <c r="E153">
        <v>3.42429906542058</v>
      </c>
      <c r="F153">
        <v>1.7631246049345219</v>
      </c>
      <c r="G153">
        <v>5.0967290813814818</v>
      </c>
      <c r="H153">
        <v>5.6997116874522176</v>
      </c>
      <c r="I153">
        <v>4.0215414742121274</v>
      </c>
      <c r="J153">
        <v>3.4828212200169042</v>
      </c>
      <c r="K153">
        <v>-1.0135793646963971</v>
      </c>
      <c r="L153">
        <v>-0.7482769938977154</v>
      </c>
      <c r="M153">
        <v>0.4364790690445246</v>
      </c>
      <c r="N153">
        <v>2.949891354392415</v>
      </c>
      <c r="O153">
        <v>1.2791813237647629</v>
      </c>
      <c r="P153">
        <v>4.1553520683533014</v>
      </c>
      <c r="Q153">
        <v>3.7591705572226348</v>
      </c>
      <c r="R153">
        <v>4.0846140361297252</v>
      </c>
      <c r="S153">
        <v>17.55682274524543</v>
      </c>
      <c r="T153">
        <v>7.9182892670274088</v>
      </c>
      <c r="U153">
        <v>8.5021524434930331</v>
      </c>
      <c r="V153">
        <v>12.597000992006929</v>
      </c>
      <c r="W153">
        <v>9.7160327495434036</v>
      </c>
      <c r="X153">
        <v>8.3313654181546184</v>
      </c>
      <c r="Y153">
        <v>9.4083794743795597</v>
      </c>
      <c r="Z153">
        <v>12.492528392100059</v>
      </c>
      <c r="AA153">
        <v>10.52780729729832</v>
      </c>
      <c r="AB153">
        <v>6.2079353887031337</v>
      </c>
      <c r="AC153">
        <v>12.447569329185329</v>
      </c>
      <c r="AD153">
        <v>7.7286389008592016</v>
      </c>
      <c r="AE153">
        <v>8.7335591870667457</v>
      </c>
      <c r="AF153">
        <v>2.6987399771376732</v>
      </c>
      <c r="AG153">
        <v>2.3690550548764109</v>
      </c>
      <c r="AH153">
        <v>3.2599694922639042</v>
      </c>
      <c r="AI153">
        <v>6.7825940151100603</v>
      </c>
      <c r="AJ153">
        <v>7.9861660079051191</v>
      </c>
      <c r="AK153">
        <v>5.7402466286873999</v>
      </c>
      <c r="AL153">
        <v>5.183113960308015</v>
      </c>
      <c r="AM153">
        <v>5.1416715295336148</v>
      </c>
      <c r="AN153">
        <v>6.1235816477552323</v>
      </c>
      <c r="AO153">
        <v>2.9868092277301672</v>
      </c>
      <c r="AP153">
        <v>1.038198950516136</v>
      </c>
      <c r="AQ153">
        <v>2.7531133076447709</v>
      </c>
      <c r="AR153">
        <v>0.68478260869564278</v>
      </c>
      <c r="AS153">
        <v>1.894634567634643</v>
      </c>
      <c r="AT153">
        <v>0.61980187529797515</v>
      </c>
      <c r="AU153">
        <v>2.7956196693693629</v>
      </c>
      <c r="AV153">
        <v>1.1677336747759239</v>
      </c>
      <c r="AW153">
        <v>1.4934440338177439</v>
      </c>
      <c r="AX153">
        <v>0.98264166001595055</v>
      </c>
      <c r="AY153">
        <v>3.284761669548109</v>
      </c>
      <c r="AZ153">
        <v>2.0420851267334421</v>
      </c>
      <c r="BA153">
        <v>3.714843114940642</v>
      </c>
      <c r="BB153">
        <v>0.97186299866763626</v>
      </c>
      <c r="BC153">
        <v>0.99355740122639224</v>
      </c>
      <c r="BD153">
        <v>0.90692490969179995</v>
      </c>
      <c r="BE153">
        <v>1.287122400792192</v>
      </c>
      <c r="BF153">
        <v>1.8806546672408591</v>
      </c>
      <c r="BG153">
        <v>0.44231005355704789</v>
      </c>
      <c r="BH153">
        <v>1.5579071134626019</v>
      </c>
      <c r="BI153">
        <v>1.6353111432706431</v>
      </c>
      <c r="BJ153">
        <v>0.7546632493236185</v>
      </c>
      <c r="BK153">
        <v>1.8039167114189589</v>
      </c>
      <c r="BL153">
        <v>0.30338603659038332</v>
      </c>
      <c r="BM153">
        <v>0.70596866133826075</v>
      </c>
      <c r="BN153">
        <v>1.4019588396200591</v>
      </c>
      <c r="BO153">
        <v>6.657042027590669</v>
      </c>
      <c r="BP153">
        <v>6.091141525041408</v>
      </c>
      <c r="BQ153">
        <v>0.98525659200450688</v>
      </c>
    </row>
    <row r="154" spans="1:69" x14ac:dyDescent="0.25">
      <c r="A154" t="s">
        <v>1341</v>
      </c>
      <c r="B154" t="s">
        <v>1342</v>
      </c>
      <c r="C154" t="s">
        <v>1575</v>
      </c>
      <c r="D154" t="s">
        <v>1576</v>
      </c>
    </row>
    <row r="155" spans="1:69" x14ac:dyDescent="0.25">
      <c r="A155" t="s">
        <v>1343</v>
      </c>
      <c r="B155" t="s">
        <v>1344</v>
      </c>
      <c r="C155" t="s">
        <v>1575</v>
      </c>
      <c r="D155" t="s">
        <v>1576</v>
      </c>
      <c r="AK155">
        <v>1026.8262642470179</v>
      </c>
      <c r="AL155">
        <v>1613.603988761939</v>
      </c>
      <c r="AM155">
        <v>486.4256237958906</v>
      </c>
      <c r="AN155">
        <v>29.865610409571861</v>
      </c>
      <c r="AO155">
        <v>23.50567729633676</v>
      </c>
      <c r="AP155">
        <v>11.77283244944678</v>
      </c>
      <c r="AQ155">
        <v>7.6957651751720304</v>
      </c>
      <c r="AR155">
        <v>39.255980689174713</v>
      </c>
      <c r="AS155">
        <v>31.299301581778408</v>
      </c>
      <c r="AT155">
        <v>9.7646628575764325</v>
      </c>
      <c r="AU155">
        <v>5.3012439026158802</v>
      </c>
      <c r="AV155">
        <v>11.74607920582322</v>
      </c>
      <c r="AW155">
        <v>12.5242768428228</v>
      </c>
      <c r="AX155">
        <v>11.9591837222126</v>
      </c>
      <c r="AY155">
        <v>12.77775578303504</v>
      </c>
      <c r="AZ155">
        <v>12.367166841430089</v>
      </c>
      <c r="BA155">
        <v>12.783047261882031</v>
      </c>
      <c r="BB155">
        <v>-6.2718596710943611E-2</v>
      </c>
      <c r="BC155">
        <v>7.4838508635085086</v>
      </c>
      <c r="BD155">
        <v>7.6872510335618109</v>
      </c>
      <c r="BE155">
        <v>4.546334273553021</v>
      </c>
      <c r="BF155">
        <v>4.5978789736313592</v>
      </c>
      <c r="BG155">
        <v>5.0887855462586939</v>
      </c>
      <c r="BH155">
        <v>9.6762403310186702</v>
      </c>
      <c r="BI155">
        <v>6.3593089803793088</v>
      </c>
      <c r="BJ155">
        <v>6.5702299745559714</v>
      </c>
      <c r="BK155">
        <v>3.0450539733707069</v>
      </c>
      <c r="BL155">
        <v>4.8377835142873433</v>
      </c>
      <c r="BM155">
        <v>3.7659712224535098</v>
      </c>
      <c r="BN155">
        <v>5.106411290028408</v>
      </c>
      <c r="BO155">
        <v>28.737297676623459</v>
      </c>
      <c r="BP155">
        <v>13.417010438129941</v>
      </c>
      <c r="BQ155">
        <v>4.6777351600705153</v>
      </c>
    </row>
    <row r="156" spans="1:69" x14ac:dyDescent="0.25">
      <c r="A156" t="s">
        <v>1345</v>
      </c>
      <c r="B156" t="s">
        <v>1346</v>
      </c>
      <c r="C156" t="s">
        <v>1575</v>
      </c>
      <c r="D156" t="s">
        <v>1576</v>
      </c>
      <c r="J156">
        <v>4.2018603658944151</v>
      </c>
      <c r="K156">
        <v>3.211573978975542</v>
      </c>
      <c r="L156">
        <v>0.81519037668078675</v>
      </c>
      <c r="M156">
        <v>0.95651316448554347</v>
      </c>
      <c r="N156">
        <v>3.828872826836593</v>
      </c>
      <c r="O156">
        <v>2.878645343187932</v>
      </c>
      <c r="P156">
        <v>5.3858814924349456</v>
      </c>
      <c r="Q156">
        <v>5.6225596527747967</v>
      </c>
      <c r="R156">
        <v>6.1201018646477969</v>
      </c>
      <c r="S156">
        <v>22.100944418778031</v>
      </c>
      <c r="T156">
        <v>8.1912128321592874</v>
      </c>
      <c r="U156">
        <v>4.9868151186257093</v>
      </c>
      <c r="V156">
        <v>3.1089528912842632</v>
      </c>
      <c r="W156">
        <v>6.528446922617972</v>
      </c>
      <c r="X156">
        <v>14.05559225555157</v>
      </c>
      <c r="Y156">
        <v>18.217865894675569</v>
      </c>
      <c r="Z156">
        <v>30.5381774327711</v>
      </c>
      <c r="AA156">
        <v>31.78970465105354</v>
      </c>
      <c r="AB156">
        <v>19.328338591095001</v>
      </c>
      <c r="AC156">
        <v>9.8566209543388865</v>
      </c>
      <c r="AD156">
        <v>10.55648395736188</v>
      </c>
      <c r="AE156">
        <v>14.4973321039129</v>
      </c>
      <c r="AF156">
        <v>14.99313513225024</v>
      </c>
      <c r="AG156">
        <v>26.85379714138119</v>
      </c>
      <c r="AH156">
        <v>9.0129959455550086</v>
      </c>
      <c r="AI156">
        <v>11.784483832135679</v>
      </c>
      <c r="AJ156">
        <v>8.5926476049019218</v>
      </c>
      <c r="AK156">
        <v>14.512378607577149</v>
      </c>
      <c r="AL156">
        <v>10.008361204014021</v>
      </c>
      <c r="AM156">
        <v>38.941790898923948</v>
      </c>
      <c r="AN156">
        <v>49.080210059078397</v>
      </c>
      <c r="AO156">
        <v>19.756354543977601</v>
      </c>
      <c r="AP156">
        <v>4.4863826173739882</v>
      </c>
      <c r="AQ156">
        <v>6.208016086633199</v>
      </c>
      <c r="AR156">
        <v>9.9295339934878069</v>
      </c>
      <c r="AS156">
        <v>11.85968450002796</v>
      </c>
      <c r="AT156">
        <v>7.9169448452958591</v>
      </c>
      <c r="AU156">
        <v>16.49852553158463</v>
      </c>
      <c r="AV156">
        <v>-1.704004796162977</v>
      </c>
      <c r="AW156">
        <v>13.95580180332114</v>
      </c>
      <c r="AX156">
        <v>18.36382464689321</v>
      </c>
      <c r="AY156">
        <v>10.76563715548655</v>
      </c>
      <c r="AZ156">
        <v>10.28796631876714</v>
      </c>
      <c r="BA156">
        <v>9.2965083938105693</v>
      </c>
      <c r="BB156">
        <v>8.9542180239294922</v>
      </c>
      <c r="BC156">
        <v>9.2473217364411617</v>
      </c>
      <c r="BD156">
        <v>9.4825404858299223</v>
      </c>
      <c r="BE156">
        <v>5.7138443419105327</v>
      </c>
      <c r="BF156">
        <v>5.8264294445198033</v>
      </c>
      <c r="BG156">
        <v>6.0804081108830212</v>
      </c>
      <c r="BH156">
        <v>7.4041917420212924</v>
      </c>
      <c r="BI156">
        <v>6.035758581546788</v>
      </c>
      <c r="BJ156">
        <v>8.6090507542294947</v>
      </c>
      <c r="BK156">
        <v>8.5942295887047564</v>
      </c>
      <c r="BL156">
        <v>5.6105144149236468</v>
      </c>
      <c r="BM156">
        <v>4.201793121905574</v>
      </c>
      <c r="BN156">
        <v>5.8122511878771501</v>
      </c>
      <c r="BO156">
        <v>8.1605903199184393</v>
      </c>
      <c r="BP156">
        <v>9.8743267504488834</v>
      </c>
    </row>
    <row r="157" spans="1:69" x14ac:dyDescent="0.25">
      <c r="A157" t="s">
        <v>1347</v>
      </c>
      <c r="B157" t="s">
        <v>1348</v>
      </c>
      <c r="C157" t="s">
        <v>1575</v>
      </c>
      <c r="D157" t="s">
        <v>1576</v>
      </c>
      <c r="AE157">
        <v>9.7221932767856263</v>
      </c>
      <c r="AF157">
        <v>9.7040723294332007</v>
      </c>
      <c r="AG157">
        <v>6.4563602680194139</v>
      </c>
      <c r="AH157">
        <v>7.165858894707771</v>
      </c>
      <c r="AI157">
        <v>3.6499119771747668</v>
      </c>
      <c r="AJ157">
        <v>14.71367702827348</v>
      </c>
      <c r="AK157">
        <v>16.855997753554831</v>
      </c>
      <c r="AL157">
        <v>20.127359314924831</v>
      </c>
      <c r="AM157">
        <v>3.3861009829149258</v>
      </c>
      <c r="AN157">
        <v>5.488861331715043</v>
      </c>
      <c r="AO157">
        <v>6.2412459147602553</v>
      </c>
      <c r="AP157">
        <v>7.572834670725924</v>
      </c>
      <c r="AQ157">
        <v>-1.4042523381679231</v>
      </c>
      <c r="AR157">
        <v>2.9537083606912868</v>
      </c>
      <c r="AS157">
        <v>-1.1747568117594589</v>
      </c>
      <c r="AT157">
        <v>0.6725773700624702</v>
      </c>
      <c r="AU157">
        <v>4.1786723990478967</v>
      </c>
      <c r="AV157">
        <v>-1.2606511345035429</v>
      </c>
      <c r="AW157">
        <v>-1.6854121245946621</v>
      </c>
      <c r="AX157">
        <v>1.3002750093099711</v>
      </c>
      <c r="AY157">
        <v>2.738421316020986</v>
      </c>
      <c r="AZ157">
        <v>6.7947735393016799</v>
      </c>
      <c r="BA157">
        <v>12.04145835051081</v>
      </c>
      <c r="BB157">
        <v>4.5301765913280052</v>
      </c>
      <c r="BC157">
        <v>6.1498853675017342</v>
      </c>
      <c r="BD157">
        <v>11.2734146055937</v>
      </c>
      <c r="BE157">
        <v>10.884695658563031</v>
      </c>
      <c r="BF157">
        <v>3.8056300091942981</v>
      </c>
      <c r="BG157">
        <v>2.120001757181345</v>
      </c>
      <c r="BH157">
        <v>0.95320665877760669</v>
      </c>
      <c r="BI157">
        <v>0.50250941361161217</v>
      </c>
      <c r="BJ157">
        <v>2.817473382345089</v>
      </c>
      <c r="BK157">
        <v>-0.13337338611759469</v>
      </c>
      <c r="BL157">
        <v>0.2200297310653834</v>
      </c>
      <c r="BM157">
        <v>-1.3697742556981081</v>
      </c>
      <c r="BN157">
        <v>0.54314968873701275</v>
      </c>
      <c r="BO157">
        <v>2.3331433762456748</v>
      </c>
      <c r="BP157">
        <v>2.9274654242503511</v>
      </c>
      <c r="BQ157">
        <v>1.399797796749283</v>
      </c>
    </row>
    <row r="158" spans="1:69" x14ac:dyDescent="0.25">
      <c r="A158" t="s">
        <v>1349</v>
      </c>
      <c r="B158" t="s">
        <v>1350</v>
      </c>
      <c r="C158" t="s">
        <v>1575</v>
      </c>
      <c r="D158" t="s">
        <v>1576</v>
      </c>
      <c r="O158">
        <v>3.7628985958053649</v>
      </c>
      <c r="P158">
        <v>4.195298372654225</v>
      </c>
      <c r="Q158">
        <v>4.331179707834969</v>
      </c>
      <c r="R158">
        <v>9.0430766995938399</v>
      </c>
      <c r="S158">
        <v>14.88860864426179</v>
      </c>
      <c r="T158">
        <v>10.56733181718937</v>
      </c>
      <c r="U158">
        <v>10.78677919697625</v>
      </c>
      <c r="V158">
        <v>11.9775476439583</v>
      </c>
      <c r="W158">
        <v>9.2028889361459019</v>
      </c>
      <c r="X158">
        <v>8.2670469761757186</v>
      </c>
      <c r="Y158">
        <v>11.111111111111329</v>
      </c>
      <c r="Z158">
        <v>11.344596808397529</v>
      </c>
      <c r="AA158">
        <v>7.7767984269085284</v>
      </c>
      <c r="AB158">
        <v>5.9671639303272022</v>
      </c>
      <c r="AC158">
        <v>7.1017823454540832</v>
      </c>
      <c r="AD158">
        <v>5.0020900876738272</v>
      </c>
      <c r="AE158">
        <v>6.1643835616437057</v>
      </c>
      <c r="AF158">
        <v>4.2224166624075146</v>
      </c>
      <c r="AG158">
        <v>6.0869565217390882</v>
      </c>
      <c r="AH158">
        <v>7.7408860396133603</v>
      </c>
      <c r="AI158">
        <v>8.4514624080388163</v>
      </c>
      <c r="AJ158">
        <v>9.058188362327579</v>
      </c>
      <c r="AK158">
        <v>9.3597515895313528</v>
      </c>
      <c r="AL158">
        <v>9.9736647602920918</v>
      </c>
      <c r="AM158">
        <v>5.1416715295336148</v>
      </c>
      <c r="AN158">
        <v>7.2379849449912896</v>
      </c>
      <c r="AO158">
        <v>4.9045346062053241</v>
      </c>
      <c r="AP158">
        <v>3.6011610326094581</v>
      </c>
      <c r="AQ158">
        <v>3.4173194897580088</v>
      </c>
      <c r="AR158">
        <v>2.669373690536994</v>
      </c>
      <c r="AS158">
        <v>1.8537903532527671</v>
      </c>
      <c r="AT158">
        <v>1.7594283116822551</v>
      </c>
      <c r="AU158">
        <v>2.0107421853129912</v>
      </c>
      <c r="AV158">
        <v>2.1232661950850669</v>
      </c>
      <c r="AW158">
        <v>3.242065130879773</v>
      </c>
      <c r="AX158">
        <v>3.4936853461953081</v>
      </c>
      <c r="AY158">
        <v>3.5449859160503312</v>
      </c>
      <c r="AZ158">
        <v>4.7439063902164751</v>
      </c>
      <c r="BA158">
        <v>12.104520467234551</v>
      </c>
      <c r="BB158">
        <v>2.9208971180536669</v>
      </c>
      <c r="BC158">
        <v>3.7491572759709602</v>
      </c>
      <c r="BD158">
        <v>4.7531638888563004</v>
      </c>
      <c r="BE158">
        <v>4.5152295667099027</v>
      </c>
      <c r="BF158">
        <v>3.2542391099884749</v>
      </c>
      <c r="BG158">
        <v>2.6475532124618888</v>
      </c>
      <c r="BH158">
        <v>1.6859921764201029</v>
      </c>
      <c r="BI158">
        <v>2.7075018941847251</v>
      </c>
      <c r="BJ158">
        <v>2.0693292816442379</v>
      </c>
      <c r="BK158">
        <v>1.94579304594437</v>
      </c>
      <c r="BL158">
        <v>1.3360156814765549</v>
      </c>
      <c r="BM158">
        <v>1.4470365699874099</v>
      </c>
      <c r="BN158">
        <v>2.868330277510192</v>
      </c>
      <c r="BO158">
        <v>5.1798084796706103</v>
      </c>
      <c r="BP158">
        <v>4.2252260316891768</v>
      </c>
      <c r="BQ158">
        <v>2.0765538795419931</v>
      </c>
    </row>
    <row r="159" spans="1:69" x14ac:dyDescent="0.25">
      <c r="A159" t="s">
        <v>1351</v>
      </c>
      <c r="B159" t="s">
        <v>1352</v>
      </c>
      <c r="C159" t="s">
        <v>1575</v>
      </c>
      <c r="D159" t="s">
        <v>1576</v>
      </c>
      <c r="E159">
        <v>4.9275188690311618</v>
      </c>
      <c r="F159">
        <v>1.6087596908193</v>
      </c>
      <c r="G159">
        <v>1.1989841781508159</v>
      </c>
      <c r="H159">
        <v>0.59405500846196535</v>
      </c>
      <c r="I159">
        <v>2.3379031723436179</v>
      </c>
      <c r="J159">
        <v>3.5680386574293639</v>
      </c>
      <c r="K159">
        <v>4.215788377384353</v>
      </c>
      <c r="L159">
        <v>3.0169484750214761</v>
      </c>
      <c r="M159">
        <v>2.333950934670264</v>
      </c>
      <c r="N159">
        <v>3.3670033671167761</v>
      </c>
      <c r="O159">
        <v>5.0034120548343113</v>
      </c>
      <c r="P159">
        <v>5.4690289937683829</v>
      </c>
      <c r="Q159">
        <v>4.9436923637787507</v>
      </c>
      <c r="R159">
        <v>12.081939461293819</v>
      </c>
      <c r="S159">
        <v>23.784015442578699</v>
      </c>
      <c r="T159">
        <v>14.94453464092671</v>
      </c>
      <c r="U159">
        <v>15.82472248934705</v>
      </c>
      <c r="V159">
        <v>29.0641247103461</v>
      </c>
      <c r="W159">
        <v>17.457292567826482</v>
      </c>
      <c r="X159">
        <v>18.191246298764309</v>
      </c>
      <c r="Y159">
        <v>26.35165135628344</v>
      </c>
      <c r="Z159">
        <v>27.933762598239898</v>
      </c>
      <c r="AA159">
        <v>58.913419853104841</v>
      </c>
      <c r="AB159">
        <v>101.87493843599189</v>
      </c>
      <c r="AC159">
        <v>65.448807127760176</v>
      </c>
      <c r="AD159">
        <v>57.748448400870217</v>
      </c>
      <c r="AE159">
        <v>86.233316992353835</v>
      </c>
      <c r="AF159">
        <v>131.82738392308951</v>
      </c>
      <c r="AG159">
        <v>114.1622585490656</v>
      </c>
      <c r="AH159">
        <v>20.007876713997781</v>
      </c>
      <c r="AI159">
        <v>26.65167256467706</v>
      </c>
      <c r="AJ159">
        <v>22.66235945506099</v>
      </c>
      <c r="AK159">
        <v>15.507896253357289</v>
      </c>
      <c r="AL159">
        <v>9.7514604535755254</v>
      </c>
      <c r="AM159">
        <v>6.965812371911233</v>
      </c>
      <c r="AN159">
        <v>34.999271288959221</v>
      </c>
      <c r="AO159">
        <v>34.378383223516757</v>
      </c>
      <c r="AP159">
        <v>20.62562872592471</v>
      </c>
      <c r="AQ159">
        <v>15.928395011935329</v>
      </c>
      <c r="AR159">
        <v>16.585616970753811</v>
      </c>
      <c r="AS159">
        <v>9.4915614943540252</v>
      </c>
      <c r="AT159">
        <v>6.3677380623503703</v>
      </c>
      <c r="AU159">
        <v>5.0307273315129528</v>
      </c>
      <c r="AV159">
        <v>4.5469001211871838</v>
      </c>
      <c r="AW159">
        <v>4.6884088484314272</v>
      </c>
      <c r="AX159">
        <v>3.9880571459743739</v>
      </c>
      <c r="AY159">
        <v>3.6294676243913209</v>
      </c>
      <c r="AZ159">
        <v>3.9668490545823532</v>
      </c>
      <c r="BA159">
        <v>5.1249827457589641</v>
      </c>
      <c r="BB159">
        <v>5.2973558422885576</v>
      </c>
      <c r="BC159">
        <v>4.1567272268017366</v>
      </c>
      <c r="BD159">
        <v>3.4073782460574211</v>
      </c>
      <c r="BE159">
        <v>4.111509810702894</v>
      </c>
      <c r="BF159">
        <v>3.8063906974720441</v>
      </c>
      <c r="BG159">
        <v>4.0186160807867868</v>
      </c>
      <c r="BH159">
        <v>2.7206406496402291</v>
      </c>
      <c r="BI159">
        <v>2.821707847476604</v>
      </c>
      <c r="BJ159">
        <v>6.0414572401898559</v>
      </c>
      <c r="BK159">
        <v>4.8993501535655071</v>
      </c>
      <c r="BL159">
        <v>3.6359614212704621</v>
      </c>
      <c r="BM159">
        <v>3.396834155700065</v>
      </c>
      <c r="BN159">
        <v>5.6892084768375328</v>
      </c>
      <c r="BO159">
        <v>7.8962761916854971</v>
      </c>
      <c r="BP159">
        <v>5.5279608731438881</v>
      </c>
      <c r="BQ159">
        <v>4.7222558845293161</v>
      </c>
    </row>
    <row r="160" spans="1:69" x14ac:dyDescent="0.25">
      <c r="A160" t="s">
        <v>1353</v>
      </c>
      <c r="B160" t="s">
        <v>1354</v>
      </c>
      <c r="C160" t="s">
        <v>1575</v>
      </c>
      <c r="D160" t="s">
        <v>1576</v>
      </c>
    </row>
    <row r="161" spans="1:69" x14ac:dyDescent="0.25">
      <c r="A161" t="s">
        <v>1355</v>
      </c>
      <c r="B161" t="s">
        <v>1356</v>
      </c>
      <c r="C161" t="s">
        <v>1575</v>
      </c>
      <c r="D161" t="s">
        <v>1576</v>
      </c>
      <c r="V161">
        <v>11.340585637103739</v>
      </c>
      <c r="W161">
        <v>9.0439882701036165</v>
      </c>
      <c r="Y161">
        <v>16.513988653981752</v>
      </c>
      <c r="Z161">
        <v>12.857207792164211</v>
      </c>
      <c r="AA161">
        <v>10.24026799665878</v>
      </c>
      <c r="AB161">
        <v>10.638570189401481</v>
      </c>
      <c r="AC161">
        <v>10.3695687181396</v>
      </c>
      <c r="AD161">
        <v>8.3014750718376789</v>
      </c>
      <c r="AE161">
        <v>9.0295105435716323</v>
      </c>
      <c r="AF161">
        <v>8.2258064516129004</v>
      </c>
      <c r="AG161">
        <v>8.9104702001338101</v>
      </c>
      <c r="AH161">
        <v>9.3043612584316566</v>
      </c>
      <c r="AI161">
        <v>10.65350578624912</v>
      </c>
      <c r="AJ161">
        <v>13.006973103742769</v>
      </c>
      <c r="AK161">
        <v>10.051017371646481</v>
      </c>
      <c r="AL161">
        <v>10.633242581830761</v>
      </c>
      <c r="AM161">
        <v>13.25603259166383</v>
      </c>
      <c r="AN161">
        <v>10.40517893814981</v>
      </c>
      <c r="AO161">
        <v>9.0988094810171916</v>
      </c>
      <c r="AP161">
        <v>7.1064724273089146</v>
      </c>
      <c r="AQ161">
        <v>7.4697135003802178</v>
      </c>
      <c r="AR161">
        <v>4.8584474990266662</v>
      </c>
      <c r="AS161">
        <v>4.1823463395654459</v>
      </c>
      <c r="AT161">
        <v>5.1988852574404838</v>
      </c>
      <c r="AU161">
        <v>4.2402666068864523</v>
      </c>
      <c r="AV161">
        <v>4.6342267436202924</v>
      </c>
      <c r="AW161">
        <v>4.6113112948641763</v>
      </c>
      <c r="AX161">
        <v>5.0345700926716308</v>
      </c>
      <c r="AY161">
        <v>5.552123331625423</v>
      </c>
      <c r="AZ161">
        <v>6.1606893502871767</v>
      </c>
      <c r="BA161">
        <v>10.110513236743589</v>
      </c>
      <c r="BB161">
        <v>3.687001604987965</v>
      </c>
      <c r="BC161">
        <v>4.1121113931521851</v>
      </c>
      <c r="BD161">
        <v>5.9544412583777557</v>
      </c>
      <c r="BE161">
        <v>4.546334273553021</v>
      </c>
      <c r="BF161">
        <v>4.3433713127952061</v>
      </c>
      <c r="BG161">
        <v>3.534368561473237</v>
      </c>
      <c r="BH161">
        <v>3.1290027447392541</v>
      </c>
      <c r="BI161">
        <v>2.7246122329528859</v>
      </c>
      <c r="BJ161">
        <v>3.3378758610956849</v>
      </c>
      <c r="BK161">
        <v>3.3510220895214942</v>
      </c>
      <c r="BL161">
        <v>2.7417638247580358</v>
      </c>
      <c r="BM161">
        <v>2.7324920941942721</v>
      </c>
      <c r="BN161">
        <v>4.1267674444069504</v>
      </c>
      <c r="BO161">
        <v>8.3064612444762336</v>
      </c>
      <c r="BP161">
        <v>6.1059011284827998</v>
      </c>
      <c r="BQ161">
        <v>3.6045220384795971</v>
      </c>
    </row>
    <row r="162" spans="1:69" x14ac:dyDescent="0.25">
      <c r="A162" t="s">
        <v>1357</v>
      </c>
      <c r="B162" t="s">
        <v>1358</v>
      </c>
      <c r="C162" t="s">
        <v>1575</v>
      </c>
      <c r="D162" t="s">
        <v>1576</v>
      </c>
      <c r="AM162">
        <v>126.5833683362451</v>
      </c>
      <c r="AN162">
        <v>16.373588972356849</v>
      </c>
      <c r="AO162">
        <v>2.4666000858291741</v>
      </c>
      <c r="AP162">
        <v>1.294364871550449</v>
      </c>
      <c r="AQ162">
        <v>0.5441996525230739</v>
      </c>
      <c r="AR162">
        <v>-1.279286575726263</v>
      </c>
      <c r="AS162">
        <v>6.6074229103853597</v>
      </c>
      <c r="AT162">
        <v>5.1988852574404838</v>
      </c>
      <c r="AU162">
        <v>2.3145979408321851</v>
      </c>
      <c r="AV162">
        <v>0.85556212272423071</v>
      </c>
      <c r="AW162">
        <v>-0.44865020655203808</v>
      </c>
      <c r="AX162">
        <v>0.52551595071428214</v>
      </c>
      <c r="AY162">
        <v>3.2136292960634631</v>
      </c>
      <c r="AZ162">
        <v>2.2517579830545689</v>
      </c>
      <c r="BA162">
        <v>8.3318966696809493</v>
      </c>
      <c r="BB162">
        <v>-0.73963396306115292</v>
      </c>
      <c r="BC162">
        <v>1.509975220276214</v>
      </c>
      <c r="BD162">
        <v>3.9047542206973</v>
      </c>
      <c r="BE162">
        <v>3.3160556668764691</v>
      </c>
      <c r="BF162">
        <v>2.7850005672611839</v>
      </c>
      <c r="BG162">
        <v>-0.28170503292849403</v>
      </c>
      <c r="BH162">
        <v>-0.29992047563155239</v>
      </c>
      <c r="BI162">
        <v>-0.23929078768441001</v>
      </c>
      <c r="BJ162">
        <v>1.3516188967744209</v>
      </c>
      <c r="BK162">
        <v>1.4583129850711729</v>
      </c>
      <c r="BL162">
        <v>0.76643957345971647</v>
      </c>
      <c r="BM162">
        <v>1.2000734888848661</v>
      </c>
      <c r="BN162">
        <v>3.230749121329191</v>
      </c>
      <c r="BO162">
        <v>14.20471731958329</v>
      </c>
      <c r="BP162">
        <v>9.3618724976901557</v>
      </c>
      <c r="BQ162">
        <v>3.4897408602694719</v>
      </c>
    </row>
    <row r="163" spans="1:69" x14ac:dyDescent="0.25">
      <c r="A163" t="s">
        <v>1359</v>
      </c>
      <c r="B163" t="s">
        <v>1360</v>
      </c>
      <c r="C163" t="s">
        <v>1575</v>
      </c>
      <c r="D163" t="s">
        <v>1576</v>
      </c>
      <c r="AH163">
        <v>-7.6692997928884052E-2</v>
      </c>
      <c r="AI163">
        <v>0.60633970373752255</v>
      </c>
      <c r="AJ163">
        <v>1.800427220018578</v>
      </c>
      <c r="AK163">
        <v>-6.2425059952042528</v>
      </c>
      <c r="AL163">
        <v>-0.26376788426180431</v>
      </c>
      <c r="AM163">
        <v>23.176791152428489</v>
      </c>
      <c r="AN163">
        <v>13.441769681197391</v>
      </c>
      <c r="AO163">
        <v>6.8054599678823324</v>
      </c>
      <c r="AP163">
        <v>-0.36299979594669463</v>
      </c>
      <c r="AQ163">
        <v>4.0365894595498633</v>
      </c>
      <c r="AR163">
        <v>-1.2019036863750161</v>
      </c>
      <c r="AS163">
        <v>-0.67766165904676945</v>
      </c>
      <c r="AT163">
        <v>5.1870119194406783</v>
      </c>
      <c r="AU163">
        <v>5.0328227571119353</v>
      </c>
      <c r="AV163">
        <v>-1.346726190476212</v>
      </c>
      <c r="AW163">
        <v>-3.099781280639569</v>
      </c>
      <c r="AX163">
        <v>6.3978829389788254</v>
      </c>
      <c r="AY163">
        <v>1.5435259692758241</v>
      </c>
      <c r="AZ163">
        <v>1.4120020171457679</v>
      </c>
      <c r="BA163">
        <v>9.170988136676776</v>
      </c>
      <c r="BB163">
        <v>2.463751885722989</v>
      </c>
      <c r="BC163">
        <v>1.108926906701861</v>
      </c>
      <c r="BD163">
        <v>2.9556439522939209</v>
      </c>
      <c r="BE163">
        <v>5.3231284706405768</v>
      </c>
      <c r="BF163">
        <v>-0.60673635635156298</v>
      </c>
      <c r="BG163">
        <v>0.88381454713784136</v>
      </c>
      <c r="BH163">
        <v>1.4506905760596081</v>
      </c>
      <c r="BI163">
        <v>-1.7996470708338581</v>
      </c>
      <c r="BJ163">
        <v>1.75985742927165</v>
      </c>
      <c r="BK163">
        <v>0.299546507387843</v>
      </c>
      <c r="BL163">
        <v>-1.658266948463649</v>
      </c>
      <c r="BM163">
        <v>0.43808894032066892</v>
      </c>
      <c r="BN163">
        <v>3.9256028310427671</v>
      </c>
      <c r="BO163">
        <v>9.621476084890638</v>
      </c>
      <c r="BP163">
        <v>2.058802282742227</v>
      </c>
      <c r="BQ163">
        <v>3.206398640996599</v>
      </c>
    </row>
    <row r="164" spans="1:69" x14ac:dyDescent="0.25">
      <c r="A164" t="s">
        <v>1361</v>
      </c>
      <c r="B164" t="s">
        <v>1362</v>
      </c>
      <c r="C164" t="s">
        <v>1575</v>
      </c>
      <c r="D164" t="s">
        <v>1576</v>
      </c>
      <c r="E164">
        <v>3.384615384615528</v>
      </c>
      <c r="F164">
        <v>2.5113215310069461</v>
      </c>
      <c r="G164">
        <v>0.16867469895763451</v>
      </c>
      <c r="H164">
        <v>1.8763531392126529</v>
      </c>
      <c r="I164">
        <v>2.18024399859687</v>
      </c>
      <c r="J164">
        <v>1.602218456101318</v>
      </c>
      <c r="K164">
        <v>0.5231235786995303</v>
      </c>
      <c r="L164">
        <v>0.69386831571304797</v>
      </c>
      <c r="M164">
        <v>2.0373005768227599</v>
      </c>
      <c r="N164">
        <v>2.334287601862175</v>
      </c>
      <c r="O164">
        <v>3.7156588480926271</v>
      </c>
      <c r="P164">
        <v>2.323812158388086</v>
      </c>
      <c r="Q164">
        <v>3.3727610678115512</v>
      </c>
      <c r="R164">
        <v>7.6892899178614851</v>
      </c>
      <c r="S164">
        <v>7.2556162720400748</v>
      </c>
      <c r="T164">
        <v>8.7916666661669058</v>
      </c>
      <c r="U164">
        <v>0.55151283025858322</v>
      </c>
      <c r="V164">
        <v>10.04037480023641</v>
      </c>
      <c r="W164">
        <v>4.7075112495148721</v>
      </c>
      <c r="X164">
        <v>7.1471074379789288</v>
      </c>
      <c r="Y164">
        <v>15.747254103486</v>
      </c>
      <c r="Z164">
        <v>11.509755837712341</v>
      </c>
      <c r="AA164">
        <v>5.8182339721866532</v>
      </c>
      <c r="AB164">
        <v>-0.88099756031750664</v>
      </c>
      <c r="AC164">
        <v>-0.44250000075007517</v>
      </c>
      <c r="AD164">
        <v>-0.23520745967747361</v>
      </c>
      <c r="AE164">
        <v>2.0278887141476081</v>
      </c>
      <c r="AF164">
        <v>0.43172566942244223</v>
      </c>
      <c r="AG164">
        <v>0.93834438712851476</v>
      </c>
      <c r="AH164">
        <v>0.8476913592262123</v>
      </c>
      <c r="AI164">
        <v>2.9834058606356022</v>
      </c>
      <c r="AJ164">
        <v>2.54219284786975</v>
      </c>
      <c r="AK164">
        <v>1.633212098890449</v>
      </c>
      <c r="AL164">
        <v>4.1448195418048837</v>
      </c>
      <c r="AM164">
        <v>4.1299218163825859</v>
      </c>
      <c r="AN164">
        <v>4.4266455028665419</v>
      </c>
      <c r="AO164">
        <v>2.0540000000000891</v>
      </c>
      <c r="AP164">
        <v>3.1120779195327231</v>
      </c>
      <c r="AQ164">
        <v>2.3852513541766109</v>
      </c>
      <c r="AR164">
        <v>2.134768888063856</v>
      </c>
      <c r="AS164">
        <v>2.369592875318062</v>
      </c>
      <c r="AT164">
        <v>2.9294924432410392</v>
      </c>
      <c r="AU164">
        <v>2.1884904806054868</v>
      </c>
      <c r="AV164">
        <v>1.303837774426015</v>
      </c>
      <c r="AW164">
        <v>2.7908284806775412</v>
      </c>
      <c r="AX164">
        <v>3.007966524503134</v>
      </c>
      <c r="AY164">
        <v>2.7737800648147228</v>
      </c>
      <c r="AZ164">
        <v>1.2492192379762921</v>
      </c>
      <c r="BA164">
        <v>4.2586217189707343</v>
      </c>
      <c r="BB164">
        <v>2.0843274608234261</v>
      </c>
      <c r="BC164">
        <v>1.515635136185318</v>
      </c>
      <c r="BD164">
        <v>2.9629852819288001</v>
      </c>
      <c r="BE164">
        <v>2.3758205776038621</v>
      </c>
      <c r="BF164">
        <v>1.180284363665502</v>
      </c>
      <c r="BG164">
        <v>0.31030647218166452</v>
      </c>
      <c r="BH164">
        <v>1.100548263789292</v>
      </c>
      <c r="BI164">
        <v>0.64270277152730426</v>
      </c>
      <c r="BJ164">
        <v>1.364354481507084</v>
      </c>
      <c r="BK164">
        <v>1.1578236245151701</v>
      </c>
      <c r="BL164">
        <v>1.642060017689402</v>
      </c>
      <c r="BM164">
        <v>0.63854495677671219</v>
      </c>
      <c r="BN164">
        <v>1.4978921793472411</v>
      </c>
      <c r="BO164">
        <v>6.1537562193303694</v>
      </c>
      <c r="BP164">
        <v>5.0939675897888259</v>
      </c>
      <c r="BQ164">
        <v>1.6507946928310879</v>
      </c>
    </row>
    <row r="165" spans="1:69" x14ac:dyDescent="0.25">
      <c r="A165" t="s">
        <v>1363</v>
      </c>
      <c r="B165" t="s">
        <v>1364</v>
      </c>
      <c r="C165" t="s">
        <v>1575</v>
      </c>
      <c r="D165" t="s">
        <v>1576</v>
      </c>
      <c r="E165">
        <v>7.3899371070349078</v>
      </c>
      <c r="F165">
        <v>-0.14641288287210269</v>
      </c>
      <c r="G165">
        <v>-1.6129032272725361</v>
      </c>
      <c r="H165">
        <v>-2.6825633383410339</v>
      </c>
      <c r="I165">
        <v>-0.45941806891995912</v>
      </c>
      <c r="J165">
        <v>17.69230769230747</v>
      </c>
      <c r="K165">
        <v>25.490196078431879</v>
      </c>
      <c r="L165">
        <v>0.83333333229158513</v>
      </c>
      <c r="M165">
        <v>2.3760330578756168</v>
      </c>
      <c r="N165">
        <v>-4.3390514632121544</v>
      </c>
      <c r="O165">
        <v>-4.0084388175527668</v>
      </c>
      <c r="P165">
        <v>2.0879120879118571</v>
      </c>
      <c r="Q165">
        <v>7.6426264800859318</v>
      </c>
      <c r="R165">
        <v>25.19999999925016</v>
      </c>
      <c r="S165">
        <v>25.21166134220385</v>
      </c>
      <c r="T165">
        <v>31.65566293480142</v>
      </c>
      <c r="U165">
        <v>22.384401699229201</v>
      </c>
      <c r="V165">
        <v>-1.156687242528637</v>
      </c>
      <c r="W165">
        <v>-6.0447061257026524</v>
      </c>
      <c r="X165">
        <v>5.6722950288782723</v>
      </c>
      <c r="Y165">
        <v>0.60815308389961364</v>
      </c>
      <c r="Z165">
        <v>0.31844473326591533</v>
      </c>
      <c r="AA165">
        <v>5.3047404053799259</v>
      </c>
      <c r="AB165">
        <v>5.6500833634543843</v>
      </c>
      <c r="AC165">
        <v>4.8463115476905276</v>
      </c>
      <c r="AD165">
        <v>6.8075665576833293</v>
      </c>
      <c r="AE165">
        <v>9.3254619000765171</v>
      </c>
      <c r="AF165">
        <v>24.759999999999941</v>
      </c>
      <c r="AG165">
        <v>16.042802180185561</v>
      </c>
      <c r="AH165">
        <v>27.198526449088789</v>
      </c>
      <c r="AI165">
        <v>17.626775031450379</v>
      </c>
      <c r="AJ165">
        <v>32.272038286641639</v>
      </c>
      <c r="AK165">
        <v>21.913210400791328</v>
      </c>
      <c r="AL165">
        <v>31.83160687276003</v>
      </c>
      <c r="AM165">
        <v>24.098786075701931</v>
      </c>
      <c r="AN165">
        <v>25.194712397284729</v>
      </c>
      <c r="AO165">
        <v>16.27539663773738</v>
      </c>
      <c r="AP165">
        <v>29.697232579152899</v>
      </c>
      <c r="AQ165">
        <v>51.487549750407887</v>
      </c>
      <c r="AR165">
        <v>18.401043374160871</v>
      </c>
      <c r="AS165">
        <v>-0.10916551466856469</v>
      </c>
      <c r="AT165">
        <v>21.101305376922959</v>
      </c>
      <c r="AU165">
        <v>57.074511262170311</v>
      </c>
      <c r="AV165">
        <v>36.589717532392442</v>
      </c>
      <c r="AW165">
        <v>4.5342137412969246</v>
      </c>
      <c r="AX165">
        <v>9.3686181419670387</v>
      </c>
      <c r="AY165">
        <v>19.99648733592144</v>
      </c>
      <c r="AZ165">
        <v>35.02459707176984</v>
      </c>
      <c r="BA165">
        <v>26.79953719340217</v>
      </c>
      <c r="BB165">
        <v>1.47234311385647</v>
      </c>
      <c r="BC165">
        <v>7.7183819587361429</v>
      </c>
      <c r="BD165">
        <v>5.0214601462072999</v>
      </c>
      <c r="BE165">
        <v>1.467583226746787</v>
      </c>
      <c r="BF165">
        <v>5.6430388342550133</v>
      </c>
      <c r="BG165">
        <v>4.9532991848439982</v>
      </c>
      <c r="BH165">
        <v>9.454171895260183</v>
      </c>
      <c r="BI165">
        <v>6.9288252581607557</v>
      </c>
      <c r="BJ165">
        <v>4.5725365531751958</v>
      </c>
      <c r="BK165">
        <v>6.872328656629354</v>
      </c>
      <c r="BL165">
        <v>8.8250669680455811</v>
      </c>
    </row>
    <row r="166" spans="1:69" x14ac:dyDescent="0.25">
      <c r="A166" t="s">
        <v>1365</v>
      </c>
      <c r="B166" t="s">
        <v>1366</v>
      </c>
      <c r="C166" t="s">
        <v>1575</v>
      </c>
      <c r="D166" t="s">
        <v>1576</v>
      </c>
      <c r="O166">
        <v>4.3555952647056362</v>
      </c>
      <c r="P166">
        <v>4.1553520683533014</v>
      </c>
      <c r="Q166">
        <v>3.7591705572226348</v>
      </c>
      <c r="R166">
        <v>7.9708955631859961</v>
      </c>
      <c r="S166">
        <v>14.24893553825674</v>
      </c>
      <c r="T166">
        <v>9.6696954815124485</v>
      </c>
      <c r="U166">
        <v>10.317415887741349</v>
      </c>
      <c r="V166">
        <v>11.989283322105029</v>
      </c>
      <c r="W166">
        <v>9.7160327495434036</v>
      </c>
      <c r="X166">
        <v>9.1178629652329555</v>
      </c>
      <c r="Y166">
        <v>11.938230910708731</v>
      </c>
      <c r="Z166">
        <v>11.879913592528281</v>
      </c>
      <c r="AA166">
        <v>10.2588088556284</v>
      </c>
      <c r="AB166">
        <v>6.2079353887031337</v>
      </c>
      <c r="AC166">
        <v>9.0647590973775287</v>
      </c>
      <c r="AD166">
        <v>7.4915003503377777</v>
      </c>
      <c r="AE166">
        <v>12.371609165129881</v>
      </c>
      <c r="AF166">
        <v>6.0612397295372986</v>
      </c>
      <c r="AG166">
        <v>7.1969696969695507</v>
      </c>
      <c r="AH166">
        <v>9.3043612584316566</v>
      </c>
      <c r="AI166">
        <v>9.0521315527977642</v>
      </c>
      <c r="AJ166">
        <v>11.896095301125071</v>
      </c>
      <c r="AK166">
        <v>11.00917431192646</v>
      </c>
      <c r="AL166">
        <v>12.089792286897721</v>
      </c>
      <c r="AM166">
        <v>12.3681943936948</v>
      </c>
      <c r="AN166">
        <v>12.343578517051331</v>
      </c>
      <c r="AO166">
        <v>7.1871036971999196</v>
      </c>
      <c r="AP166">
        <v>4.1388159977475443</v>
      </c>
      <c r="AQ166">
        <v>4.4113685511030214</v>
      </c>
      <c r="AR166">
        <v>2.884811992249563</v>
      </c>
      <c r="AS166">
        <v>2.7410021389215191</v>
      </c>
      <c r="AT166">
        <v>2.2697572047595558</v>
      </c>
      <c r="AU166">
        <v>2.737238550003342</v>
      </c>
      <c r="AV166">
        <v>4.2689539583950049</v>
      </c>
      <c r="AW166">
        <v>3.961800302571874</v>
      </c>
      <c r="AX166">
        <v>4.4883238379395962</v>
      </c>
      <c r="AY166">
        <v>6.5181606082904917</v>
      </c>
      <c r="AZ166">
        <v>4.8549414678747427</v>
      </c>
      <c r="BA166">
        <v>13.317041914097871</v>
      </c>
      <c r="BB166">
        <v>2.9208971180536669</v>
      </c>
      <c r="BC166">
        <v>3.9500787592388509</v>
      </c>
      <c r="BD166">
        <v>5.0687139477798997</v>
      </c>
      <c r="BE166">
        <v>6.4412128093411702</v>
      </c>
      <c r="BF166">
        <v>4.8246231426953718</v>
      </c>
      <c r="BG166">
        <v>2.9169269206745798</v>
      </c>
      <c r="BH166">
        <v>2.043617643002444</v>
      </c>
      <c r="BI166">
        <v>3.6972592687048071</v>
      </c>
      <c r="BJ166">
        <v>4.6486518442851166</v>
      </c>
      <c r="BK166">
        <v>4.3661506447128247</v>
      </c>
      <c r="BL166">
        <v>2.6538810045360819</v>
      </c>
      <c r="BM166">
        <v>2.415130940834139</v>
      </c>
      <c r="BN166">
        <v>5.2140494051304254</v>
      </c>
      <c r="BO166">
        <v>8.3064612444762336</v>
      </c>
      <c r="BP166">
        <v>6.091141525041408</v>
      </c>
      <c r="BQ166">
        <v>4.0461145531343421</v>
      </c>
    </row>
    <row r="167" spans="1:69" x14ac:dyDescent="0.25">
      <c r="A167" t="s">
        <v>1367</v>
      </c>
      <c r="B167" t="s">
        <v>1368</v>
      </c>
      <c r="C167" t="s">
        <v>1575</v>
      </c>
      <c r="D167" t="s">
        <v>1576</v>
      </c>
      <c r="AY167">
        <v>2.9245125812364781</v>
      </c>
      <c r="AZ167">
        <v>4.3471221565611211</v>
      </c>
      <c r="BA167">
        <v>8.7587276958879841</v>
      </c>
      <c r="BB167">
        <v>3.4667237320779338</v>
      </c>
      <c r="BC167">
        <v>0.65494657014847868</v>
      </c>
      <c r="BD167">
        <v>3.4501431124869</v>
      </c>
      <c r="BE167">
        <v>4.1452472498111872</v>
      </c>
      <c r="BF167">
        <v>2.205892681411779</v>
      </c>
      <c r="BG167">
        <v>-0.71051405171022664</v>
      </c>
      <c r="BH167">
        <v>1.548691582224855</v>
      </c>
      <c r="BI167">
        <v>-0.27138502338517551</v>
      </c>
      <c r="BJ167">
        <v>2.380235990531304</v>
      </c>
      <c r="BK167">
        <v>2.6112237826379969</v>
      </c>
      <c r="BL167">
        <v>0.36156370454076731</v>
      </c>
      <c r="BM167">
        <v>-0.25565569984855119</v>
      </c>
      <c r="BN167">
        <v>2.4108019840316519</v>
      </c>
      <c r="BO167">
        <v>13.04030363470036</v>
      </c>
      <c r="BP167">
        <v>8.5847691045540255</v>
      </c>
      <c r="BQ167">
        <v>3.3367500928228142</v>
      </c>
    </row>
    <row r="168" spans="1:69" x14ac:dyDescent="0.25">
      <c r="A168" t="s">
        <v>1369</v>
      </c>
      <c r="B168" t="s">
        <v>1370</v>
      </c>
      <c r="C168" t="s">
        <v>1575</v>
      </c>
      <c r="D168" t="s">
        <v>1576</v>
      </c>
      <c r="AL168">
        <v>268.15048888278397</v>
      </c>
      <c r="AM168">
        <v>87.580009329808036</v>
      </c>
      <c r="AN168">
        <v>4.3516100957192272E-2</v>
      </c>
      <c r="AO168">
        <v>46.889952153110229</v>
      </c>
      <c r="AP168">
        <v>36.556114894877261</v>
      </c>
      <c r="AQ168">
        <v>9.3570421771654768</v>
      </c>
      <c r="AR168">
        <v>7.5649415030737703</v>
      </c>
      <c r="AS168">
        <v>11.59553875933271</v>
      </c>
      <c r="AT168">
        <v>6.2773602048400612</v>
      </c>
      <c r="AU168">
        <v>0.9170746871842701</v>
      </c>
      <c r="AV168">
        <v>5.1289949942241897</v>
      </c>
      <c r="AW168">
        <v>8.2411544941761914</v>
      </c>
      <c r="AX168">
        <v>12.71656740660532</v>
      </c>
      <c r="AY168">
        <v>5.0951666166315697</v>
      </c>
      <c r="AZ168">
        <v>9.6309630963096406</v>
      </c>
      <c r="BA168">
        <v>27.955665024630559</v>
      </c>
      <c r="BB168">
        <v>7.6195059351941019</v>
      </c>
      <c r="BC168">
        <v>10.04620658816507</v>
      </c>
      <c r="BD168">
        <v>8.4112149532710117</v>
      </c>
      <c r="BE168">
        <v>14.33033483258381</v>
      </c>
      <c r="BF168">
        <v>10.49065675882415</v>
      </c>
      <c r="BG168">
        <v>12.25398081297595</v>
      </c>
      <c r="BH168">
        <v>5.7356828193832721</v>
      </c>
      <c r="BI168">
        <v>0.73327222731439723</v>
      </c>
      <c r="BJ168">
        <v>4.3014310530234212</v>
      </c>
      <c r="BK168">
        <v>6.8242479014552169</v>
      </c>
      <c r="BL168">
        <v>7.3010695355072883</v>
      </c>
      <c r="BM168">
        <v>3.7237230614025978</v>
      </c>
      <c r="BN168">
        <v>7.3589465788815502</v>
      </c>
      <c r="BO168">
        <v>15.15097282008049</v>
      </c>
      <c r="BP168">
        <v>10.34758313143395</v>
      </c>
      <c r="BQ168">
        <v>6.2071330151030306</v>
      </c>
    </row>
    <row r="169" spans="1:69" x14ac:dyDescent="0.25">
      <c r="A169" t="s">
        <v>1371</v>
      </c>
      <c r="B169" t="s">
        <v>1372</v>
      </c>
      <c r="C169" t="s">
        <v>1575</v>
      </c>
      <c r="D169" t="s">
        <v>1576</v>
      </c>
    </row>
    <row r="170" spans="1:69" x14ac:dyDescent="0.25">
      <c r="A170" t="s">
        <v>1373</v>
      </c>
      <c r="B170" t="s">
        <v>1374</v>
      </c>
      <c r="C170" t="s">
        <v>1575</v>
      </c>
      <c r="D170" t="s">
        <v>1576</v>
      </c>
      <c r="AX170">
        <v>6.4275527807008661</v>
      </c>
      <c r="AY170">
        <v>13.245087907099879</v>
      </c>
      <c r="AZ170">
        <v>8.4894867549745534</v>
      </c>
      <c r="BA170">
        <v>14.50280530022677</v>
      </c>
      <c r="BB170">
        <v>3.7886133091462542</v>
      </c>
      <c r="BC170">
        <v>12.42554217351563</v>
      </c>
      <c r="BD170">
        <v>11.1666056127874</v>
      </c>
      <c r="BE170">
        <v>2.6024545695661812</v>
      </c>
      <c r="BF170">
        <v>4.2613525094196341</v>
      </c>
      <c r="BG170">
        <v>2.5597487584429501</v>
      </c>
      <c r="BH170">
        <v>3.5507596735674589</v>
      </c>
      <c r="BI170">
        <v>17.418041819759711</v>
      </c>
      <c r="BJ170">
        <v>15.11320738993842</v>
      </c>
      <c r="BK170">
        <v>3.9113343999072891</v>
      </c>
      <c r="BL170">
        <v>2.8027030792811121</v>
      </c>
      <c r="BM170">
        <v>3.483935674932038</v>
      </c>
      <c r="BN170">
        <v>6.4084765297569177</v>
      </c>
      <c r="BO170">
        <v>10.27940180934209</v>
      </c>
      <c r="BP170">
        <v>7.1269748213185107</v>
      </c>
      <c r="BQ170">
        <v>4.0785683481202186</v>
      </c>
    </row>
    <row r="171" spans="1:69" x14ac:dyDescent="0.25">
      <c r="A171" t="s">
        <v>1375</v>
      </c>
      <c r="B171" t="s">
        <v>1376</v>
      </c>
      <c r="C171" t="s">
        <v>1575</v>
      </c>
      <c r="D171" t="s">
        <v>1576</v>
      </c>
      <c r="AE171">
        <v>7.4333333333331959</v>
      </c>
      <c r="AF171">
        <v>8.152342538008714</v>
      </c>
      <c r="AG171">
        <v>1.319658610054818</v>
      </c>
      <c r="AH171">
        <v>12.93268209810992</v>
      </c>
      <c r="AI171">
        <v>6.600225648740178</v>
      </c>
      <c r="AJ171">
        <v>5.6286666666669882</v>
      </c>
      <c r="AK171">
        <v>10.141817562151029</v>
      </c>
      <c r="AL171">
        <v>9.3703441597146053</v>
      </c>
      <c r="AM171">
        <v>4.1282586129544177</v>
      </c>
      <c r="AN171">
        <v>6.54379068524171</v>
      </c>
      <c r="AO171">
        <v>4.681306239164126</v>
      </c>
      <c r="AP171">
        <v>4.6253469531839402</v>
      </c>
      <c r="AQ171">
        <v>8.0316666549885767</v>
      </c>
      <c r="AR171">
        <v>4.0741761359675426</v>
      </c>
      <c r="AS171">
        <v>3.2540674583335831</v>
      </c>
      <c r="AT171">
        <v>4.7148963468960954</v>
      </c>
      <c r="AU171">
        <v>3.8957052575849018</v>
      </c>
      <c r="AV171">
        <v>5.151901507695781</v>
      </c>
      <c r="AW171">
        <v>10.367623347307349</v>
      </c>
      <c r="AX171">
        <v>12.125648718554119</v>
      </c>
      <c r="AY171">
        <v>6.2410332814282024</v>
      </c>
      <c r="AZ171">
        <v>7.254108413048872</v>
      </c>
      <c r="BA171">
        <v>7.3466354124978617</v>
      </c>
      <c r="BB171">
        <v>2.2209203238177908</v>
      </c>
      <c r="BC171">
        <v>6.283540874277036</v>
      </c>
      <c r="BD171">
        <v>5.6863195957595423</v>
      </c>
      <c r="BE171">
        <v>4.9024272721799722</v>
      </c>
      <c r="BF171">
        <v>4.1291017378339268</v>
      </c>
      <c r="BG171">
        <v>3.534368561473237</v>
      </c>
      <c r="BH171">
        <v>3.2547268811763099</v>
      </c>
      <c r="BI171">
        <v>1.4717104565000361</v>
      </c>
      <c r="BJ171">
        <v>2.2542765193481258</v>
      </c>
      <c r="BK171">
        <v>3.067359960583556</v>
      </c>
      <c r="BL171">
        <v>2.3000926211793722</v>
      </c>
      <c r="BM171">
        <v>2.3856948845631991</v>
      </c>
      <c r="BN171">
        <v>3.565164846501848</v>
      </c>
      <c r="BO171">
        <v>9.5252662862284296</v>
      </c>
      <c r="BP171">
        <v>4.953050345068724</v>
      </c>
      <c r="BQ171">
        <v>2.491643474819718</v>
      </c>
    </row>
    <row r="172" spans="1:69" x14ac:dyDescent="0.25">
      <c r="A172" t="s">
        <v>1377</v>
      </c>
      <c r="B172" t="s">
        <v>1378</v>
      </c>
      <c r="C172" t="s">
        <v>1575</v>
      </c>
      <c r="D172" t="s">
        <v>1576</v>
      </c>
      <c r="I172">
        <v>1.895574172809982</v>
      </c>
      <c r="J172">
        <v>1.7855659829823101</v>
      </c>
      <c r="K172">
        <v>2.5048955609584098</v>
      </c>
      <c r="L172">
        <v>1.8785321978164591</v>
      </c>
      <c r="M172">
        <v>6.9771075867296704</v>
      </c>
      <c r="N172">
        <v>2.3152205667647219</v>
      </c>
      <c r="O172">
        <v>1.541865943256695</v>
      </c>
      <c r="P172">
        <v>0.31634446369253849</v>
      </c>
      <c r="Q172">
        <v>5.3959355293340368</v>
      </c>
      <c r="R172">
        <v>13.450797872677599</v>
      </c>
      <c r="S172">
        <v>29.115630311091991</v>
      </c>
      <c r="T172">
        <v>14.73832327175495</v>
      </c>
      <c r="U172">
        <v>12.955729167183589</v>
      </c>
      <c r="V172">
        <v>9.1724989707480038</v>
      </c>
      <c r="W172">
        <v>8.5451391508228536</v>
      </c>
      <c r="X172">
        <v>14.46637020583035</v>
      </c>
      <c r="Y172">
        <v>41.999514386569871</v>
      </c>
      <c r="Z172">
        <v>14.461591074210631</v>
      </c>
      <c r="AA172">
        <v>11.41569312836511</v>
      </c>
      <c r="AB172">
        <v>5.5894980184393894</v>
      </c>
      <c r="AC172">
        <v>7.3891625616947127</v>
      </c>
      <c r="AD172">
        <v>6.6987039465849776</v>
      </c>
      <c r="AE172">
        <v>1.6326530612248551</v>
      </c>
      <c r="AF172">
        <v>0.518741633199852</v>
      </c>
      <c r="AG172">
        <v>9.1593141335105415</v>
      </c>
      <c r="AH172">
        <v>12.67004209113602</v>
      </c>
      <c r="AI172">
        <v>13.48808879263709</v>
      </c>
      <c r="AJ172">
        <v>7.0010137754187927</v>
      </c>
      <c r="AK172">
        <v>4.6435192988370853</v>
      </c>
      <c r="AL172">
        <v>10.517838447289559</v>
      </c>
      <c r="AM172">
        <v>7.323471544122941</v>
      </c>
      <c r="AN172">
        <v>6.029331884845317</v>
      </c>
      <c r="AO172">
        <v>6.5509733606557283</v>
      </c>
      <c r="AP172">
        <v>6.8333433499610203</v>
      </c>
      <c r="AQ172">
        <v>6.8107932379719349</v>
      </c>
      <c r="AR172">
        <v>6.9091462486677342</v>
      </c>
      <c r="AS172">
        <v>4.1992882562280656</v>
      </c>
      <c r="AT172">
        <v>5.389344262295082</v>
      </c>
      <c r="AU172">
        <v>6.4193337222114923</v>
      </c>
      <c r="AV172">
        <v>3.9210535755818752</v>
      </c>
      <c r="AW172">
        <v>4.7103706010588349</v>
      </c>
      <c r="AX172">
        <v>4.9371700498179472</v>
      </c>
      <c r="AY172">
        <v>8.9135010565014205</v>
      </c>
      <c r="AZ172">
        <v>8.8272927239329384</v>
      </c>
      <c r="BA172">
        <v>9.7322831714688665</v>
      </c>
      <c r="BB172">
        <v>2.5160912814511258</v>
      </c>
      <c r="BC172">
        <v>2.932363013698569</v>
      </c>
      <c r="BD172">
        <v>6.5224925486934113</v>
      </c>
      <c r="BE172">
        <v>3.8521603331598269</v>
      </c>
      <c r="BF172">
        <v>3.543295739348387</v>
      </c>
      <c r="BG172">
        <v>3.2176919199468448</v>
      </c>
      <c r="BH172">
        <v>1.2865497076023169</v>
      </c>
      <c r="BI172">
        <v>0.97767513471896506</v>
      </c>
      <c r="BJ172">
        <v>3.6669970267592471</v>
      </c>
      <c r="BK172">
        <v>3.216053831445703</v>
      </c>
      <c r="BL172">
        <v>0.40565519030955338</v>
      </c>
      <c r="BM172">
        <v>2.580800771828295</v>
      </c>
      <c r="BN172">
        <v>4.0285288815737559</v>
      </c>
      <c r="BO172">
        <v>10.77375122428991</v>
      </c>
      <c r="BP172">
        <v>7.0529823845473603</v>
      </c>
      <c r="BQ172">
        <v>3.6045220384795971</v>
      </c>
    </row>
    <row r="173" spans="1:69" x14ac:dyDescent="0.25">
      <c r="A173" t="s">
        <v>1379</v>
      </c>
      <c r="B173" t="s">
        <v>1380</v>
      </c>
      <c r="C173" t="s">
        <v>1575</v>
      </c>
      <c r="D173" t="s">
        <v>1576</v>
      </c>
      <c r="Z173">
        <v>11.81469755002124</v>
      </c>
      <c r="AA173">
        <v>9.8211624443207803</v>
      </c>
      <c r="AB173">
        <v>13.5025105170179</v>
      </c>
      <c r="AC173">
        <v>20.026303204232491</v>
      </c>
      <c r="AD173">
        <v>10.51897599371658</v>
      </c>
      <c r="AE173">
        <v>14.04686795876443</v>
      </c>
      <c r="AF173">
        <v>25.15509542829113</v>
      </c>
      <c r="AG173">
        <v>33.912164935433871</v>
      </c>
      <c r="AH173">
        <v>12.446362050266419</v>
      </c>
      <c r="AI173">
        <v>11.82353804541513</v>
      </c>
      <c r="AJ173">
        <v>12.615315382884919</v>
      </c>
      <c r="AK173">
        <v>23.751353023039869</v>
      </c>
      <c r="AL173">
        <v>22.772710233662501</v>
      </c>
      <c r="AM173">
        <v>34.64963615083235</v>
      </c>
      <c r="AN173">
        <v>83.325774754345844</v>
      </c>
      <c r="AO173">
        <v>37.602045023501638</v>
      </c>
      <c r="AP173">
        <v>9.137352430034948</v>
      </c>
      <c r="AQ173">
        <v>29.748651282826359</v>
      </c>
      <c r="AR173">
        <v>44.804164286167442</v>
      </c>
      <c r="AS173">
        <v>29.581488463168391</v>
      </c>
      <c r="AT173">
        <v>22.7</v>
      </c>
      <c r="AU173">
        <v>14.744634610160331</v>
      </c>
      <c r="AV173">
        <v>9.5767978691921449</v>
      </c>
      <c r="AW173">
        <v>11.429806082212361</v>
      </c>
      <c r="AX173">
        <v>15.41034466042956</v>
      </c>
      <c r="AY173">
        <v>13.97429435483877</v>
      </c>
      <c r="AZ173">
        <v>7.9522099086403042</v>
      </c>
      <c r="BA173">
        <v>8.7126018660904343</v>
      </c>
      <c r="BB173">
        <v>8.4220442769665542</v>
      </c>
      <c r="BC173">
        <v>7.4115909288382698</v>
      </c>
      <c r="BD173">
        <v>7.6228226284852001</v>
      </c>
      <c r="BE173">
        <v>21.271265001377909</v>
      </c>
      <c r="BF173">
        <v>27.28333333333336</v>
      </c>
      <c r="BG173">
        <v>23.792064946968662</v>
      </c>
      <c r="BH173">
        <v>21.867347554255289</v>
      </c>
      <c r="BI173">
        <v>21.711113213649881</v>
      </c>
      <c r="BJ173">
        <v>11.54339391887714</v>
      </c>
      <c r="BK173">
        <v>12.420178108921011</v>
      </c>
      <c r="BL173">
        <v>9.3708360560566977</v>
      </c>
      <c r="BM173">
        <v>8.6255146965055189</v>
      </c>
      <c r="BN173">
        <v>9.3301441083521155</v>
      </c>
      <c r="BO173">
        <v>20.953969729969039</v>
      </c>
      <c r="BP173">
        <v>28.789742824729831</v>
      </c>
      <c r="BQ173">
        <v>32.179650422502512</v>
      </c>
    </row>
    <row r="174" spans="1:69" x14ac:dyDescent="0.25">
      <c r="A174" t="s">
        <v>1381</v>
      </c>
      <c r="B174" t="s">
        <v>1382</v>
      </c>
      <c r="C174" t="s">
        <v>1575</v>
      </c>
      <c r="D174" t="s">
        <v>1576</v>
      </c>
      <c r="E174">
        <v>6.3182597888167005E-2</v>
      </c>
      <c r="F174">
        <v>-0.1804077216315654</v>
      </c>
      <c r="G174">
        <v>0.1084402678480898</v>
      </c>
      <c r="H174">
        <v>3.1052536560834429</v>
      </c>
      <c r="I174">
        <v>-0.4027315710036582</v>
      </c>
      <c r="J174">
        <v>-0.1054852322437895</v>
      </c>
      <c r="K174">
        <v>0.96796902526136885</v>
      </c>
      <c r="L174">
        <v>4.5755621403329112</v>
      </c>
      <c r="M174">
        <v>-0.15834652879456729</v>
      </c>
      <c r="N174">
        <v>-0.40901502529406952</v>
      </c>
      <c r="O174">
        <v>1.843935965563875</v>
      </c>
      <c r="P174">
        <v>1.6130359639580769</v>
      </c>
      <c r="Q174">
        <v>3.231554223548736</v>
      </c>
      <c r="R174">
        <v>10.56017574131009</v>
      </c>
      <c r="S174">
        <v>17.328980982441109</v>
      </c>
      <c r="T174">
        <v>4.4877222691590619</v>
      </c>
      <c r="U174">
        <v>2.6337115073057138</v>
      </c>
      <c r="V174">
        <v>4.7882240144596437</v>
      </c>
      <c r="W174">
        <v>4.860064585542518</v>
      </c>
      <c r="X174">
        <v>3.6544679979641379</v>
      </c>
      <c r="Y174">
        <v>6.6749195345051033</v>
      </c>
      <c r="Z174">
        <v>9.7000000000001503</v>
      </c>
      <c r="AA174">
        <v>5.8189000297783009</v>
      </c>
      <c r="AB174">
        <v>3.7042354631937262</v>
      </c>
      <c r="AC174">
        <v>3.897272601497682</v>
      </c>
      <c r="AD174">
        <v>0.34645879125988371</v>
      </c>
      <c r="AE174">
        <v>0.73700285539193866</v>
      </c>
      <c r="AF174">
        <v>0.29000790943841209</v>
      </c>
      <c r="AG174">
        <v>2.556519453207422</v>
      </c>
      <c r="AH174">
        <v>2.8132008971480542</v>
      </c>
      <c r="AI174">
        <v>2.617801047120508</v>
      </c>
      <c r="AJ174">
        <v>4.3583333333330039</v>
      </c>
      <c r="AK174">
        <v>4.7672282999282052</v>
      </c>
      <c r="AL174">
        <v>3.5365853658538882</v>
      </c>
      <c r="AM174">
        <v>3.7249705535928359</v>
      </c>
      <c r="AN174">
        <v>3.4505750958489481</v>
      </c>
      <c r="AO174">
        <v>3.4885594585891599</v>
      </c>
      <c r="AP174">
        <v>2.662514597119463</v>
      </c>
      <c r="AQ174">
        <v>5.2703420034876558</v>
      </c>
      <c r="AR174">
        <v>2.7445613024060389</v>
      </c>
      <c r="AS174">
        <v>1.5347402369769949</v>
      </c>
      <c r="AT174">
        <v>1.416784732060981</v>
      </c>
      <c r="AU174">
        <v>1.8078724628153611</v>
      </c>
      <c r="AV174">
        <v>1.089676325772861</v>
      </c>
      <c r="AW174">
        <v>1.421271159374023</v>
      </c>
      <c r="AX174">
        <v>2.975070926844491</v>
      </c>
      <c r="AY174">
        <v>3.60923564224389</v>
      </c>
      <c r="AZ174">
        <v>2.027353177795685</v>
      </c>
      <c r="BA174">
        <v>5.44078221100769</v>
      </c>
      <c r="BB174">
        <v>0.58330840562370201</v>
      </c>
      <c r="BC174">
        <v>1.6228523557703529</v>
      </c>
      <c r="BD174">
        <v>3.1744709215131</v>
      </c>
      <c r="BE174">
        <v>1.663571024792059</v>
      </c>
      <c r="BF174">
        <v>2.10501231233612</v>
      </c>
      <c r="BG174">
        <v>3.142990508790954</v>
      </c>
      <c r="BH174">
        <v>2.1043898023835852</v>
      </c>
      <c r="BI174">
        <v>2.0905665952574242</v>
      </c>
      <c r="BJ174">
        <v>3.8712011577423739</v>
      </c>
      <c r="BK174">
        <v>0.88470916057123505</v>
      </c>
      <c r="BL174">
        <v>0.66289186576432635</v>
      </c>
      <c r="BM174">
        <v>-1.1387021539304989</v>
      </c>
      <c r="BN174">
        <v>2.477102414654468</v>
      </c>
      <c r="BO174">
        <v>3.3786986254992848</v>
      </c>
      <c r="BP174">
        <v>2.488865601257539</v>
      </c>
      <c r="BQ174">
        <v>1.834100204499002</v>
      </c>
    </row>
    <row r="175" spans="1:69" x14ac:dyDescent="0.25">
      <c r="A175" t="s">
        <v>1383</v>
      </c>
      <c r="B175" t="s">
        <v>1384</v>
      </c>
      <c r="C175" t="s">
        <v>1575</v>
      </c>
      <c r="D175" t="s">
        <v>1576</v>
      </c>
      <c r="E175">
        <v>1.4083358192259119</v>
      </c>
      <c r="F175">
        <v>1.0447454518396739</v>
      </c>
      <c r="G175">
        <v>1.1301722367336049</v>
      </c>
      <c r="H175">
        <v>1.4339103409959051</v>
      </c>
      <c r="I175">
        <v>1.595528133734142</v>
      </c>
      <c r="J175">
        <v>1.9589132323239851</v>
      </c>
      <c r="K175">
        <v>3.4153672226344649</v>
      </c>
      <c r="L175">
        <v>3.176368944948103</v>
      </c>
      <c r="M175">
        <v>4.1635478460279201</v>
      </c>
      <c r="N175">
        <v>5.0119725509851882</v>
      </c>
      <c r="O175">
        <v>4.5921475760604133</v>
      </c>
      <c r="P175">
        <v>3.4988423604586769</v>
      </c>
      <c r="Q175">
        <v>4.13015348879917</v>
      </c>
      <c r="R175">
        <v>6.8327036730862467</v>
      </c>
      <c r="S175">
        <v>11.025987975245391</v>
      </c>
      <c r="T175">
        <v>9.9076677300296936</v>
      </c>
      <c r="U175">
        <v>6.6432756326561631</v>
      </c>
      <c r="V175">
        <v>7.2390646954370492</v>
      </c>
      <c r="W175">
        <v>8.302343595184098</v>
      </c>
      <c r="X175">
        <v>10.19957405417566</v>
      </c>
      <c r="Y175">
        <v>11.83921124175686</v>
      </c>
      <c r="Z175">
        <v>11.40316387755715</v>
      </c>
      <c r="AA175">
        <v>8.4501994499944235</v>
      </c>
      <c r="AB175">
        <v>4.5380116314671612</v>
      </c>
      <c r="AC175">
        <v>4.3026568895758288</v>
      </c>
      <c r="AD175">
        <v>3.7538373463728498</v>
      </c>
      <c r="AE175">
        <v>3.0464170065994818</v>
      </c>
      <c r="AF175">
        <v>4.010335964867151</v>
      </c>
      <c r="AG175">
        <v>4.0529876280801211</v>
      </c>
      <c r="AH175">
        <v>4.9053124649745099</v>
      </c>
      <c r="AI175">
        <v>5.0892166866331454</v>
      </c>
      <c r="AJ175">
        <v>4.9304140252342696</v>
      </c>
      <c r="AK175">
        <v>2.2594762909475699</v>
      </c>
      <c r="AL175">
        <v>2.4083681657324889</v>
      </c>
      <c r="AM175">
        <v>1.386502253030909</v>
      </c>
      <c r="AN175">
        <v>2.477090009557553</v>
      </c>
      <c r="AO175">
        <v>2.2508676625028969</v>
      </c>
      <c r="AP175">
        <v>1.97945315907633</v>
      </c>
      <c r="AQ175">
        <v>1.2741107777008289</v>
      </c>
      <c r="AR175">
        <v>1.9614350740163811</v>
      </c>
      <c r="AS175">
        <v>3.0481486142095262</v>
      </c>
      <c r="AT175">
        <v>2.675645629326564</v>
      </c>
      <c r="AU175">
        <v>1.9222130179572821</v>
      </c>
      <c r="AV175">
        <v>2.514329093481134</v>
      </c>
      <c r="AW175">
        <v>2.267247705832141</v>
      </c>
      <c r="AX175">
        <v>2.8031494399465902</v>
      </c>
      <c r="AY175">
        <v>2.6139847480228262</v>
      </c>
      <c r="AZ175">
        <v>2.4955282370848759</v>
      </c>
      <c r="BA175">
        <v>3.104685485546991</v>
      </c>
      <c r="BB175">
        <v>-2.8039731645224188E-2</v>
      </c>
      <c r="BC175">
        <v>1.708457491658087</v>
      </c>
      <c r="BD175">
        <v>3.0344883286727549</v>
      </c>
      <c r="BE175">
        <v>1.7925077482529159</v>
      </c>
      <c r="BF175">
        <v>1.2015622767212419</v>
      </c>
      <c r="BG175">
        <v>1.7644294422933939</v>
      </c>
      <c r="BH175">
        <v>0.62193424824761279</v>
      </c>
      <c r="BI175">
        <v>1.345171376358107</v>
      </c>
      <c r="BJ175">
        <v>1.863497066094689</v>
      </c>
      <c r="BK175">
        <v>2.3554044847045992</v>
      </c>
      <c r="BL175">
        <v>1.8807395496880659</v>
      </c>
      <c r="BM175">
        <v>0.97529201430706014</v>
      </c>
      <c r="BN175">
        <v>4.0465260244563499</v>
      </c>
      <c r="BO175">
        <v>7.402800486968669</v>
      </c>
      <c r="BP175">
        <v>3.997669990814567</v>
      </c>
      <c r="BQ175">
        <v>2.6655545188319021</v>
      </c>
    </row>
    <row r="176" spans="1:69" x14ac:dyDescent="0.25">
      <c r="A176" t="s">
        <v>1385</v>
      </c>
      <c r="B176" t="s">
        <v>1386</v>
      </c>
      <c r="C176" t="s">
        <v>1575</v>
      </c>
      <c r="D176" t="s">
        <v>1576</v>
      </c>
      <c r="AV176">
        <v>7.1361531145862989</v>
      </c>
      <c r="AW176">
        <v>4.1366321314474837</v>
      </c>
      <c r="AX176">
        <v>2.2819460702430652</v>
      </c>
      <c r="AY176">
        <v>4.9611668929891577</v>
      </c>
      <c r="AZ176">
        <v>6.5478814110171726</v>
      </c>
      <c r="BA176">
        <v>9.0946430719280951</v>
      </c>
      <c r="BB176">
        <v>9.4517265152170484</v>
      </c>
      <c r="BC176">
        <v>4.874919876439499</v>
      </c>
      <c r="BD176">
        <v>5.0055951808119996</v>
      </c>
      <c r="BE176">
        <v>6.7219977733488596</v>
      </c>
      <c r="BF176">
        <v>5.6009250229040077</v>
      </c>
      <c r="BG176">
        <v>5.3501696685960223</v>
      </c>
      <c r="BH176">
        <v>3.394015384105586</v>
      </c>
      <c r="BI176">
        <v>6.7285823459333773</v>
      </c>
      <c r="BJ176">
        <v>6.1457998111116421</v>
      </c>
      <c r="BK176">
        <v>4.2915910533787534</v>
      </c>
      <c r="BL176">
        <v>3.7223941442269459</v>
      </c>
      <c r="BM176">
        <v>2.2093823693346919</v>
      </c>
      <c r="BN176">
        <v>3.6169053010881398</v>
      </c>
      <c r="BO176">
        <v>6.0812811411241317</v>
      </c>
      <c r="BP176">
        <v>5.8799346328427466</v>
      </c>
      <c r="BQ176">
        <v>4.2390392287703618</v>
      </c>
    </row>
    <row r="177" spans="1:69" x14ac:dyDescent="0.25">
      <c r="A177" t="s">
        <v>1387</v>
      </c>
      <c r="B177" t="s">
        <v>1388</v>
      </c>
      <c r="C177" t="s">
        <v>1575</v>
      </c>
      <c r="D177" t="s">
        <v>1576</v>
      </c>
      <c r="BD177">
        <v>2.4289969375338312</v>
      </c>
      <c r="BE177">
        <v>1.7496723460026209</v>
      </c>
      <c r="BF177">
        <v>1.2776131899271801</v>
      </c>
      <c r="BG177">
        <v>0.17885106078551111</v>
      </c>
      <c r="BH177">
        <v>0.57050814104840175</v>
      </c>
      <c r="BI177">
        <v>0.57831743552075399</v>
      </c>
    </row>
    <row r="178" spans="1:69" x14ac:dyDescent="0.25">
      <c r="A178" t="s">
        <v>1389</v>
      </c>
      <c r="B178" t="s">
        <v>1390</v>
      </c>
      <c r="C178" t="s">
        <v>1575</v>
      </c>
      <c r="D178" t="s">
        <v>1576</v>
      </c>
      <c r="I178">
        <v>1.0040160642667131</v>
      </c>
      <c r="J178">
        <v>4.3737574563059152</v>
      </c>
      <c r="K178">
        <v>10.57142857047611</v>
      </c>
      <c r="L178">
        <v>0.43066322136443741</v>
      </c>
      <c r="M178">
        <v>-2.9230989129746772</v>
      </c>
      <c r="N178">
        <v>10.64566001584331</v>
      </c>
      <c r="O178">
        <v>1.11783884490559</v>
      </c>
      <c r="P178">
        <v>4.1916167664867681</v>
      </c>
      <c r="Q178">
        <v>9.7511683720270295</v>
      </c>
      <c r="R178">
        <v>11.785015536747441</v>
      </c>
      <c r="S178">
        <v>3.397508493733258</v>
      </c>
      <c r="T178">
        <v>9.1158020513705882</v>
      </c>
      <c r="U178">
        <v>23.52968015692835</v>
      </c>
      <c r="V178">
        <v>23.251089606333011</v>
      </c>
      <c r="W178">
        <v>10.09320027569939</v>
      </c>
      <c r="X178">
        <v>7.267877072233599</v>
      </c>
      <c r="Y178">
        <v>10.30527571240459</v>
      </c>
      <c r="Z178">
        <v>22.913407564163549</v>
      </c>
      <c r="AA178">
        <v>11.641835741678451</v>
      </c>
      <c r="AB178">
        <v>-2.489605686714877</v>
      </c>
      <c r="AC178">
        <v>8.364424118299647</v>
      </c>
      <c r="AD178">
        <v>-0.92339912399481872</v>
      </c>
      <c r="AE178">
        <v>-3.2075713416568692</v>
      </c>
      <c r="AF178">
        <v>-6.7121089290119498</v>
      </c>
      <c r="AG178">
        <v>-1.3939630404709149</v>
      </c>
      <c r="AH178">
        <v>-2.8435251798561771</v>
      </c>
      <c r="AI178">
        <v>-0.77565301097750361</v>
      </c>
      <c r="AJ178">
        <v>-7.7966417910446673</v>
      </c>
      <c r="AK178">
        <v>-4.4756179024717611</v>
      </c>
      <c r="AL178">
        <v>-1.2150349650349641</v>
      </c>
      <c r="AM178">
        <v>36.041058313424138</v>
      </c>
      <c r="AN178">
        <v>10.563288669181359</v>
      </c>
      <c r="AO178">
        <v>5.288857512648824</v>
      </c>
      <c r="AP178">
        <v>2.9334525339442159</v>
      </c>
      <c r="AQ178">
        <v>4.548015777187203</v>
      </c>
      <c r="AR178">
        <v>-2.3021250384964782</v>
      </c>
      <c r="AS178">
        <v>2.9001497359910848</v>
      </c>
      <c r="AT178">
        <v>4.005514283526785</v>
      </c>
      <c r="AU178">
        <v>2.628865979381362</v>
      </c>
      <c r="AV178">
        <v>-1.6144076917559631</v>
      </c>
      <c r="AW178">
        <v>0.2625437572928378</v>
      </c>
      <c r="AX178">
        <v>7.7974978178644019</v>
      </c>
      <c r="AY178">
        <v>4.0485829959507363E-2</v>
      </c>
      <c r="AZ178">
        <v>5.3959260758156172E-2</v>
      </c>
      <c r="BA178">
        <v>11.30510988270191</v>
      </c>
      <c r="BB178">
        <v>0.58290659080112195</v>
      </c>
      <c r="BC178">
        <v>0.80407308088265872</v>
      </c>
      <c r="BD178">
        <v>2.9423851401332</v>
      </c>
      <c r="BE178">
        <v>0.45508982035928941</v>
      </c>
      <c r="BF178">
        <v>2.297231149553169</v>
      </c>
      <c r="BG178">
        <v>-0.93028725998446637</v>
      </c>
      <c r="BH178">
        <v>-0.57609036983318884</v>
      </c>
      <c r="BI178">
        <v>1.653889223878056</v>
      </c>
      <c r="BJ178">
        <v>2.7963731887128449</v>
      </c>
      <c r="BK178">
        <v>2.9676036600445559</v>
      </c>
      <c r="BL178">
        <v>-2.4897926507085488</v>
      </c>
      <c r="BM178">
        <v>2.8981937602627021</v>
      </c>
      <c r="BN178">
        <v>3.8378680284050959</v>
      </c>
      <c r="BO178">
        <v>4.2262179191639246</v>
      </c>
      <c r="BP178">
        <v>3.7009731642583379</v>
      </c>
      <c r="BQ178">
        <v>9.0715199772501336</v>
      </c>
    </row>
    <row r="179" spans="1:69" x14ac:dyDescent="0.25">
      <c r="A179" t="s">
        <v>1391</v>
      </c>
      <c r="B179" t="s">
        <v>1392</v>
      </c>
      <c r="C179" t="s">
        <v>1575</v>
      </c>
      <c r="D179" t="s">
        <v>1576</v>
      </c>
      <c r="E179">
        <v>5.4443273618723991</v>
      </c>
      <c r="F179">
        <v>6.2791472347751371</v>
      </c>
      <c r="G179">
        <v>5.2656323462173313</v>
      </c>
      <c r="H179">
        <v>-2.6946553523273069</v>
      </c>
      <c r="I179">
        <v>0.85679314573755416</v>
      </c>
      <c r="J179">
        <v>4.103458738116192</v>
      </c>
      <c r="K179">
        <v>9.6903460837511837</v>
      </c>
      <c r="L179">
        <v>-3.7263367651421562</v>
      </c>
      <c r="M179">
        <v>-0.4760590590608329</v>
      </c>
      <c r="N179">
        <v>10.155979202821969</v>
      </c>
      <c r="O179">
        <v>13.75707992479299</v>
      </c>
      <c r="P179">
        <v>15.99911484822352</v>
      </c>
      <c r="Q179">
        <v>3.4576497520149969</v>
      </c>
      <c r="R179">
        <v>5.4026644539421964</v>
      </c>
      <c r="S179">
        <v>12.674393177432959</v>
      </c>
      <c r="T179">
        <v>33.964188322177598</v>
      </c>
      <c r="U179">
        <v>24.299999999999699</v>
      </c>
      <c r="V179">
        <v>15.08783405726872</v>
      </c>
      <c r="W179">
        <v>21.70924574166645</v>
      </c>
      <c r="X179">
        <v>11.70973062121177</v>
      </c>
      <c r="Y179">
        <v>9.9722619900142409</v>
      </c>
      <c r="Z179">
        <v>20.812822912194921</v>
      </c>
      <c r="AA179">
        <v>7.6977472471424866</v>
      </c>
      <c r="AB179">
        <v>23.212331551155899</v>
      </c>
      <c r="AC179">
        <v>17.820533286084181</v>
      </c>
      <c r="AD179">
        <v>7.4353448275863503</v>
      </c>
      <c r="AE179">
        <v>5.7171514543630169</v>
      </c>
      <c r="AF179">
        <v>11.29032258064511</v>
      </c>
      <c r="AG179">
        <v>54.511224779767261</v>
      </c>
      <c r="AH179">
        <v>50.466688123591538</v>
      </c>
      <c r="AI179">
        <v>7.36440030557696</v>
      </c>
      <c r="AJ179">
        <v>13.006973103742769</v>
      </c>
      <c r="AK179">
        <v>44.588842715022977</v>
      </c>
      <c r="AL179">
        <v>57.165252834921667</v>
      </c>
      <c r="AM179">
        <v>57.031708911965929</v>
      </c>
      <c r="AN179">
        <v>72.835502297263773</v>
      </c>
      <c r="AO179">
        <v>29.268292682927111</v>
      </c>
      <c r="AP179">
        <v>8.5298742138363366</v>
      </c>
      <c r="AQ179">
        <v>9.9963781238680571</v>
      </c>
      <c r="AR179">
        <v>6.6183733947975147</v>
      </c>
      <c r="AS179">
        <v>6.9332921556516096</v>
      </c>
      <c r="AT179">
        <v>18.873646209386269</v>
      </c>
      <c r="AU179">
        <v>12.87657920310988</v>
      </c>
      <c r="AV179">
        <v>14.031783613143659</v>
      </c>
      <c r="AW179">
        <v>14.99803381832513</v>
      </c>
      <c r="AX179">
        <v>17.86349336616049</v>
      </c>
      <c r="AY179">
        <v>8.2252215201704715</v>
      </c>
      <c r="AZ179">
        <v>5.3880079685862636</v>
      </c>
      <c r="BA179">
        <v>11.581075174825211</v>
      </c>
      <c r="BB179">
        <v>12.537827730468891</v>
      </c>
      <c r="BC179">
        <v>13.740052136369391</v>
      </c>
      <c r="BD179">
        <v>10.826137188001701</v>
      </c>
      <c r="BE179">
        <v>12.22424130205839</v>
      </c>
      <c r="BF179">
        <v>8.4955183826566945</v>
      </c>
      <c r="BG179">
        <v>8.047410879679072</v>
      </c>
      <c r="BH179">
        <v>9.0094349800770637</v>
      </c>
      <c r="BI179">
        <v>15.69681263879716</v>
      </c>
      <c r="BJ179">
        <v>16.502266213964109</v>
      </c>
      <c r="BK179">
        <v>12.09510651734316</v>
      </c>
      <c r="BL179">
        <v>11.39642233781162</v>
      </c>
      <c r="BM179">
        <v>13.24602342765969</v>
      </c>
      <c r="BN179">
        <v>16.95284572216077</v>
      </c>
      <c r="BO179">
        <v>18.847187784327449</v>
      </c>
      <c r="BP179">
        <v>24.65955020311397</v>
      </c>
      <c r="BQ179">
        <v>33.242096654540568</v>
      </c>
    </row>
    <row r="180" spans="1:69" x14ac:dyDescent="0.25">
      <c r="A180" t="s">
        <v>1393</v>
      </c>
      <c r="B180" t="s">
        <v>1394</v>
      </c>
      <c r="C180" t="s">
        <v>1575</v>
      </c>
      <c r="D180" t="s">
        <v>1576</v>
      </c>
      <c r="AS180">
        <v>7.0699135225251686</v>
      </c>
      <c r="AT180">
        <v>5.9860418627951786</v>
      </c>
      <c r="AU180">
        <v>3.7501746577846609</v>
      </c>
      <c r="AV180">
        <v>5.3023877321993638</v>
      </c>
      <c r="AW180">
        <v>8.4702106358407665</v>
      </c>
      <c r="AX180">
        <v>9.5990998606442517</v>
      </c>
      <c r="AY180">
        <v>9.1401996677771979</v>
      </c>
      <c r="AZ180">
        <v>11.1269347446118</v>
      </c>
      <c r="BA180">
        <v>19.826203128742851</v>
      </c>
      <c r="BB180">
        <v>3.687001604987965</v>
      </c>
      <c r="BC180">
        <v>5.4551342588742253</v>
      </c>
      <c r="BD180">
        <v>8.0823879809909993</v>
      </c>
      <c r="BE180">
        <v>7.1935505333896046</v>
      </c>
      <c r="BF180">
        <v>7.1354678528940703</v>
      </c>
      <c r="BG180">
        <v>6.03596861798425</v>
      </c>
      <c r="BH180">
        <v>3.9973799669439649</v>
      </c>
      <c r="BI180">
        <v>3.5231731762847311</v>
      </c>
      <c r="BJ180">
        <v>3.850671662847271</v>
      </c>
      <c r="BK180">
        <v>4.9472372803988618</v>
      </c>
      <c r="BL180">
        <v>5.3762899084412554</v>
      </c>
      <c r="BM180">
        <v>3.6818134162557188</v>
      </c>
      <c r="BN180">
        <v>4.9284139694896751</v>
      </c>
      <c r="BO180">
        <v>10.46742444659907</v>
      </c>
      <c r="BP180">
        <v>8.3876585487253621</v>
      </c>
      <c r="BQ180">
        <v>4.6247384105714122</v>
      </c>
    </row>
    <row r="181" spans="1:69" x14ac:dyDescent="0.25">
      <c r="A181" t="s">
        <v>1395</v>
      </c>
      <c r="B181" t="s">
        <v>1396</v>
      </c>
      <c r="C181" t="s">
        <v>1575</v>
      </c>
      <c r="D181" t="s">
        <v>1576</v>
      </c>
      <c r="E181">
        <v>2.3239436619721832</v>
      </c>
      <c r="F181">
        <v>1.307639366827307</v>
      </c>
      <c r="G181">
        <v>2.4311226441780969</v>
      </c>
      <c r="H181">
        <v>3.243647373964011</v>
      </c>
      <c r="I181">
        <v>5.823768258174395</v>
      </c>
      <c r="J181">
        <v>3.908037827796218</v>
      </c>
      <c r="K181">
        <v>5.7621402362245941</v>
      </c>
      <c r="L181">
        <v>3.45533218314714</v>
      </c>
      <c r="M181">
        <v>3.7207932801914079</v>
      </c>
      <c r="N181">
        <v>7.4217900550128464</v>
      </c>
      <c r="O181">
        <v>3.6689308880865461</v>
      </c>
      <c r="P181">
        <v>7.4776786767116068</v>
      </c>
      <c r="Q181">
        <v>7.8027921925660539</v>
      </c>
      <c r="R181">
        <v>8.0222099587893627</v>
      </c>
      <c r="S181">
        <v>9.5914226726850806</v>
      </c>
      <c r="T181">
        <v>10.21747579482412</v>
      </c>
      <c r="U181">
        <v>8.8306515860315589</v>
      </c>
      <c r="V181">
        <v>6.3992948740609741</v>
      </c>
      <c r="W181">
        <v>4.1120119626929146</v>
      </c>
      <c r="X181">
        <v>4.1992999016834842</v>
      </c>
      <c r="Y181">
        <v>6.5134554552179651</v>
      </c>
      <c r="Z181">
        <v>6.7389265520478192</v>
      </c>
      <c r="AA181">
        <v>5.911096584683837</v>
      </c>
      <c r="AB181">
        <v>2.7408403316225751</v>
      </c>
      <c r="AC181">
        <v>3.301640757593042</v>
      </c>
      <c r="AD181">
        <v>2.2585844298861959</v>
      </c>
      <c r="AE181">
        <v>8.3346777108538744E-2</v>
      </c>
      <c r="AF181">
        <v>-0.69121048141151864</v>
      </c>
      <c r="AG181">
        <v>0.73795068833231925</v>
      </c>
      <c r="AH181">
        <v>1.0821581025329909</v>
      </c>
      <c r="AI181">
        <v>2.4540918481834102</v>
      </c>
      <c r="AJ181">
        <v>3.158200414771223</v>
      </c>
      <c r="AK181">
        <v>3.1835818176155111</v>
      </c>
      <c r="AL181">
        <v>2.5841844867179868</v>
      </c>
      <c r="AM181">
        <v>2.801524632931776</v>
      </c>
      <c r="AN181">
        <v>1.923220034535245</v>
      </c>
      <c r="AO181">
        <v>1.949367131660078</v>
      </c>
      <c r="AP181">
        <v>2.1092456273948321</v>
      </c>
      <c r="AQ181">
        <v>1.959136322742514</v>
      </c>
      <c r="AR181">
        <v>2.1571791805505902</v>
      </c>
      <c r="AS181">
        <v>2.36052233801948</v>
      </c>
      <c r="AT181">
        <v>4.1558412719561302</v>
      </c>
      <c r="AU181">
        <v>3.2875310471277102</v>
      </c>
      <c r="AV181">
        <v>2.091998389976546</v>
      </c>
      <c r="AW181">
        <v>1.263647391831797</v>
      </c>
      <c r="AX181">
        <v>1.6881301786962339</v>
      </c>
      <c r="AY181">
        <v>1.101501065177019</v>
      </c>
      <c r="AZ181">
        <v>1.613858598021032</v>
      </c>
      <c r="BA181">
        <v>2.4865019828945392</v>
      </c>
      <c r="BB181">
        <v>1.1897768702154961</v>
      </c>
      <c r="BC181">
        <v>1.2753056955668309</v>
      </c>
      <c r="BD181">
        <v>2.341070177513731</v>
      </c>
      <c r="BE181">
        <v>2.4555476529160449</v>
      </c>
      <c r="BF181">
        <v>2.5068985265788521</v>
      </c>
      <c r="BG181">
        <v>0.97603507969967895</v>
      </c>
      <c r="BH181">
        <v>0.60024814727877629</v>
      </c>
      <c r="BI181">
        <v>0.31666666666674309</v>
      </c>
      <c r="BJ181">
        <v>1.3814587140720631</v>
      </c>
      <c r="BK181">
        <v>1.703497947444703</v>
      </c>
      <c r="BL181">
        <v>2.633699102496005</v>
      </c>
      <c r="BM181">
        <v>1.272460377891613</v>
      </c>
      <c r="BN181">
        <v>2.6757200880538541</v>
      </c>
      <c r="BO181">
        <v>10.00120787534728</v>
      </c>
      <c r="BP181">
        <v>3.8383935434280829</v>
      </c>
      <c r="BQ181">
        <v>3.3475430421995331</v>
      </c>
    </row>
    <row r="182" spans="1:69" x14ac:dyDescent="0.25">
      <c r="A182" t="s">
        <v>1397</v>
      </c>
      <c r="B182" t="s">
        <v>1398</v>
      </c>
      <c r="C182" t="s">
        <v>1575</v>
      </c>
      <c r="D182" t="s">
        <v>1576</v>
      </c>
      <c r="E182">
        <v>0.36049234684462189</v>
      </c>
      <c r="F182">
        <v>2.1551727767092248</v>
      </c>
      <c r="G182">
        <v>5.2742595292073249</v>
      </c>
      <c r="H182">
        <v>2.4716105289649701</v>
      </c>
      <c r="I182">
        <v>5.8670153875192153</v>
      </c>
      <c r="J182">
        <v>4.1872244399800449</v>
      </c>
      <c r="K182">
        <v>3.250563343053003</v>
      </c>
      <c r="L182">
        <v>4.5792697575399863</v>
      </c>
      <c r="M182">
        <v>3.4482932425420718</v>
      </c>
      <c r="N182">
        <v>2.9629495107521082</v>
      </c>
      <c r="O182">
        <v>10.637206526418289</v>
      </c>
      <c r="P182">
        <v>6.2238632350129333</v>
      </c>
      <c r="Q182">
        <v>7.2584358296152054</v>
      </c>
      <c r="R182">
        <v>7.4194728363750313</v>
      </c>
      <c r="S182">
        <v>9.4117681321189011</v>
      </c>
      <c r="T182">
        <v>11.68922348168539</v>
      </c>
      <c r="U182">
        <v>9.161472765475617</v>
      </c>
      <c r="V182">
        <v>9.1038397116029763</v>
      </c>
      <c r="W182">
        <v>8.1616715433961993</v>
      </c>
      <c r="X182">
        <v>4.5097276120620879</v>
      </c>
      <c r="Y182">
        <v>10.878661087866011</v>
      </c>
      <c r="Z182">
        <v>13.642960812772181</v>
      </c>
      <c r="AA182">
        <v>11.3409961685824</v>
      </c>
      <c r="AB182">
        <v>8.4652443220922162</v>
      </c>
      <c r="AC182">
        <v>6.218274111675119</v>
      </c>
      <c r="AD182">
        <v>5.7148546395857869</v>
      </c>
      <c r="AE182">
        <v>7.1764927481635699</v>
      </c>
      <c r="AF182">
        <v>8.7170474516695595</v>
      </c>
      <c r="AG182">
        <v>6.6763659877141652</v>
      </c>
      <c r="AH182">
        <v>4.5461433550537889</v>
      </c>
      <c r="AI182">
        <v>4.1310334831135043</v>
      </c>
      <c r="AJ182">
        <v>3.4381959910913409</v>
      </c>
      <c r="AK182">
        <v>2.3280850491185729</v>
      </c>
      <c r="AL182">
        <v>2.2882693319305698</v>
      </c>
      <c r="AM182">
        <v>1.375674980714795</v>
      </c>
      <c r="AN182">
        <v>2.4603677869372351</v>
      </c>
      <c r="AO182">
        <v>1.262532491645016</v>
      </c>
      <c r="AP182">
        <v>2.5669233590025851</v>
      </c>
      <c r="AQ182">
        <v>2.252413299964227</v>
      </c>
      <c r="AR182">
        <v>2.3659673659673408</v>
      </c>
      <c r="AS182">
        <v>3.0855060913127632</v>
      </c>
      <c r="AT182">
        <v>3.0041970399823699</v>
      </c>
      <c r="AU182">
        <v>1.286725284151836</v>
      </c>
      <c r="AV182">
        <v>2.4878255346178282</v>
      </c>
      <c r="AW182">
        <v>0.45449850222084037</v>
      </c>
      <c r="AX182">
        <v>1.5321336760925419</v>
      </c>
      <c r="AY182">
        <v>2.329349807575436</v>
      </c>
      <c r="AZ182">
        <v>0.71258907363420121</v>
      </c>
      <c r="BA182">
        <v>3.7539308176100512</v>
      </c>
      <c r="BB182">
        <v>2.1973858685357359</v>
      </c>
      <c r="BC182">
        <v>2.4189063948100111</v>
      </c>
      <c r="BD182">
        <v>1.2849515880915201</v>
      </c>
      <c r="BE182">
        <v>0.69686411149836214</v>
      </c>
      <c r="BF182">
        <v>2.1204862035311249</v>
      </c>
      <c r="BG182">
        <v>2.0417028670721118</v>
      </c>
      <c r="BH182">
        <v>2.1711366538952692</v>
      </c>
      <c r="BI182">
        <v>3.5499999999999772</v>
      </c>
      <c r="BJ182">
        <v>1.8751005955255391</v>
      </c>
      <c r="BK182">
        <v>2.7648313452878841</v>
      </c>
      <c r="BL182">
        <v>2.1677300330540241</v>
      </c>
      <c r="BM182">
        <v>1.286584907080047</v>
      </c>
      <c r="BN182">
        <v>3.4838805526667791</v>
      </c>
      <c r="BO182">
        <v>5.7641231785227189</v>
      </c>
      <c r="BP182">
        <v>5.517849871046594</v>
      </c>
      <c r="BQ182">
        <v>3.145301344310734</v>
      </c>
    </row>
    <row r="183" spans="1:69" x14ac:dyDescent="0.25">
      <c r="A183" t="s">
        <v>1399</v>
      </c>
      <c r="B183" t="s">
        <v>1400</v>
      </c>
      <c r="C183" t="s">
        <v>1575</v>
      </c>
      <c r="D183" t="s">
        <v>1576</v>
      </c>
      <c r="J183">
        <v>8.4718693284647468</v>
      </c>
      <c r="K183">
        <v>14.38897068686558</v>
      </c>
      <c r="L183">
        <v>-2.8083313833468391</v>
      </c>
      <c r="M183">
        <v>1.179869973700395</v>
      </c>
      <c r="N183">
        <v>4.0575916228155986</v>
      </c>
      <c r="O183">
        <v>15.23727844503588</v>
      </c>
      <c r="P183">
        <v>-1.999503845208261</v>
      </c>
      <c r="Q183">
        <v>8.3890238963017971</v>
      </c>
      <c r="R183">
        <v>11.429772525859979</v>
      </c>
      <c r="S183">
        <v>19.806338028084902</v>
      </c>
      <c r="T183">
        <v>7.5859852135296846</v>
      </c>
      <c r="U183">
        <v>-3.113235733271952</v>
      </c>
      <c r="V183">
        <v>9.8988528431348346</v>
      </c>
      <c r="W183">
        <v>7.3460912508329734</v>
      </c>
      <c r="X183">
        <v>3.5654537852023549</v>
      </c>
      <c r="Y183">
        <v>14.68450277637684</v>
      </c>
      <c r="Z183">
        <v>11.14485672784439</v>
      </c>
      <c r="AA183">
        <v>11.69854659241388</v>
      </c>
      <c r="AB183">
        <v>12.377238078271221</v>
      </c>
      <c r="AC183">
        <v>2.845784957162663</v>
      </c>
      <c r="AD183">
        <v>8.0526412661963018</v>
      </c>
      <c r="AE183">
        <v>18.99894955023948</v>
      </c>
      <c r="AF183">
        <v>10.75032804498502</v>
      </c>
      <c r="AG183">
        <v>8.983003382089894</v>
      </c>
      <c r="AH183">
        <v>8.8468869123255232</v>
      </c>
      <c r="AI183">
        <v>8.2397003745320614</v>
      </c>
      <c r="AJ183">
        <v>15.55745292769492</v>
      </c>
      <c r="AK183">
        <v>17.149523624343949</v>
      </c>
      <c r="AL183">
        <v>7.5053941908710549</v>
      </c>
      <c r="AM183">
        <v>8.3492867288338353</v>
      </c>
      <c r="AN183">
        <v>7.6229695069816348</v>
      </c>
      <c r="AO183">
        <v>9.2204666237698589</v>
      </c>
      <c r="AP183">
        <v>4.0099886052318121</v>
      </c>
      <c r="AQ183">
        <v>11.24446778186142</v>
      </c>
      <c r="AR183">
        <v>7.4511126095754632</v>
      </c>
      <c r="AS183">
        <v>2.4788202070913621</v>
      </c>
      <c r="AT183">
        <v>2.6883037354562962</v>
      </c>
      <c r="AU183">
        <v>3.0293994871489249</v>
      </c>
      <c r="AV183">
        <v>5.7070093187473772</v>
      </c>
      <c r="AW183">
        <v>2.8418113124898001</v>
      </c>
      <c r="AX183">
        <v>6.8363326589287681</v>
      </c>
      <c r="AY183">
        <v>6.9203358070758894</v>
      </c>
      <c r="AZ183">
        <v>2.269219244390742</v>
      </c>
      <c r="BA183">
        <v>9.9078300530647976</v>
      </c>
      <c r="BB183">
        <v>11.094823738698681</v>
      </c>
      <c r="BC183">
        <v>9.3265041074539532</v>
      </c>
      <c r="BD183">
        <v>9.2270754612596004</v>
      </c>
      <c r="BE183">
        <v>9.4598098035712468</v>
      </c>
      <c r="BF183">
        <v>9.0401631191764498</v>
      </c>
      <c r="BG183">
        <v>8.3641546965956266</v>
      </c>
      <c r="BH183">
        <v>7.8689089559089123</v>
      </c>
      <c r="BI183">
        <v>8.7903433200464001</v>
      </c>
      <c r="BJ183">
        <v>2.7770399830021089</v>
      </c>
      <c r="BK183">
        <v>4.4065941017571424</v>
      </c>
      <c r="BL183">
        <v>5.5661603524372252</v>
      </c>
      <c r="BM183">
        <v>5.0563582623849932</v>
      </c>
      <c r="BN183">
        <v>4.1267674444069504</v>
      </c>
      <c r="BO183">
        <v>7.6702057938028041</v>
      </c>
      <c r="BP183">
        <v>7.1158726153082599</v>
      </c>
      <c r="BQ183">
        <v>4.6850965426576989</v>
      </c>
    </row>
    <row r="184" spans="1:69" x14ac:dyDescent="0.25">
      <c r="A184" t="s">
        <v>1401</v>
      </c>
      <c r="B184" t="s">
        <v>1402</v>
      </c>
      <c r="C184" t="s">
        <v>1575</v>
      </c>
      <c r="D184" t="s">
        <v>1576</v>
      </c>
      <c r="BD184">
        <v>0.30030030030030003</v>
      </c>
      <c r="BE184">
        <v>-0.12475049900197099</v>
      </c>
    </row>
    <row r="185" spans="1:69" x14ac:dyDescent="0.25">
      <c r="A185" t="s">
        <v>1403</v>
      </c>
      <c r="B185" t="s">
        <v>1404</v>
      </c>
      <c r="C185" t="s">
        <v>1575</v>
      </c>
      <c r="D185" t="s">
        <v>1576</v>
      </c>
      <c r="E185">
        <v>0.69792923379647709</v>
      </c>
      <c r="F185">
        <v>1.7977042900920781</v>
      </c>
      <c r="G185">
        <v>2.6808539698746099</v>
      </c>
      <c r="H185">
        <v>1.968498504418873</v>
      </c>
      <c r="I185">
        <v>3.474905476766105</v>
      </c>
      <c r="J185">
        <v>3.3974897561108408</v>
      </c>
      <c r="K185">
        <v>2.7554807754281532</v>
      </c>
      <c r="L185">
        <v>6.0569200626752187</v>
      </c>
      <c r="M185">
        <v>4.3119249655019383</v>
      </c>
      <c r="N185">
        <v>4.9252424269513311</v>
      </c>
      <c r="O185">
        <v>6.5171810515547977</v>
      </c>
      <c r="P185">
        <v>10.38756831881375</v>
      </c>
      <c r="Q185">
        <v>6.9328045920685373</v>
      </c>
      <c r="R185">
        <v>8.1666692732665815</v>
      </c>
      <c r="S185">
        <v>11.109402012222439</v>
      </c>
      <c r="T185">
        <v>14.68498347239936</v>
      </c>
      <c r="U185">
        <v>16.906857005944971</v>
      </c>
      <c r="V185">
        <v>14.383549419462151</v>
      </c>
      <c r="W185">
        <v>11.9566179733303</v>
      </c>
      <c r="X185">
        <v>13.69959501566416</v>
      </c>
      <c r="Y185">
        <v>17.150545424095391</v>
      </c>
      <c r="Z185">
        <v>15.37015958318529</v>
      </c>
      <c r="AA185">
        <v>16.163694123101781</v>
      </c>
      <c r="AB185">
        <v>7.3410758605734463</v>
      </c>
      <c r="AC185">
        <v>6.1712534792444238</v>
      </c>
      <c r="AD185">
        <v>15.41765557199175</v>
      </c>
      <c r="AE185">
        <v>13.213398064002069</v>
      </c>
      <c r="AF185">
        <v>15.744300788892691</v>
      </c>
      <c r="AG185">
        <v>6.3752494441105272</v>
      </c>
      <c r="AH185">
        <v>5.7159915513563018</v>
      </c>
      <c r="AI185">
        <v>6.0984441481020406</v>
      </c>
      <c r="AJ185">
        <v>2.602392859997734</v>
      </c>
      <c r="AK185">
        <v>1.014560271712361</v>
      </c>
      <c r="AL185">
        <v>1.288207765743864</v>
      </c>
      <c r="AM185">
        <v>1.7453779077374281</v>
      </c>
      <c r="AN185">
        <v>3.7549441367755421</v>
      </c>
      <c r="AO185">
        <v>2.2857130540219459</v>
      </c>
      <c r="AP185">
        <v>1.1871483310563249</v>
      </c>
      <c r="AQ185">
        <v>1.265244099154061</v>
      </c>
      <c r="AR185">
        <v>-0.114267129777524</v>
      </c>
      <c r="AS185">
        <v>2.6152344624631958</v>
      </c>
      <c r="AT185">
        <v>2.6258163039290259</v>
      </c>
      <c r="AU185">
        <v>2.6770925771160479</v>
      </c>
      <c r="AV185">
        <v>1.7535744475955739</v>
      </c>
      <c r="AW185">
        <v>2.290249028475706</v>
      </c>
      <c r="AX185">
        <v>3.0370233261701189</v>
      </c>
      <c r="AY185">
        <v>3.3654019617199258</v>
      </c>
      <c r="AZ185">
        <v>2.3761431029065858</v>
      </c>
      <c r="BA185">
        <v>3.9589493731206029</v>
      </c>
      <c r="BB185">
        <v>2.1156511055456022</v>
      </c>
      <c r="BC185">
        <v>2.3020238595857241</v>
      </c>
      <c r="BD185">
        <v>4.0279066739204001</v>
      </c>
      <c r="BE185">
        <v>1.0599131844563221</v>
      </c>
      <c r="BF185">
        <v>1.1344226644581701</v>
      </c>
      <c r="BG185">
        <v>1.227507505973999</v>
      </c>
      <c r="BH185">
        <v>0.29270462813610149</v>
      </c>
      <c r="BI185">
        <v>0.64624028445452431</v>
      </c>
      <c r="BJ185">
        <v>1.85078767452536</v>
      </c>
      <c r="BK185">
        <v>1.5982970380169561</v>
      </c>
      <c r="BL185">
        <v>1.619631901840475</v>
      </c>
      <c r="BM185">
        <v>1.7145617000724489</v>
      </c>
      <c r="BN185">
        <v>3.9411206077872829</v>
      </c>
      <c r="BO185">
        <v>7.1722247601644096</v>
      </c>
      <c r="BP185">
        <v>5.7331628303495723</v>
      </c>
      <c r="BQ185">
        <v>2.9227978230195668</v>
      </c>
    </row>
    <row r="186" spans="1:69" x14ac:dyDescent="0.25">
      <c r="A186" t="s">
        <v>1405</v>
      </c>
      <c r="B186" t="s">
        <v>1406</v>
      </c>
      <c r="C186" t="s">
        <v>1575</v>
      </c>
      <c r="D186" t="s">
        <v>1576</v>
      </c>
      <c r="E186">
        <v>1.9457493519864519</v>
      </c>
      <c r="F186">
        <v>2.1579731098196429</v>
      </c>
      <c r="G186">
        <v>4.263727121490855</v>
      </c>
      <c r="H186">
        <v>2.9669597758771009</v>
      </c>
      <c r="I186">
        <v>3.444898482227678</v>
      </c>
      <c r="J186">
        <v>4.1872244399800449</v>
      </c>
      <c r="K186">
        <v>4.1743476185299491</v>
      </c>
      <c r="L186">
        <v>3.5799522673031179</v>
      </c>
      <c r="M186">
        <v>4.0938914310683634</v>
      </c>
      <c r="N186">
        <v>3.487919243951934</v>
      </c>
      <c r="O186">
        <v>5.7311448429353158</v>
      </c>
      <c r="P186">
        <v>6.3953488372092648</v>
      </c>
      <c r="Q186">
        <v>6.5623609025653584</v>
      </c>
      <c r="R186">
        <v>9.1434711287436379</v>
      </c>
      <c r="S186">
        <v>15.54852003260279</v>
      </c>
      <c r="T186">
        <v>14.156872627287431</v>
      </c>
      <c r="U186">
        <v>11.636752055886941</v>
      </c>
      <c r="V186">
        <v>11.18202145957031</v>
      </c>
      <c r="W186">
        <v>8.6184321950599116</v>
      </c>
      <c r="X186">
        <v>10.128892275368811</v>
      </c>
      <c r="Y186">
        <v>13.63445060660105</v>
      </c>
      <c r="Z186">
        <v>13.642960812772181</v>
      </c>
      <c r="AA186">
        <v>11.3409961685824</v>
      </c>
      <c r="AB186">
        <v>8.8730215236321328</v>
      </c>
      <c r="AC186">
        <v>7.6738026224732074</v>
      </c>
      <c r="AD186">
        <v>6.7346938775509964</v>
      </c>
      <c r="AE186">
        <v>5.2916617007109057</v>
      </c>
      <c r="AF186">
        <v>4.7472849038978913</v>
      </c>
      <c r="AG186">
        <v>5.824898684394368</v>
      </c>
      <c r="AH186">
        <v>6.2598313795697678</v>
      </c>
      <c r="AI186">
        <v>6.7218195222865678</v>
      </c>
      <c r="AJ186">
        <v>5.9342134433592433</v>
      </c>
      <c r="AK186">
        <v>5.0569779673173088</v>
      </c>
      <c r="AL186">
        <v>4.5979032100655566</v>
      </c>
      <c r="AM186">
        <v>3.502625774133977</v>
      </c>
      <c r="AN186">
        <v>4.3517786132836713</v>
      </c>
      <c r="AO186">
        <v>3.0000907625161508</v>
      </c>
      <c r="AP186">
        <v>2.2690030591249921</v>
      </c>
      <c r="AQ186">
        <v>2.105774811353371</v>
      </c>
      <c r="AR186">
        <v>2.1726031887620838</v>
      </c>
      <c r="AS186">
        <v>3.0638034489953569</v>
      </c>
      <c r="AT186">
        <v>3.1890826810605222</v>
      </c>
      <c r="AU186">
        <v>2.4773606791093501</v>
      </c>
      <c r="AV186">
        <v>2.1842835824151901</v>
      </c>
      <c r="AW186">
        <v>2.257964096382298</v>
      </c>
      <c r="AX186">
        <v>2.4721217904786319</v>
      </c>
      <c r="AY186">
        <v>2.600153764603518</v>
      </c>
      <c r="AZ186">
        <v>2.4847043881287121</v>
      </c>
      <c r="BA186">
        <v>4.1140702203381636</v>
      </c>
      <c r="BB186">
        <v>1.1045771117539069</v>
      </c>
      <c r="BC186">
        <v>1.807352305660979</v>
      </c>
      <c r="BD186">
        <v>3.3742975943252209</v>
      </c>
      <c r="BE186">
        <v>2.529455209157724</v>
      </c>
      <c r="BF186">
        <v>1.4515652639837839</v>
      </c>
      <c r="BG186">
        <v>0.62451731108656894</v>
      </c>
      <c r="BH186">
        <v>0.33870569541016782</v>
      </c>
      <c r="BI186">
        <v>0.44325815756578318</v>
      </c>
      <c r="BJ186">
        <v>1.8226433605906269</v>
      </c>
      <c r="BK186">
        <v>1.932468122863596</v>
      </c>
      <c r="BL186">
        <v>1.740712678701805</v>
      </c>
      <c r="BM186">
        <v>0.73285164517585977</v>
      </c>
      <c r="BN186">
        <v>2.81528854435832</v>
      </c>
      <c r="BO186">
        <v>8.2380324069718611</v>
      </c>
      <c r="BP186">
        <v>5.6776786261542913</v>
      </c>
      <c r="BQ186">
        <v>2.7658936797952198</v>
      </c>
    </row>
    <row r="187" spans="1:69" x14ac:dyDescent="0.25">
      <c r="A187" t="s">
        <v>1407</v>
      </c>
      <c r="B187" t="s">
        <v>1408</v>
      </c>
      <c r="C187" t="s">
        <v>1575</v>
      </c>
      <c r="D187" t="s">
        <v>1576</v>
      </c>
      <c r="AT187">
        <v>-0.81666666666665622</v>
      </c>
      <c r="AU187">
        <v>-0.27957882257137262</v>
      </c>
      <c r="AV187">
        <v>0.23132868226714251</v>
      </c>
      <c r="AW187">
        <v>0.62496906263136742</v>
      </c>
      <c r="AX187">
        <v>1.909835535318648</v>
      </c>
      <c r="AY187">
        <v>3.5449859160503312</v>
      </c>
      <c r="AZ187">
        <v>5.8304841809271011</v>
      </c>
      <c r="BA187">
        <v>12.375409152991191</v>
      </c>
      <c r="BB187">
        <v>3.4688102375489311</v>
      </c>
      <c r="BC187">
        <v>3.256579590786242</v>
      </c>
      <c r="BD187">
        <v>4.0421886711638999</v>
      </c>
      <c r="BE187">
        <v>2.9477349525720919</v>
      </c>
      <c r="BF187">
        <v>1.0535482026593179</v>
      </c>
      <c r="BG187">
        <v>1.014014839241558</v>
      </c>
      <c r="BH187">
        <v>6.5290133028659936E-2</v>
      </c>
      <c r="BI187">
        <v>1.1092080580702659</v>
      </c>
      <c r="BJ187">
        <v>1.589094135677986</v>
      </c>
      <c r="BK187">
        <v>0.88931237097040394</v>
      </c>
      <c r="BL187">
        <v>0.49081536282067117</v>
      </c>
      <c r="BM187">
        <v>-0.40640291946584989</v>
      </c>
      <c r="BN187">
        <v>1.682211858760845</v>
      </c>
      <c r="BO187">
        <v>2.5061425061424969</v>
      </c>
      <c r="BP187">
        <v>0.95078299776282726</v>
      </c>
      <c r="BQ187">
        <v>0.59358923624846904</v>
      </c>
    </row>
    <row r="188" spans="1:69" x14ac:dyDescent="0.25">
      <c r="A188" t="s">
        <v>1409</v>
      </c>
      <c r="B188" t="s">
        <v>1410</v>
      </c>
      <c r="C188" t="s">
        <v>1575</v>
      </c>
      <c r="D188" t="s">
        <v>1576</v>
      </c>
      <c r="Z188">
        <v>10.744693608397659</v>
      </c>
      <c r="AA188">
        <v>6.4327972669368911</v>
      </c>
      <c r="AB188">
        <v>5.5894980184393894</v>
      </c>
      <c r="AC188">
        <v>6.5148288610273424</v>
      </c>
      <c r="AD188">
        <v>3.6938344739486189</v>
      </c>
      <c r="AE188">
        <v>9.7221932767856263</v>
      </c>
      <c r="AF188">
        <v>3.846153846154087</v>
      </c>
      <c r="AG188">
        <v>5.2652171710466291</v>
      </c>
      <c r="AH188">
        <v>5.8605095185283069</v>
      </c>
      <c r="AI188">
        <v>7.2569464756495137</v>
      </c>
      <c r="AJ188">
        <v>6.904896327427565</v>
      </c>
      <c r="AK188">
        <v>4.2956155335386983</v>
      </c>
      <c r="AL188">
        <v>5.7883959044369746</v>
      </c>
      <c r="AM188">
        <v>4.1299218163825859</v>
      </c>
      <c r="AN188">
        <v>5.9666413949961257</v>
      </c>
      <c r="AO188">
        <v>5.9636196177757554</v>
      </c>
      <c r="AP188">
        <v>6.6694152663259416</v>
      </c>
      <c r="AQ188">
        <v>3.4870438398435981</v>
      </c>
      <c r="AR188">
        <v>3.826272321146809</v>
      </c>
      <c r="AS188">
        <v>4.0800735860541213</v>
      </c>
      <c r="AT188">
        <v>4.4020668617055128</v>
      </c>
      <c r="AU188">
        <v>3.167098597444121</v>
      </c>
      <c r="AV188">
        <v>2.5723086169333942</v>
      </c>
      <c r="AW188">
        <v>3.1402276449890869</v>
      </c>
      <c r="AX188">
        <v>3.010645237542168</v>
      </c>
      <c r="AY188">
        <v>3.4834069967786649</v>
      </c>
      <c r="AZ188">
        <v>5.0515573649214573</v>
      </c>
      <c r="BA188">
        <v>9.0642362194894162</v>
      </c>
      <c r="BB188">
        <v>2.5160912814511258</v>
      </c>
      <c r="BC188">
        <v>2.9720451201569351</v>
      </c>
      <c r="BD188">
        <v>4.473883421650231</v>
      </c>
      <c r="BE188">
        <v>4.1452472498111872</v>
      </c>
      <c r="BF188">
        <v>2.7805665895498759</v>
      </c>
      <c r="BG188">
        <v>1.3418649434015739</v>
      </c>
      <c r="BH188">
        <v>0.95320665877760669</v>
      </c>
      <c r="BI188">
        <v>0.64270277152730426</v>
      </c>
      <c r="BJ188">
        <v>1.760415591805965</v>
      </c>
      <c r="BK188">
        <v>2.6112237826379969</v>
      </c>
      <c r="BL188">
        <v>1.642060017689402</v>
      </c>
      <c r="BM188">
        <v>0.71259344313793183</v>
      </c>
      <c r="BN188">
        <v>2.428445327893197</v>
      </c>
      <c r="BO188">
        <v>7.4681193541493709</v>
      </c>
      <c r="BP188">
        <v>5.5129380880414276</v>
      </c>
      <c r="BQ188">
        <v>2.0696977047983371</v>
      </c>
    </row>
    <row r="189" spans="1:69" x14ac:dyDescent="0.25">
      <c r="A189" t="s">
        <v>1411</v>
      </c>
      <c r="B189" t="s">
        <v>1412</v>
      </c>
      <c r="C189" t="s">
        <v>1575</v>
      </c>
      <c r="D189" t="s">
        <v>1576</v>
      </c>
      <c r="E189">
        <v>6.9473684210528894</v>
      </c>
      <c r="F189">
        <v>1.640419947506089</v>
      </c>
      <c r="G189">
        <v>-0.51646223369849953</v>
      </c>
      <c r="H189">
        <v>1.456488447974964</v>
      </c>
      <c r="I189">
        <v>4.1795868814531927</v>
      </c>
      <c r="J189">
        <v>5.5686354793637518</v>
      </c>
      <c r="K189">
        <v>7.227621597877353</v>
      </c>
      <c r="L189">
        <v>6.811399634286877</v>
      </c>
      <c r="M189">
        <v>0.17062734843810129</v>
      </c>
      <c r="N189">
        <v>3.1869867957368569</v>
      </c>
      <c r="O189">
        <v>5.3498409098301662</v>
      </c>
      <c r="P189">
        <v>4.7306914823227224</v>
      </c>
      <c r="Q189">
        <v>5.1832376454913849</v>
      </c>
      <c r="R189">
        <v>23.070084025084441</v>
      </c>
      <c r="S189">
        <v>26.663034853748801</v>
      </c>
      <c r="T189">
        <v>20.90450945739979</v>
      </c>
      <c r="U189">
        <v>7.1583237311846482</v>
      </c>
      <c r="V189">
        <v>10.13296768740547</v>
      </c>
      <c r="W189">
        <v>6.1386926674274269</v>
      </c>
      <c r="X189">
        <v>8.2670469761757186</v>
      </c>
      <c r="Y189">
        <v>11.938230910708731</v>
      </c>
      <c r="Z189">
        <v>11.879913592528281</v>
      </c>
      <c r="AA189">
        <v>5.9035287843586346</v>
      </c>
      <c r="AB189">
        <v>6.3620334998529966</v>
      </c>
      <c r="AC189">
        <v>6.0871667357371617</v>
      </c>
      <c r="AD189">
        <v>5.6148392179322402</v>
      </c>
      <c r="AE189">
        <v>3.506414247582045</v>
      </c>
      <c r="AF189">
        <v>4.6812185462021274</v>
      </c>
      <c r="AG189">
        <v>8.8379370181777261</v>
      </c>
      <c r="AH189">
        <v>7.8442647374004393</v>
      </c>
      <c r="AI189">
        <v>9.0521315527977642</v>
      </c>
      <c r="AJ189">
        <v>11.79127033514159</v>
      </c>
      <c r="AK189">
        <v>9.5090414619015036</v>
      </c>
      <c r="AL189">
        <v>9.9736647602920918</v>
      </c>
      <c r="AM189">
        <v>12.3681943936948</v>
      </c>
      <c r="AN189">
        <v>12.343578517051331</v>
      </c>
      <c r="AO189">
        <v>10.373808588500181</v>
      </c>
      <c r="AP189">
        <v>11.3754928865122</v>
      </c>
      <c r="AQ189">
        <v>6.228004154245431</v>
      </c>
      <c r="AR189">
        <v>4.1426371808217111</v>
      </c>
      <c r="AS189">
        <v>4.3666645129168051</v>
      </c>
      <c r="AT189">
        <v>3.1482614459061788</v>
      </c>
      <c r="AU189">
        <v>3.2903447261315262</v>
      </c>
      <c r="AV189">
        <v>2.9141347005947922</v>
      </c>
      <c r="AW189">
        <v>7.4446246934273947</v>
      </c>
      <c r="AX189">
        <v>9.0633273703041706</v>
      </c>
      <c r="AY189">
        <v>7.921084400587886</v>
      </c>
      <c r="AZ189">
        <v>7.5986844105077447</v>
      </c>
      <c r="BA189">
        <v>20.28612109295543</v>
      </c>
      <c r="BB189">
        <v>13.647765063976131</v>
      </c>
      <c r="BC189">
        <v>12.938870563488919</v>
      </c>
      <c r="BD189">
        <v>11.9160927116277</v>
      </c>
      <c r="BE189">
        <v>9.6823518605568388</v>
      </c>
      <c r="BF189">
        <v>7.6921561189956469</v>
      </c>
      <c r="BG189">
        <v>7.1893840284702764</v>
      </c>
      <c r="BH189">
        <v>2.5293281725422858</v>
      </c>
      <c r="BI189">
        <v>3.7651191635658048</v>
      </c>
      <c r="BJ189">
        <v>4.0853736803260796</v>
      </c>
      <c r="BK189">
        <v>5.0780572586891681</v>
      </c>
      <c r="BL189">
        <v>10.578361800455481</v>
      </c>
      <c r="BM189">
        <v>9.7399931389815464</v>
      </c>
      <c r="BN189">
        <v>9.4962105612494696</v>
      </c>
      <c r="BO189">
        <v>19.873859964665549</v>
      </c>
      <c r="BP189">
        <v>30.76812806570052</v>
      </c>
      <c r="BQ189">
        <v>12.63253185304518</v>
      </c>
    </row>
    <row r="190" spans="1:69" x14ac:dyDescent="0.25">
      <c r="A190" t="s">
        <v>1413</v>
      </c>
      <c r="B190" t="s">
        <v>1414</v>
      </c>
      <c r="C190" t="s">
        <v>1575</v>
      </c>
      <c r="D190" t="s">
        <v>1576</v>
      </c>
      <c r="E190">
        <v>5.1177072415766592E-2</v>
      </c>
      <c r="F190">
        <v>0.61381074194672725</v>
      </c>
      <c r="G190">
        <v>0.7880020335559117</v>
      </c>
      <c r="H190">
        <v>0.44988752812000249</v>
      </c>
      <c r="I190">
        <v>2.413535704913746</v>
      </c>
      <c r="J190">
        <v>0.46161321671986172</v>
      </c>
      <c r="K190">
        <v>0.19347037509259291</v>
      </c>
      <c r="L190">
        <v>1.3758146270917671</v>
      </c>
      <c r="M190">
        <v>1.619047619535491</v>
      </c>
      <c r="N190">
        <v>1.827553889413559</v>
      </c>
      <c r="O190">
        <v>3.083294983670287</v>
      </c>
      <c r="P190">
        <v>1.919642857151415</v>
      </c>
      <c r="Q190">
        <v>5.4095488394892648</v>
      </c>
      <c r="R190">
        <v>6.8564305005337687</v>
      </c>
      <c r="S190">
        <v>16.268066627712471</v>
      </c>
      <c r="T190">
        <v>5.8810413065094407</v>
      </c>
      <c r="U190">
        <v>3.9499999994172241</v>
      </c>
      <c r="V190">
        <v>4.5855379188961347</v>
      </c>
      <c r="W190">
        <v>4.2005212326609653</v>
      </c>
      <c r="X190">
        <v>7.9888185961076843</v>
      </c>
      <c r="Y190">
        <v>13.80790190780079</v>
      </c>
      <c r="Z190">
        <v>7.3023283652621904</v>
      </c>
      <c r="AA190">
        <v>4.2505717632812408</v>
      </c>
      <c r="AB190">
        <v>2.1028412436816679</v>
      </c>
      <c r="AC190">
        <v>1.5826433285858701</v>
      </c>
      <c r="AD190">
        <v>1.0266198927515671</v>
      </c>
      <c r="AE190">
        <v>-6.6384108359355182E-2</v>
      </c>
      <c r="AF190">
        <v>0.99642309667917772</v>
      </c>
      <c r="AG190">
        <v>0.3592208449281698</v>
      </c>
      <c r="AH190">
        <v>0.20586725831774519</v>
      </c>
      <c r="AI190">
        <v>0.76948535495602344</v>
      </c>
      <c r="AJ190">
        <v>1.256260776746883</v>
      </c>
      <c r="AK190">
        <v>1.8245215698995749</v>
      </c>
      <c r="AL190">
        <v>0.45393007884038772</v>
      </c>
      <c r="AM190">
        <v>1.2684319010619569</v>
      </c>
      <c r="AN190">
        <v>0.9942069829338408</v>
      </c>
      <c r="AO190">
        <v>1.2557166111154761</v>
      </c>
      <c r="AP190">
        <v>1.3243512210060759</v>
      </c>
      <c r="AQ190">
        <v>0.55908129344249347</v>
      </c>
      <c r="AR190">
        <v>1.2471825694963641</v>
      </c>
      <c r="AS190">
        <v>1.4989611160577661</v>
      </c>
      <c r="AT190">
        <v>0.30706243602872202</v>
      </c>
      <c r="AU190">
        <v>1.0058309037903941</v>
      </c>
      <c r="AV190">
        <v>0.39166666666665712</v>
      </c>
      <c r="AW190">
        <v>0.47472307820433579</v>
      </c>
      <c r="AX190">
        <v>2.8558832476095928</v>
      </c>
      <c r="AY190">
        <v>2.4578934644209571</v>
      </c>
      <c r="AZ190">
        <v>4.1686330029888694</v>
      </c>
      <c r="BA190">
        <v>8.7586831772878355</v>
      </c>
      <c r="BB190">
        <v>2.4090530408219979</v>
      </c>
      <c r="BC190">
        <v>3.4912887261880021</v>
      </c>
      <c r="BD190">
        <v>5.8758024367877004</v>
      </c>
      <c r="BE190">
        <v>5.69819959165992</v>
      </c>
      <c r="BF190">
        <v>4.0271599157106026</v>
      </c>
      <c r="BG190">
        <v>2.6265269992915141</v>
      </c>
      <c r="BH190">
        <v>0.13749205846150431</v>
      </c>
      <c r="BI190">
        <v>0.73973402530003285</v>
      </c>
      <c r="BJ190">
        <v>0.87558591875987823</v>
      </c>
      <c r="BK190">
        <v>0.76157835939994412</v>
      </c>
      <c r="BL190">
        <v>-0.3550838210212453</v>
      </c>
      <c r="BM190">
        <v>-1.550275408037604</v>
      </c>
      <c r="BN190">
        <v>1.6307033730189791</v>
      </c>
      <c r="BO190">
        <v>2.859651288347111</v>
      </c>
      <c r="BP190">
        <v>1.4864135527703759</v>
      </c>
      <c r="BQ190">
        <v>0.69322555100453787</v>
      </c>
    </row>
    <row r="191" spans="1:69" x14ac:dyDescent="0.25">
      <c r="A191" t="s">
        <v>1415</v>
      </c>
      <c r="B191" t="s">
        <v>1416</v>
      </c>
      <c r="C191" t="s">
        <v>1575</v>
      </c>
      <c r="D191" t="s">
        <v>1576</v>
      </c>
      <c r="E191">
        <v>8.6644591627191012</v>
      </c>
      <c r="F191">
        <v>5.9167089883637543</v>
      </c>
      <c r="G191">
        <v>6.6410932635974937</v>
      </c>
      <c r="H191">
        <v>6.070143884285927</v>
      </c>
      <c r="I191">
        <v>9.792284866634839</v>
      </c>
      <c r="J191">
        <v>16.38996138944238</v>
      </c>
      <c r="K191">
        <v>8.8406037492220868</v>
      </c>
      <c r="L191">
        <v>9.7836025606341366</v>
      </c>
      <c r="M191">
        <v>19.086618545438039</v>
      </c>
      <c r="N191">
        <v>6.2361580607806122</v>
      </c>
      <c r="O191">
        <v>5.0252359007242449</v>
      </c>
      <c r="P191">
        <v>6.7906393649541474</v>
      </c>
      <c r="Q191">
        <v>7.2197221677054513</v>
      </c>
      <c r="R191">
        <v>9.4890510950339806</v>
      </c>
      <c r="S191">
        <v>16.89166666657032</v>
      </c>
      <c r="T191">
        <v>23.61873529633262</v>
      </c>
      <c r="U191">
        <v>33.483275663456638</v>
      </c>
      <c r="V191">
        <v>38.054091419679303</v>
      </c>
      <c r="W191">
        <v>57.84878262515052</v>
      </c>
      <c r="X191">
        <v>66.694422966487636</v>
      </c>
      <c r="Y191">
        <v>59.145071244491383</v>
      </c>
      <c r="Z191">
        <v>75.433268757606442</v>
      </c>
      <c r="AA191">
        <v>64.448158538792853</v>
      </c>
      <c r="AB191">
        <v>111.1506352091574</v>
      </c>
      <c r="AC191">
        <v>110.2085195625433</v>
      </c>
      <c r="AD191">
        <v>163.39950524368751</v>
      </c>
      <c r="AE191">
        <v>77.921025547359477</v>
      </c>
      <c r="AF191">
        <v>85.822306238184552</v>
      </c>
      <c r="AG191">
        <v>667.01932858596149</v>
      </c>
      <c r="AH191">
        <v>3398.679010053324</v>
      </c>
      <c r="AI191">
        <v>7481.663611245257</v>
      </c>
      <c r="AJ191">
        <v>409.53016662202282</v>
      </c>
      <c r="AK191">
        <v>73.528294244264146</v>
      </c>
      <c r="AL191">
        <v>48.579986446888491</v>
      </c>
      <c r="AM191">
        <v>23.73690505650459</v>
      </c>
      <c r="AN191">
        <v>11.128702970708851</v>
      </c>
      <c r="AO191">
        <v>11.537942411517729</v>
      </c>
      <c r="AP191">
        <v>8.5621894895365305</v>
      </c>
      <c r="AQ191">
        <v>7.2478217521346897</v>
      </c>
      <c r="AR191">
        <v>3.4696599629301899</v>
      </c>
      <c r="AS191">
        <v>3.7573383334447441</v>
      </c>
      <c r="AT191">
        <v>1.9770987850205319</v>
      </c>
      <c r="AU191">
        <v>0.1931350038537219</v>
      </c>
      <c r="AV191">
        <v>2.2593775336307229</v>
      </c>
      <c r="AW191">
        <v>3.6624732009223342</v>
      </c>
      <c r="AX191">
        <v>1.616301938625438</v>
      </c>
      <c r="AY191">
        <v>2.0022580124881859</v>
      </c>
      <c r="AZ191">
        <v>1.7799864468037181</v>
      </c>
      <c r="BA191">
        <v>5.7858759820675534</v>
      </c>
      <c r="BB191">
        <v>2.9362315359669968</v>
      </c>
      <c r="BC191">
        <v>1.5283205973290099</v>
      </c>
      <c r="BD191">
        <v>3.3693109533385308</v>
      </c>
      <c r="BE191">
        <v>3.6112129494016321</v>
      </c>
      <c r="BF191">
        <v>2.7678966608200191</v>
      </c>
      <c r="BG191">
        <v>3.4119457980746462</v>
      </c>
      <c r="BH191">
        <v>3.398091947463076</v>
      </c>
      <c r="BI191">
        <v>3.5571766355627892</v>
      </c>
      <c r="BJ191">
        <v>2.9949004580944281</v>
      </c>
      <c r="BK191">
        <v>1.509154230247419</v>
      </c>
      <c r="BL191">
        <v>2.2521219135802699</v>
      </c>
      <c r="BM191">
        <v>2.0024120575929181</v>
      </c>
      <c r="BN191">
        <v>4.2716638153679778</v>
      </c>
      <c r="BO191">
        <v>8.3337063009623087</v>
      </c>
      <c r="BP191">
        <v>6.4556134836958616</v>
      </c>
      <c r="BQ191">
        <v>2.0077073941271202</v>
      </c>
    </row>
    <row r="192" spans="1:69" x14ac:dyDescent="0.25">
      <c r="A192" t="s">
        <v>1417</v>
      </c>
      <c r="B192" t="s">
        <v>1418</v>
      </c>
      <c r="C192" t="s">
        <v>1575</v>
      </c>
      <c r="D192" t="s">
        <v>1576</v>
      </c>
      <c r="E192">
        <v>4.1548217798216136</v>
      </c>
      <c r="F192">
        <v>1.59563300452722</v>
      </c>
      <c r="G192">
        <v>5.7966522010137602</v>
      </c>
      <c r="H192">
        <v>5.625549370088236</v>
      </c>
      <c r="I192">
        <v>8.183079057003301</v>
      </c>
      <c r="J192">
        <v>2.5641025642844859</v>
      </c>
      <c r="K192">
        <v>5.3999999996807464</v>
      </c>
      <c r="L192">
        <v>6.2539531939773401</v>
      </c>
      <c r="M192">
        <v>2.3588064589059439</v>
      </c>
      <c r="N192">
        <v>1.955510322853842</v>
      </c>
      <c r="O192">
        <v>14.381461675732821</v>
      </c>
      <c r="P192">
        <v>21.403343536614301</v>
      </c>
      <c r="Q192">
        <v>8.2040341349883388</v>
      </c>
      <c r="R192">
        <v>16.580032263846402</v>
      </c>
      <c r="S192">
        <v>34.163591635916482</v>
      </c>
      <c r="T192">
        <v>6.761402704560771</v>
      </c>
      <c r="U192">
        <v>9.1992271361101121</v>
      </c>
      <c r="V192">
        <v>9.8987515973656564</v>
      </c>
      <c r="W192">
        <v>7.3345259391769204</v>
      </c>
      <c r="X192">
        <v>17.53333333275015</v>
      </c>
      <c r="Y192">
        <v>18.20051049385085</v>
      </c>
      <c r="Z192">
        <v>13.082598524167571</v>
      </c>
      <c r="AA192">
        <v>10.22172713768915</v>
      </c>
      <c r="AB192">
        <v>10.029356562048131</v>
      </c>
      <c r="AC192">
        <v>50.338975637449757</v>
      </c>
      <c r="AD192">
        <v>23.1031071803888</v>
      </c>
      <c r="AE192">
        <v>1.148137776533384</v>
      </c>
      <c r="AF192">
        <v>4.0697674418602396</v>
      </c>
      <c r="AG192">
        <v>13.86006916733189</v>
      </c>
      <c r="AH192">
        <v>12.24299065420551</v>
      </c>
      <c r="AI192">
        <v>12.177352206494639</v>
      </c>
      <c r="AJ192">
        <v>19.261458526628161</v>
      </c>
      <c r="AK192">
        <v>8.6510035786526451</v>
      </c>
      <c r="AL192">
        <v>6.7163110410997326</v>
      </c>
      <c r="AM192">
        <v>10.386473429951749</v>
      </c>
      <c r="AN192">
        <v>6.8319961098953357</v>
      </c>
      <c r="AO192">
        <v>7.4761037778790991</v>
      </c>
      <c r="AP192">
        <v>5.590259396506009</v>
      </c>
      <c r="AQ192">
        <v>9.2349343226712115</v>
      </c>
      <c r="AR192">
        <v>5.9390490178080819</v>
      </c>
      <c r="AS192">
        <v>3.9771250324927969</v>
      </c>
      <c r="AT192">
        <v>5.3455019556714189</v>
      </c>
      <c r="AU192">
        <v>2.722772277227651</v>
      </c>
      <c r="AV192">
        <v>2.2891566265060712</v>
      </c>
      <c r="AW192">
        <v>4.8292108362779507</v>
      </c>
      <c r="AX192">
        <v>6.5168539325843327</v>
      </c>
      <c r="AY192">
        <v>5.485232067510502</v>
      </c>
      <c r="AZ192">
        <v>2.9000000000000279</v>
      </c>
      <c r="BA192">
        <v>8.2604470359572488</v>
      </c>
      <c r="BB192">
        <v>4.2190305206462799</v>
      </c>
      <c r="BC192">
        <v>3.7898363479759078</v>
      </c>
      <c r="BD192">
        <v>4.7184170471842002</v>
      </c>
      <c r="BE192">
        <v>3.0269639112479632</v>
      </c>
      <c r="BF192">
        <v>2.582687661417947</v>
      </c>
      <c r="BG192">
        <v>3.5978234386421111</v>
      </c>
      <c r="BH192">
        <v>0.67419253684540836</v>
      </c>
      <c r="BI192">
        <v>1.2536988008098171</v>
      </c>
      <c r="BJ192">
        <v>2.853187725909474</v>
      </c>
      <c r="BK192">
        <v>5.3093466162770673</v>
      </c>
      <c r="BL192">
        <v>2.392065344224044</v>
      </c>
      <c r="BM192">
        <v>2.3931623931624029</v>
      </c>
      <c r="BN192">
        <v>3.927180221003324</v>
      </c>
      <c r="BO192">
        <v>5.821158112139547</v>
      </c>
      <c r="BP192">
        <v>5.9780251554140929</v>
      </c>
      <c r="BQ192">
        <v>3.21260487006347</v>
      </c>
    </row>
    <row r="193" spans="1:69" x14ac:dyDescent="0.25">
      <c r="A193" t="s">
        <v>1419</v>
      </c>
      <c r="B193" t="s">
        <v>1420</v>
      </c>
      <c r="C193" t="s">
        <v>1575</v>
      </c>
      <c r="D193" t="s">
        <v>1576</v>
      </c>
      <c r="AU193">
        <v>-1.301236174365624</v>
      </c>
      <c r="AV193">
        <v>0.92287409360582406</v>
      </c>
      <c r="AW193">
        <v>4.9640757674721723</v>
      </c>
      <c r="AX193">
        <v>3.9514623522090968</v>
      </c>
      <c r="AY193">
        <v>4.4298114337025423</v>
      </c>
      <c r="AZ193">
        <v>3.2387503582688071</v>
      </c>
      <c r="BA193">
        <v>11.9655746807329</v>
      </c>
      <c r="BB193">
        <v>1.4381353830895289</v>
      </c>
      <c r="BC193">
        <v>1.4421901735516871</v>
      </c>
      <c r="BD193">
        <v>4.6746987951807002</v>
      </c>
      <c r="BE193">
        <v>3.6141804788213809</v>
      </c>
      <c r="BF193">
        <v>3.3548100422128702</v>
      </c>
      <c r="BG193">
        <v>4.19174548581256</v>
      </c>
      <c r="BH193">
        <v>0.94904064369708141</v>
      </c>
      <c r="BI193">
        <v>-1.0423053341507409</v>
      </c>
      <c r="BJ193">
        <v>1.4179881966691961</v>
      </c>
      <c r="BK193">
        <v>2.109704641350175</v>
      </c>
      <c r="BL193">
        <v>0.26737967914443989</v>
      </c>
      <c r="BM193">
        <v>0.2181818181818328</v>
      </c>
      <c r="BN193">
        <v>2.6124818577648048</v>
      </c>
      <c r="BO193">
        <v>12.35266383781242</v>
      </c>
      <c r="BP193">
        <v>12.819974821653361</v>
      </c>
      <c r="BQ193">
        <v>2.2317277292170381</v>
      </c>
    </row>
    <row r="194" spans="1:69" x14ac:dyDescent="0.25">
      <c r="A194" t="s">
        <v>1421</v>
      </c>
      <c r="B194" t="s">
        <v>1422</v>
      </c>
      <c r="C194" t="s">
        <v>1575</v>
      </c>
      <c r="D194" t="s">
        <v>1576</v>
      </c>
      <c r="Q194">
        <v>6.0749999995151116</v>
      </c>
      <c r="R194">
        <v>8.3431534294721743</v>
      </c>
      <c r="S194">
        <v>23.167283010324759</v>
      </c>
      <c r="T194">
        <v>10.490992582377251</v>
      </c>
      <c r="U194">
        <v>7.6566496162451179</v>
      </c>
      <c r="V194">
        <v>4.5285820346222723</v>
      </c>
      <c r="W194">
        <v>5.7999999989995858</v>
      </c>
      <c r="X194">
        <v>5.7655954631934803</v>
      </c>
      <c r="Y194">
        <v>12.06434316364594</v>
      </c>
      <c r="Z194">
        <v>8.0542264761410554</v>
      </c>
      <c r="AA194">
        <v>5.535055350553483</v>
      </c>
      <c r="AB194">
        <v>7.9020979013986299</v>
      </c>
      <c r="AC194">
        <v>7.4206092035478619</v>
      </c>
      <c r="AD194">
        <v>3.7104072398190859</v>
      </c>
      <c r="AE194">
        <v>5.4537521815008407</v>
      </c>
      <c r="AF194">
        <v>3.3374706936972052</v>
      </c>
      <c r="AG194">
        <v>5.4450820766046357</v>
      </c>
      <c r="AH194">
        <v>4.4804455132266057</v>
      </c>
      <c r="AI194">
        <v>6.9533615990307043</v>
      </c>
      <c r="AJ194">
        <v>6.9656812776075281</v>
      </c>
      <c r="AK194">
        <v>4.3096145700974811</v>
      </c>
      <c r="AL194">
        <v>4.9741143031164574</v>
      </c>
      <c r="AM194">
        <v>2.8527221738713409</v>
      </c>
      <c r="AN194">
        <v>17.280932681459038</v>
      </c>
      <c r="AO194">
        <v>11.62417829084481</v>
      </c>
      <c r="AP194">
        <v>3.9643780522840908</v>
      </c>
      <c r="AQ194">
        <v>13.57419176568089</v>
      </c>
      <c r="AR194">
        <v>14.932181740770099</v>
      </c>
      <c r="AS194">
        <v>15.595893310753519</v>
      </c>
      <c r="AT194">
        <v>9.2981733278396828</v>
      </c>
      <c r="AU194">
        <v>11.79944709726063</v>
      </c>
      <c r="AV194">
        <v>14.709077966355689</v>
      </c>
      <c r="AW194">
        <v>2.1589313126694551</v>
      </c>
      <c r="AX194">
        <v>1.7808043992582649</v>
      </c>
      <c r="AY194">
        <v>2.368462384168295</v>
      </c>
      <c r="AZ194">
        <v>0.9113504556752402</v>
      </c>
      <c r="BA194">
        <v>10.76141823268266</v>
      </c>
      <c r="BB194">
        <v>6.918325326012237</v>
      </c>
      <c r="BC194">
        <v>6.0136089356785636</v>
      </c>
      <c r="BD194">
        <v>4.4408340102897101</v>
      </c>
      <c r="BE194">
        <v>4.5372050816697191</v>
      </c>
      <c r="BF194">
        <v>4.9603174603175022</v>
      </c>
      <c r="BG194">
        <v>5.2221172022684081</v>
      </c>
      <c r="BH194">
        <v>5.9959577812710743</v>
      </c>
      <c r="BI194">
        <v>6.6737288135592951</v>
      </c>
      <c r="BJ194">
        <v>5.4220456802383357</v>
      </c>
      <c r="BK194">
        <v>4.374489214531625</v>
      </c>
      <c r="BL194">
        <v>3.9286729093959729</v>
      </c>
      <c r="BM194">
        <v>4.8716739856555469</v>
      </c>
      <c r="BN194">
        <v>4.4835901404239822</v>
      </c>
      <c r="BO194">
        <v>5.2532392221524056</v>
      </c>
      <c r="BP194">
        <v>2.298699912967908</v>
      </c>
      <c r="BQ194">
        <v>0.60240392110791674</v>
      </c>
    </row>
    <row r="195" spans="1:69" x14ac:dyDescent="0.25">
      <c r="A195" t="s">
        <v>1423</v>
      </c>
      <c r="B195" t="s">
        <v>1424</v>
      </c>
      <c r="C195" t="s">
        <v>1575</v>
      </c>
      <c r="D195" t="s">
        <v>1576</v>
      </c>
      <c r="P195">
        <v>1.099999999000123</v>
      </c>
      <c r="Q195">
        <v>-9.8911967360075834E-2</v>
      </c>
      <c r="R195">
        <v>2.4752475247523078</v>
      </c>
      <c r="S195">
        <v>7.0531400956522932</v>
      </c>
      <c r="T195">
        <v>2.2563176895508978</v>
      </c>
      <c r="U195">
        <v>4.4130626655289298</v>
      </c>
      <c r="V195">
        <v>4.9027895182155863</v>
      </c>
      <c r="W195">
        <v>8.1012658227846508</v>
      </c>
      <c r="X195">
        <v>7.0257611241218711</v>
      </c>
      <c r="Y195">
        <v>9.6827133479212879</v>
      </c>
      <c r="Z195">
        <v>19.127182044887711</v>
      </c>
      <c r="AA195">
        <v>103.55871886121</v>
      </c>
      <c r="AB195">
        <v>25.534759358289008</v>
      </c>
      <c r="AC195">
        <v>15.40099942655816</v>
      </c>
      <c r="AD195">
        <v>11.521260736849481</v>
      </c>
      <c r="AE195">
        <v>16.54996817313825</v>
      </c>
      <c r="AF195">
        <v>26.37902785363233</v>
      </c>
      <c r="AG195">
        <v>58.720829732065361</v>
      </c>
      <c r="AH195">
        <v>244.55093298482669</v>
      </c>
      <c r="AI195">
        <v>567.87880066619084</v>
      </c>
      <c r="AJ195">
        <v>76.7694992087347</v>
      </c>
      <c r="AK195">
        <v>46.098562103743113</v>
      </c>
      <c r="AL195">
        <v>36.9641666120718</v>
      </c>
      <c r="AM195">
        <v>32.991276609352198</v>
      </c>
      <c r="AN195">
        <v>27.951388563304022</v>
      </c>
      <c r="AO195">
        <v>19.794966919670689</v>
      </c>
      <c r="AP195">
        <v>14.913158614959929</v>
      </c>
      <c r="AQ195">
        <v>11.597855425723511</v>
      </c>
      <c r="AR195">
        <v>7.1540729117986226</v>
      </c>
      <c r="AS195">
        <v>9.9001753884306432</v>
      </c>
      <c r="AT195">
        <v>5.4083354556614767</v>
      </c>
      <c r="AU195">
        <v>1.905282150480553</v>
      </c>
      <c r="AV195">
        <v>0.68270137578768064</v>
      </c>
      <c r="AW195">
        <v>3.3826468188469141</v>
      </c>
      <c r="AX195">
        <v>2.1837987239025791</v>
      </c>
      <c r="AY195">
        <v>1.2846939436640821</v>
      </c>
      <c r="AZ195">
        <v>2.4587431238540232</v>
      </c>
      <c r="BA195">
        <v>4.1649719352476362</v>
      </c>
      <c r="BB195">
        <v>3.7953924248340551</v>
      </c>
      <c r="BC195">
        <v>2.5806937025054251</v>
      </c>
      <c r="BD195">
        <v>4.2394014962593998</v>
      </c>
      <c r="BE195">
        <v>3.5603715170278289</v>
      </c>
      <c r="BF195">
        <v>0.99198260633242763</v>
      </c>
      <c r="BG195">
        <v>5.3821313239980163E-2</v>
      </c>
      <c r="BH195">
        <v>-0.87412587412576992</v>
      </c>
      <c r="BI195">
        <v>-0.66476733143396094</v>
      </c>
      <c r="BJ195">
        <v>2.0759355367384962</v>
      </c>
      <c r="BK195">
        <v>1.8129515654267929</v>
      </c>
      <c r="BL195">
        <v>2.2274788093830038</v>
      </c>
      <c r="BM195">
        <v>3.3744697261858869</v>
      </c>
      <c r="BN195">
        <v>5.0550270471927172</v>
      </c>
      <c r="BO195">
        <v>14.42945075757576</v>
      </c>
      <c r="BP195">
        <v>11.528912796110481</v>
      </c>
      <c r="BQ195">
        <v>3.7842600751286972</v>
      </c>
    </row>
    <row r="196" spans="1:69" x14ac:dyDescent="0.25">
      <c r="A196" t="s">
        <v>1425</v>
      </c>
      <c r="B196" t="s">
        <v>1426</v>
      </c>
      <c r="C196" t="s">
        <v>1575</v>
      </c>
      <c r="D196" t="s">
        <v>1576</v>
      </c>
      <c r="AE196">
        <v>6.1847785445693431</v>
      </c>
      <c r="AF196">
        <v>8.152342538008714</v>
      </c>
      <c r="AG196">
        <v>9.3106365298707399</v>
      </c>
      <c r="AH196">
        <v>8.2750160875159171</v>
      </c>
      <c r="AI196">
        <v>6.600225648740178</v>
      </c>
      <c r="AJ196">
        <v>8.5926476049019218</v>
      </c>
      <c r="AK196">
        <v>9.4865425061716326</v>
      </c>
      <c r="AL196">
        <v>7.9170741936265356</v>
      </c>
      <c r="AM196">
        <v>34.64963615083235</v>
      </c>
      <c r="AN196">
        <v>16.43350345241635</v>
      </c>
      <c r="AO196">
        <v>7.1916466043334424</v>
      </c>
      <c r="AP196">
        <v>6.8706392761614641</v>
      </c>
      <c r="AQ196">
        <v>6.4652262970862386</v>
      </c>
      <c r="AR196">
        <v>3.812372053660197</v>
      </c>
      <c r="AS196">
        <v>4.1654044229028262</v>
      </c>
      <c r="AT196">
        <v>5.0774504552249571</v>
      </c>
      <c r="AU196">
        <v>4.3787597178087259</v>
      </c>
      <c r="AV196">
        <v>5.2277338613967981</v>
      </c>
      <c r="AW196">
        <v>4.1070359395540246</v>
      </c>
      <c r="AX196">
        <v>7.7974978178644019</v>
      </c>
      <c r="AY196">
        <v>6.6952646577335431</v>
      </c>
      <c r="AZ196">
        <v>5.9959075587636548</v>
      </c>
      <c r="BA196">
        <v>10.287684792119419</v>
      </c>
      <c r="BB196">
        <v>4.561506876709827</v>
      </c>
      <c r="BC196">
        <v>3.976552884781682</v>
      </c>
      <c r="BD196">
        <v>6.4293968107234001</v>
      </c>
      <c r="BE196">
        <v>6.4412128093411702</v>
      </c>
      <c r="BF196">
        <v>4.6316161972946128</v>
      </c>
      <c r="BG196">
        <v>3.534368561473237</v>
      </c>
      <c r="BH196">
        <v>3.2547268811763099</v>
      </c>
      <c r="BI196">
        <v>4.3838919551391493</v>
      </c>
      <c r="BJ196">
        <v>4.5783374121254967</v>
      </c>
      <c r="BK196">
        <v>2.802037835101737</v>
      </c>
      <c r="BL196">
        <v>2.5690878466475939</v>
      </c>
      <c r="BM196">
        <v>3.398629285188528</v>
      </c>
      <c r="BN196">
        <v>4.2227896203319411</v>
      </c>
      <c r="BO196">
        <v>8.7756748298852347</v>
      </c>
      <c r="BP196">
        <v>7.1022092855705923</v>
      </c>
      <c r="BQ196">
        <v>4.1346927807827267</v>
      </c>
    </row>
    <row r="197" spans="1:69" x14ac:dyDescent="0.25">
      <c r="A197" t="s">
        <v>1427</v>
      </c>
      <c r="B197" t="s">
        <v>1428</v>
      </c>
      <c r="C197" t="s">
        <v>1575</v>
      </c>
      <c r="D197" t="s">
        <v>1576</v>
      </c>
    </row>
    <row r="198" spans="1:69" x14ac:dyDescent="0.25">
      <c r="A198" t="s">
        <v>1429</v>
      </c>
      <c r="B198" t="s">
        <v>1430</v>
      </c>
      <c r="C198" t="s">
        <v>1575</v>
      </c>
      <c r="D198" t="s">
        <v>1576</v>
      </c>
    </row>
    <row r="199" spans="1:69" x14ac:dyDescent="0.25">
      <c r="A199" t="s">
        <v>1431</v>
      </c>
      <c r="B199" t="s">
        <v>1432</v>
      </c>
      <c r="C199" t="s">
        <v>1575</v>
      </c>
      <c r="D199" t="s">
        <v>1576</v>
      </c>
      <c r="E199">
        <v>3.0465927783269962</v>
      </c>
      <c r="F199">
        <v>1.548996969898716</v>
      </c>
      <c r="G199">
        <v>2.6620641793476332</v>
      </c>
      <c r="H199">
        <v>2.021582727597893</v>
      </c>
      <c r="I199">
        <v>3.444898482227678</v>
      </c>
      <c r="J199">
        <v>3.4249277774556619</v>
      </c>
      <c r="K199">
        <v>5.0392672185818306</v>
      </c>
      <c r="L199">
        <v>5.5264760075309232</v>
      </c>
      <c r="M199">
        <v>6.0813617114861538</v>
      </c>
      <c r="N199">
        <v>8.7827710555411969</v>
      </c>
      <c r="O199">
        <v>6.3801444900167326</v>
      </c>
      <c r="P199">
        <v>11.946898365405611</v>
      </c>
      <c r="Q199">
        <v>10.66335597594766</v>
      </c>
      <c r="R199">
        <v>12.97460852393332</v>
      </c>
      <c r="S199">
        <v>25.082777858952721</v>
      </c>
      <c r="T199">
        <v>15.271685751848331</v>
      </c>
      <c r="U199">
        <v>21.14190480319553</v>
      </c>
      <c r="V199">
        <v>31.01674909888068</v>
      </c>
      <c r="W199">
        <v>21.038772359938211</v>
      </c>
      <c r="X199">
        <v>21.899224806201541</v>
      </c>
      <c r="Y199">
        <v>15.86748038360944</v>
      </c>
      <c r="Z199">
        <v>19.040410746691482</v>
      </c>
      <c r="AA199">
        <v>21.679283727709471</v>
      </c>
      <c r="AB199">
        <v>24.00276238029172</v>
      </c>
      <c r="AC199">
        <v>28.384638889710281</v>
      </c>
      <c r="AD199">
        <v>19.461410007869571</v>
      </c>
      <c r="AE199">
        <v>12.33133348972186</v>
      </c>
      <c r="AF199">
        <v>9.6348318624575349</v>
      </c>
      <c r="AG199">
        <v>10.101632115226611</v>
      </c>
      <c r="AH199">
        <v>12.686303645614871</v>
      </c>
      <c r="AI199">
        <v>13.63057056930745</v>
      </c>
      <c r="AJ199">
        <v>11.849484177367479</v>
      </c>
      <c r="AK199">
        <v>9.5592603317750839</v>
      </c>
      <c r="AL199">
        <v>6.7837799466540671</v>
      </c>
      <c r="AM199">
        <v>5.4204401924162582</v>
      </c>
      <c r="AN199">
        <v>4.2228161409948619</v>
      </c>
      <c r="AO199">
        <v>3.0689773250978871</v>
      </c>
      <c r="AP199">
        <v>2.336862983141164</v>
      </c>
      <c r="AQ199">
        <v>2.5727522590912968</v>
      </c>
      <c r="AR199">
        <v>2.3400949031216949</v>
      </c>
      <c r="AS199">
        <v>2.853030392871569</v>
      </c>
      <c r="AT199">
        <v>4.3699033055179299</v>
      </c>
      <c r="AU199">
        <v>3.600346582909141</v>
      </c>
      <c r="AV199">
        <v>3.2189909068289508</v>
      </c>
      <c r="AW199">
        <v>2.3653620409730189</v>
      </c>
      <c r="AX199">
        <v>2.2771639488783371</v>
      </c>
      <c r="AY199">
        <v>3.1076654587105002</v>
      </c>
      <c r="AZ199">
        <v>2.4539652813874309</v>
      </c>
      <c r="BA199">
        <v>2.58850657657959</v>
      </c>
      <c r="BB199">
        <v>-0.83553002150415667</v>
      </c>
      <c r="BC199">
        <v>1.4025728989536921</v>
      </c>
      <c r="BD199">
        <v>3.653011004307241</v>
      </c>
      <c r="BE199">
        <v>2.773338540515863</v>
      </c>
      <c r="BF199">
        <v>0.27441666666666309</v>
      </c>
      <c r="BG199">
        <v>-0.2781533674674283</v>
      </c>
      <c r="BH199">
        <v>0.48793862390471959</v>
      </c>
      <c r="BI199">
        <v>0.60739707464171855</v>
      </c>
      <c r="BJ199">
        <v>1.368614116434723</v>
      </c>
      <c r="BK199">
        <v>0.99371568346832595</v>
      </c>
      <c r="BL199">
        <v>0.33817841004603361</v>
      </c>
      <c r="BM199">
        <v>-1.243832995753053E-2</v>
      </c>
      <c r="BN199">
        <v>1.265657190690439</v>
      </c>
      <c r="BO199">
        <v>7.8326912423332313</v>
      </c>
      <c r="BP199">
        <v>4.3112819189867233</v>
      </c>
      <c r="BQ199">
        <v>2.416131877918839</v>
      </c>
    </row>
    <row r="200" spans="1:69" x14ac:dyDescent="0.25">
      <c r="A200" t="s">
        <v>1433</v>
      </c>
      <c r="B200" t="s">
        <v>1434</v>
      </c>
      <c r="C200" t="s">
        <v>1575</v>
      </c>
      <c r="D200" t="s">
        <v>1576</v>
      </c>
      <c r="E200">
        <v>8.18181818181802</v>
      </c>
      <c r="F200">
        <v>18.487394957983231</v>
      </c>
      <c r="G200">
        <v>1.4184397163120761</v>
      </c>
      <c r="H200">
        <v>2.0979020979021059</v>
      </c>
      <c r="I200">
        <v>1.369863013698648</v>
      </c>
      <c r="J200">
        <v>3.8592981578051981</v>
      </c>
      <c r="K200">
        <v>2.873194221603256</v>
      </c>
      <c r="L200">
        <v>1.3652675922190529</v>
      </c>
      <c r="M200">
        <v>0.70807357785436553</v>
      </c>
      <c r="N200">
        <v>2.2468475357471651</v>
      </c>
      <c r="O200">
        <v>-0.85955602100690864</v>
      </c>
      <c r="P200">
        <v>4.9532569364098658</v>
      </c>
      <c r="Q200">
        <v>9.1803749730368533</v>
      </c>
      <c r="R200">
        <v>12.796894532602041</v>
      </c>
      <c r="S200">
        <v>25.233317779107502</v>
      </c>
      <c r="T200">
        <v>6.6930600836674774</v>
      </c>
      <c r="U200">
        <v>4.4746147466449839</v>
      </c>
      <c r="V200">
        <v>9.359852916628375</v>
      </c>
      <c r="W200">
        <v>10.66024759291814</v>
      </c>
      <c r="X200">
        <v>28.161038602443611</v>
      </c>
      <c r="Y200">
        <v>22.447330136217669</v>
      </c>
      <c r="Z200">
        <v>12.974697469819301</v>
      </c>
      <c r="AA200">
        <v>5.1200654371318786</v>
      </c>
      <c r="AB200">
        <v>13.43375556316307</v>
      </c>
      <c r="AC200">
        <v>20.311462546025481</v>
      </c>
      <c r="AD200">
        <v>25.210716435881821</v>
      </c>
      <c r="AE200">
        <v>31.74259726729986</v>
      </c>
      <c r="AF200">
        <v>21.810274035098299</v>
      </c>
      <c r="AG200">
        <v>22.594257178526799</v>
      </c>
      <c r="AH200">
        <v>26.42212672355863</v>
      </c>
      <c r="AI200">
        <v>37.259956179920138</v>
      </c>
      <c r="AJ200">
        <v>24.225352112676308</v>
      </c>
      <c r="AK200">
        <v>15.192743764172031</v>
      </c>
      <c r="AL200">
        <v>18.208661417322791</v>
      </c>
      <c r="AM200">
        <v>20.5661948376355</v>
      </c>
      <c r="AN200">
        <v>13.42541436464065</v>
      </c>
      <c r="AO200">
        <v>9.799683390160828</v>
      </c>
      <c r="AP200">
        <v>6.9495660853411758</v>
      </c>
      <c r="AQ200">
        <v>11.553268435583909</v>
      </c>
      <c r="AR200">
        <v>6.7522658610272481</v>
      </c>
      <c r="AS200">
        <v>8.9821597675002245</v>
      </c>
      <c r="AT200">
        <v>7.2680602858482528</v>
      </c>
      <c r="AU200">
        <v>10.51024208566119</v>
      </c>
      <c r="AV200">
        <v>14.236797049914269</v>
      </c>
      <c r="AW200">
        <v>4.3232649296749113</v>
      </c>
      <c r="AX200">
        <v>6.8073820311637698</v>
      </c>
      <c r="AY200">
        <v>9.589349411292293</v>
      </c>
      <c r="AZ200">
        <v>8.1304741769857714</v>
      </c>
      <c r="BA200">
        <v>10.154784648902289</v>
      </c>
      <c r="BB200">
        <v>2.5919467343056679</v>
      </c>
      <c r="BC200">
        <v>4.651162790697648</v>
      </c>
      <c r="BD200">
        <v>8.2539682539682993</v>
      </c>
      <c r="BE200">
        <v>3.6759189797449561</v>
      </c>
      <c r="BF200">
        <v>2.683857387185824</v>
      </c>
      <c r="BG200">
        <v>5.0288276745676619</v>
      </c>
      <c r="BH200">
        <v>3.1290027447392541</v>
      </c>
      <c r="BI200">
        <v>4.0868228057724147</v>
      </c>
      <c r="BJ200">
        <v>3.602477413489428</v>
      </c>
      <c r="BK200">
        <v>3.9756101574069391</v>
      </c>
      <c r="BL200">
        <v>2.7570972756277472</v>
      </c>
      <c r="BM200">
        <v>1.7675159235669831</v>
      </c>
      <c r="BN200">
        <v>4.7879831012359988</v>
      </c>
      <c r="BO200">
        <v>9.7655666716440219</v>
      </c>
      <c r="BP200">
        <v>4.6320228540335568</v>
      </c>
      <c r="BQ200">
        <v>3.8354027172853251</v>
      </c>
    </row>
    <row r="201" spans="1:69" x14ac:dyDescent="0.25">
      <c r="A201" t="s">
        <v>1435</v>
      </c>
      <c r="B201" t="s">
        <v>1436</v>
      </c>
      <c r="C201" t="s">
        <v>1575</v>
      </c>
      <c r="D201" t="s">
        <v>1576</v>
      </c>
      <c r="AP201">
        <v>7.0870059120570881</v>
      </c>
      <c r="AQ201">
        <v>5.5796450583826767</v>
      </c>
      <c r="AR201">
        <v>5.5443918036874678</v>
      </c>
      <c r="AS201">
        <v>2.7981989243575769</v>
      </c>
      <c r="AT201">
        <v>1.222784758788984</v>
      </c>
      <c r="AU201">
        <v>5.7095158597662587</v>
      </c>
      <c r="AV201">
        <v>4.4030322173088798</v>
      </c>
      <c r="AW201">
        <v>3.0041749863859328</v>
      </c>
      <c r="AX201">
        <v>4.1072507071593103</v>
      </c>
      <c r="AY201">
        <v>3.842341256247821</v>
      </c>
      <c r="AZ201">
        <v>1.859743793511109</v>
      </c>
      <c r="BA201">
        <v>9.8899978869184917</v>
      </c>
      <c r="BB201">
        <v>2.7539348508315089</v>
      </c>
      <c r="BC201">
        <v>3.7491572759709602</v>
      </c>
      <c r="BD201">
        <v>2.8772435849594</v>
      </c>
      <c r="BE201">
        <v>2.7790876828249229</v>
      </c>
      <c r="BF201">
        <v>1.724399336269308</v>
      </c>
      <c r="BG201">
        <v>1.7329851003744721</v>
      </c>
      <c r="BH201">
        <v>1.431611458104765</v>
      </c>
      <c r="BI201">
        <v>-0.21910660490731559</v>
      </c>
      <c r="BJ201">
        <v>0.21257093422888099</v>
      </c>
      <c r="BK201">
        <v>-0.19510777373073471</v>
      </c>
      <c r="BL201">
        <v>1.580183336394551</v>
      </c>
      <c r="BM201">
        <v>-0.73533200109219066</v>
      </c>
      <c r="BN201">
        <v>1.237481028313685</v>
      </c>
      <c r="BO201">
        <v>3.7412239185207721</v>
      </c>
      <c r="BP201">
        <v>5.8711017767898763</v>
      </c>
      <c r="BQ201">
        <v>53.669145830378227</v>
      </c>
    </row>
    <row r="202" spans="1:69" x14ac:dyDescent="0.25">
      <c r="A202" t="s">
        <v>1437</v>
      </c>
      <c r="B202" t="s">
        <v>1438</v>
      </c>
      <c r="C202" t="s">
        <v>1575</v>
      </c>
      <c r="D202" t="s">
        <v>1576</v>
      </c>
      <c r="AS202">
        <v>2.3481032742026282</v>
      </c>
      <c r="AT202">
        <v>4.0554774416641441</v>
      </c>
      <c r="AU202">
        <v>1.963567541991954</v>
      </c>
      <c r="AV202">
        <v>3.016241299303942</v>
      </c>
      <c r="AW202">
        <v>4.9640757674721723</v>
      </c>
      <c r="AX202">
        <v>3.9514623522090968</v>
      </c>
      <c r="AY202">
        <v>4.4298114337025423</v>
      </c>
      <c r="AZ202">
        <v>4.369595142018821</v>
      </c>
      <c r="BA202">
        <v>11.006447175638129</v>
      </c>
      <c r="BB202">
        <v>5.3110095459529276</v>
      </c>
      <c r="BC202">
        <v>2.1024424341625809</v>
      </c>
      <c r="BD202">
        <v>4.878646417042205</v>
      </c>
      <c r="BE202">
        <v>2.0490188352116041</v>
      </c>
      <c r="BF202">
        <v>1.605630545543411</v>
      </c>
      <c r="BG202">
        <v>1.451424523673726</v>
      </c>
      <c r="BH202">
        <v>0.64824293925449217</v>
      </c>
      <c r="BI202">
        <v>1.0733938885334271</v>
      </c>
      <c r="BJ202">
        <v>1.583942485758123</v>
      </c>
      <c r="BK202">
        <v>2.8962193227029771</v>
      </c>
      <c r="BL202">
        <v>1.407199394170237</v>
      </c>
      <c r="BM202">
        <v>0.38638822451750349</v>
      </c>
      <c r="BN202">
        <v>2.4778827199271691</v>
      </c>
      <c r="BO202">
        <v>6.098717552320295</v>
      </c>
      <c r="BP202">
        <v>7.9216468482677724</v>
      </c>
      <c r="BQ202">
        <v>2.8195484170953962</v>
      </c>
    </row>
    <row r="203" spans="1:69" x14ac:dyDescent="0.25">
      <c r="A203" t="s">
        <v>1439</v>
      </c>
      <c r="B203" t="s">
        <v>1440</v>
      </c>
      <c r="C203" t="s">
        <v>1575</v>
      </c>
      <c r="D203" t="s">
        <v>1576</v>
      </c>
      <c r="E203">
        <v>1.536612342952014</v>
      </c>
      <c r="F203">
        <v>2.0771383313786131</v>
      </c>
      <c r="G203">
        <v>3.5198845401880638</v>
      </c>
      <c r="H203">
        <v>2.8740314034921912</v>
      </c>
      <c r="I203">
        <v>3.3346246289278092</v>
      </c>
      <c r="J203">
        <v>3.6664828026259402</v>
      </c>
      <c r="K203">
        <v>3.8446565434988882</v>
      </c>
      <c r="L203">
        <v>3.6348751533575729</v>
      </c>
      <c r="M203">
        <v>3.7207932801914079</v>
      </c>
      <c r="N203">
        <v>3.2786885245901649</v>
      </c>
      <c r="O203">
        <v>4.9683198732933507</v>
      </c>
      <c r="P203">
        <v>6.138107416879838</v>
      </c>
      <c r="Q203">
        <v>6.0630030971818689</v>
      </c>
      <c r="R203">
        <v>8.094439616027973</v>
      </c>
      <c r="S203">
        <v>13.163602612079551</v>
      </c>
      <c r="T203">
        <v>11.687575365504101</v>
      </c>
      <c r="U203">
        <v>9.2677545757689774</v>
      </c>
      <c r="V203">
        <v>9.2991971917536596</v>
      </c>
      <c r="W203">
        <v>8.0832988258852989</v>
      </c>
      <c r="X203">
        <v>9.0492095942540907</v>
      </c>
      <c r="Y203">
        <v>11.94997166261445</v>
      </c>
      <c r="Z203">
        <v>11.767387434418129</v>
      </c>
      <c r="AA203">
        <v>9.4709893205241329</v>
      </c>
      <c r="AB203">
        <v>7.3104857966841763</v>
      </c>
      <c r="AC203">
        <v>6.194763795459771</v>
      </c>
      <c r="AD203">
        <v>4.7737427234009706</v>
      </c>
      <c r="AE203">
        <v>3.1590972945193032</v>
      </c>
      <c r="AF203">
        <v>4.0665111594411041</v>
      </c>
      <c r="AG203">
        <v>4.6862018375304064</v>
      </c>
      <c r="AH203">
        <v>5.7159915513563018</v>
      </c>
      <c r="AI203">
        <v>6.0984441481020406</v>
      </c>
      <c r="AJ203">
        <v>5.6258640859300524</v>
      </c>
      <c r="AK203">
        <v>4.0370302077873896</v>
      </c>
      <c r="AL203">
        <v>4.1448195418048837</v>
      </c>
      <c r="AM203">
        <v>2.9534093676107922</v>
      </c>
      <c r="AN203">
        <v>3.7549441367755421</v>
      </c>
      <c r="AO203">
        <v>2.615384615384611</v>
      </c>
      <c r="AP203">
        <v>2.2011431351088189</v>
      </c>
      <c r="AQ203">
        <v>1.8343299990840991</v>
      </c>
      <c r="AR203">
        <v>1.6117611762865971</v>
      </c>
      <c r="AS203">
        <v>2.579876112186136</v>
      </c>
      <c r="AT203">
        <v>2.6569109392931538</v>
      </c>
      <c r="AU203">
        <v>1.998749211493515</v>
      </c>
      <c r="AV203">
        <v>2.0216854285798602</v>
      </c>
      <c r="AW203">
        <v>2.07924464636088</v>
      </c>
      <c r="AX203">
        <v>2.3753195897787989</v>
      </c>
      <c r="AY203">
        <v>2.457924441958653</v>
      </c>
      <c r="AZ203">
        <v>2.3276112889147562</v>
      </c>
      <c r="BA203">
        <v>4.1527970811029338</v>
      </c>
      <c r="BB203">
        <v>0.83926224679388728</v>
      </c>
      <c r="BC203">
        <v>1.996212367458867</v>
      </c>
      <c r="BD203">
        <v>3.3298532335064999</v>
      </c>
      <c r="BE203">
        <v>2.4856756217701461</v>
      </c>
      <c r="BF203">
        <v>1.4085810918301871</v>
      </c>
      <c r="BG203">
        <v>0.90679400043424585</v>
      </c>
      <c r="BH203">
        <v>0.36804684232536039</v>
      </c>
      <c r="BI203">
        <v>0.60739707464171855</v>
      </c>
      <c r="BJ203">
        <v>1.7307995911888721</v>
      </c>
      <c r="BK203">
        <v>1.7386086198818</v>
      </c>
      <c r="BL203">
        <v>1.619631901840475</v>
      </c>
      <c r="BM203">
        <v>0.6322673319117158</v>
      </c>
      <c r="BN203">
        <v>2.5083522147377622</v>
      </c>
      <c r="BO203">
        <v>7.877370036906127</v>
      </c>
      <c r="BP203">
        <v>5.0939675897888259</v>
      </c>
      <c r="BQ203">
        <v>2.4409157272069661</v>
      </c>
    </row>
    <row r="204" spans="1:69" x14ac:dyDescent="0.25">
      <c r="A204" t="s">
        <v>1441</v>
      </c>
      <c r="B204" t="s">
        <v>1442</v>
      </c>
      <c r="C204" t="s">
        <v>1575</v>
      </c>
      <c r="D204" t="s">
        <v>1576</v>
      </c>
    </row>
    <row r="205" spans="1:69" x14ac:dyDescent="0.25">
      <c r="A205" t="s">
        <v>1443</v>
      </c>
      <c r="B205" t="s">
        <v>1444</v>
      </c>
      <c r="C205" t="s">
        <v>1575</v>
      </c>
      <c r="D205" t="s">
        <v>1576</v>
      </c>
      <c r="Y205">
        <v>6.7999999990002227</v>
      </c>
      <c r="Z205">
        <v>8.5205992510161987</v>
      </c>
      <c r="AA205">
        <v>5.6999999999997923</v>
      </c>
      <c r="AB205">
        <v>2.7436140009461658</v>
      </c>
      <c r="AC205">
        <v>1.104972375700678</v>
      </c>
      <c r="AD205">
        <v>1.9125683069392541</v>
      </c>
      <c r="AE205">
        <v>0.75757575757570883</v>
      </c>
      <c r="AF205">
        <v>2.6852846401718971</v>
      </c>
      <c r="AG205">
        <v>4.6025104602508531</v>
      </c>
      <c r="AH205">
        <v>3.300000000000153</v>
      </c>
      <c r="AI205">
        <v>3.0009680542110968</v>
      </c>
      <c r="AJ205">
        <v>4.4172932330825452</v>
      </c>
      <c r="AK205">
        <v>3.0603060306031118</v>
      </c>
      <c r="AL205">
        <v>-0.87336244541480035</v>
      </c>
      <c r="AM205">
        <v>1.32158590308376</v>
      </c>
      <c r="AN205">
        <v>2.9565217391303009</v>
      </c>
      <c r="AO205">
        <v>4.9045346062053241</v>
      </c>
      <c r="AP205">
        <v>4.8344898191332204</v>
      </c>
      <c r="AQ205">
        <v>2.9513888888889048</v>
      </c>
      <c r="AR205">
        <v>2.1817032040472251</v>
      </c>
      <c r="AS205">
        <v>1.6503352243423191</v>
      </c>
      <c r="AT205">
        <v>1.4713343480468299</v>
      </c>
      <c r="AU205">
        <v>0.2399999999999517</v>
      </c>
      <c r="AV205">
        <v>2.2645650438946872</v>
      </c>
      <c r="AW205">
        <v>6.7993366500827852</v>
      </c>
      <c r="AX205">
        <v>8.8143953233468295</v>
      </c>
      <c r="AY205">
        <v>11.83580961974312</v>
      </c>
      <c r="AZ205">
        <v>13.758162575996421</v>
      </c>
      <c r="BA205">
        <v>15.05014515703332</v>
      </c>
      <c r="BB205">
        <v>-4.8632780162256468</v>
      </c>
      <c r="BC205">
        <v>-2.4252567516171379</v>
      </c>
      <c r="BD205">
        <v>1.1383662352920201</v>
      </c>
      <c r="BE205">
        <v>2.3153485343166111</v>
      </c>
      <c r="BF205">
        <v>3.221977568292933</v>
      </c>
      <c r="BG205">
        <v>3.3497208565952339</v>
      </c>
      <c r="BH205">
        <v>1.8140772393776039</v>
      </c>
      <c r="BI205">
        <v>2.6765917009818958</v>
      </c>
      <c r="BJ205">
        <v>0.39487891408300518</v>
      </c>
      <c r="BK205">
        <v>0.25581538272440812</v>
      </c>
      <c r="BL205">
        <v>-0.66664112486114724</v>
      </c>
      <c r="BM205">
        <v>-2.5403150300475978</v>
      </c>
      <c r="BN205">
        <v>2.3044656574200308</v>
      </c>
      <c r="BO205">
        <v>4.9952755374076059</v>
      </c>
      <c r="BP205">
        <v>3.027648991989015</v>
      </c>
      <c r="BQ205">
        <v>1.267343102923753</v>
      </c>
    </row>
    <row r="206" spans="1:69" x14ac:dyDescent="0.25">
      <c r="A206" t="s">
        <v>1445</v>
      </c>
      <c r="B206" t="s">
        <v>1446</v>
      </c>
      <c r="C206" t="s">
        <v>1575</v>
      </c>
      <c r="D206" t="s">
        <v>1576</v>
      </c>
      <c r="AJ206">
        <v>230.62249490017831</v>
      </c>
      <c r="AK206">
        <v>211.20558761008181</v>
      </c>
      <c r="AL206">
        <v>255.1668618266981</v>
      </c>
      <c r="AM206">
        <v>136.75939281544069</v>
      </c>
      <c r="AN206">
        <v>32.242484725759702</v>
      </c>
      <c r="AO206">
        <v>38.829301338285177</v>
      </c>
      <c r="AP206">
        <v>154.76348043630901</v>
      </c>
      <c r="AQ206">
        <v>59.096582754116682</v>
      </c>
      <c r="AR206">
        <v>45.803781132636253</v>
      </c>
      <c r="AS206">
        <v>45.666594044023817</v>
      </c>
      <c r="AT206">
        <v>34.477012349352741</v>
      </c>
      <c r="AU206">
        <v>22.539886260538569</v>
      </c>
      <c r="AV206">
        <v>15.273488993625479</v>
      </c>
      <c r="AW206">
        <v>11.874363593639879</v>
      </c>
      <c r="AX206">
        <v>9.0149128334383484</v>
      </c>
      <c r="AY206">
        <v>6.558514122769834</v>
      </c>
      <c r="AZ206">
        <v>4.8373292831398906</v>
      </c>
      <c r="BA206">
        <v>7.8508025571448163</v>
      </c>
      <c r="BB206">
        <v>5.5874200426439282</v>
      </c>
      <c r="BC206">
        <v>6.0914166860189098</v>
      </c>
      <c r="BD206">
        <v>5.7892532881588004</v>
      </c>
      <c r="BE206">
        <v>3.3349226769344211</v>
      </c>
      <c r="BF206">
        <v>3.984712355481296</v>
      </c>
      <c r="BG206">
        <v>1.068309876842982</v>
      </c>
      <c r="BH206">
        <v>-0.5941564374952033</v>
      </c>
      <c r="BI206">
        <v>-1.5447966681389671</v>
      </c>
      <c r="BJ206">
        <v>1.3390212110439019</v>
      </c>
      <c r="BK206">
        <v>4.6254844313777852</v>
      </c>
      <c r="BL206">
        <v>3.8278543259943758</v>
      </c>
      <c r="BM206">
        <v>2.631073111847428</v>
      </c>
      <c r="BN206">
        <v>5.0523287609658203</v>
      </c>
      <c r="BO206">
        <v>13.795488743252079</v>
      </c>
      <c r="BP206">
        <v>10.39718747649958</v>
      </c>
      <c r="BQ206">
        <v>5.7214057435443859</v>
      </c>
    </row>
    <row r="207" spans="1:69" x14ac:dyDescent="0.25">
      <c r="A207" t="s">
        <v>1447</v>
      </c>
      <c r="B207" t="s">
        <v>1448</v>
      </c>
      <c r="C207" t="s">
        <v>1575</v>
      </c>
      <c r="D207" t="s">
        <v>1576</v>
      </c>
      <c r="AL207">
        <v>874.24572038018789</v>
      </c>
      <c r="AM207">
        <v>307.72263555319319</v>
      </c>
      <c r="AN207">
        <v>197.41426808425101</v>
      </c>
      <c r="AO207">
        <v>47.75201220099391</v>
      </c>
      <c r="AP207">
        <v>14.761329268806</v>
      </c>
      <c r="AQ207">
        <v>27.685679807674209</v>
      </c>
      <c r="AR207">
        <v>85.746494096063557</v>
      </c>
      <c r="AS207">
        <v>20.79876065587041</v>
      </c>
      <c r="AT207">
        <v>21.477007211715851</v>
      </c>
      <c r="AU207">
        <v>15.788730791446261</v>
      </c>
      <c r="AV207">
        <v>13.66329302286657</v>
      </c>
      <c r="AW207">
        <v>10.888615732621579</v>
      </c>
      <c r="AX207">
        <v>12.685303950734941</v>
      </c>
      <c r="AY207">
        <v>9.6686545478926451</v>
      </c>
      <c r="AZ207">
        <v>9.0072986886107902</v>
      </c>
      <c r="BA207">
        <v>14.11076778404423</v>
      </c>
      <c r="BB207">
        <v>11.647329576411771</v>
      </c>
      <c r="BC207">
        <v>6.849392302550247</v>
      </c>
      <c r="BD207">
        <v>8.4404648593257008</v>
      </c>
      <c r="BE207">
        <v>5.0747430079914899</v>
      </c>
      <c r="BF207">
        <v>6.7546683390348612</v>
      </c>
      <c r="BG207">
        <v>7.8201697001384494</v>
      </c>
      <c r="BH207">
        <v>15.53439599357014</v>
      </c>
      <c r="BI207">
        <v>7.0424372541370719</v>
      </c>
      <c r="BJ207">
        <v>3.6833307233449508</v>
      </c>
      <c r="BK207">
        <v>2.8783138261498058</v>
      </c>
      <c r="BL207">
        <v>4.4720263183790347</v>
      </c>
      <c r="BM207">
        <v>3.3821979694806759</v>
      </c>
      <c r="BN207">
        <v>6.6944589195761228</v>
      </c>
      <c r="BO207">
        <v>13.743679739823159</v>
      </c>
      <c r="BP207">
        <v>5.865719317489674</v>
      </c>
      <c r="BQ207">
        <v>8.4348641049672324</v>
      </c>
    </row>
    <row r="208" spans="1:69" x14ac:dyDescent="0.25">
      <c r="A208" t="s">
        <v>1449</v>
      </c>
      <c r="B208" t="s">
        <v>1450</v>
      </c>
      <c r="C208" t="s">
        <v>1575</v>
      </c>
      <c r="D208" t="s">
        <v>1576</v>
      </c>
      <c r="L208">
        <v>1.452927300228515</v>
      </c>
      <c r="M208">
        <v>3.161936972699332</v>
      </c>
      <c r="N208">
        <v>0.4849395533175706</v>
      </c>
      <c r="O208">
        <v>0.51488580802246275</v>
      </c>
      <c r="P208">
        <v>0.48858007422289113</v>
      </c>
      <c r="Q208">
        <v>3.092193808934999</v>
      </c>
      <c r="R208">
        <v>9.3736740756774033</v>
      </c>
      <c r="S208">
        <v>31.088299365448421</v>
      </c>
      <c r="T208">
        <v>30.226046574906452</v>
      </c>
      <c r="U208">
        <v>7.1658615138317998</v>
      </c>
      <c r="V208">
        <v>13.65514650664281</v>
      </c>
      <c r="W208">
        <v>13.270533797387809</v>
      </c>
      <c r="X208">
        <v>15.673329442372641</v>
      </c>
      <c r="Y208">
        <v>7.249392993252739</v>
      </c>
      <c r="Z208">
        <v>6.4506644718119048</v>
      </c>
      <c r="AA208">
        <v>12.56513653341344</v>
      </c>
      <c r="AB208">
        <v>6.5930021430707848</v>
      </c>
      <c r="AC208">
        <v>5.3695703882737602</v>
      </c>
      <c r="AD208">
        <v>1.7593300565168839</v>
      </c>
      <c r="AE208">
        <v>-1.117066572806761</v>
      </c>
      <c r="AF208">
        <v>4.1330149080912513</v>
      </c>
      <c r="AG208">
        <v>2.9786435565803369</v>
      </c>
      <c r="AH208">
        <v>1.010278248311137</v>
      </c>
      <c r="AI208">
        <v>4.185763726499478</v>
      </c>
      <c r="AJ208">
        <v>19.637165814837331</v>
      </c>
      <c r="AK208">
        <v>9.560411876008164</v>
      </c>
      <c r="AL208">
        <v>12.35438876304478</v>
      </c>
      <c r="AO208">
        <v>7.4113717352664192</v>
      </c>
      <c r="AP208">
        <v>12.015422519568579</v>
      </c>
      <c r="AQ208">
        <v>6.2100670945581022</v>
      </c>
      <c r="AR208">
        <v>-2.4059320974225868</v>
      </c>
      <c r="AS208">
        <v>3.8995298028471241</v>
      </c>
      <c r="AT208">
        <v>3.342855067494094</v>
      </c>
      <c r="AU208">
        <v>1.9925854245399319</v>
      </c>
      <c r="AV208">
        <v>7.4497001400736584</v>
      </c>
      <c r="AW208">
        <v>12.25071028943913</v>
      </c>
      <c r="AX208">
        <v>9.0140891809233938</v>
      </c>
      <c r="AY208">
        <v>8.882826547779235</v>
      </c>
      <c r="AZ208">
        <v>9.0807220587315811</v>
      </c>
      <c r="BA208">
        <v>15.438213870925541</v>
      </c>
      <c r="BB208">
        <v>12.944397840171151</v>
      </c>
      <c r="BC208">
        <v>-0.24612869343693369</v>
      </c>
      <c r="BD208">
        <v>3.0801706924026</v>
      </c>
      <c r="BE208">
        <v>10.27101823188757</v>
      </c>
      <c r="BF208">
        <v>5.9242686798485353</v>
      </c>
      <c r="BG208">
        <v>2.3544905282035842</v>
      </c>
      <c r="BH208">
        <v>2.528502841924209</v>
      </c>
      <c r="BI208">
        <v>7.1743430198200873</v>
      </c>
      <c r="BJ208">
        <v>8.2795367226083201</v>
      </c>
      <c r="BK208">
        <v>-0.31121016039069949</v>
      </c>
      <c r="BL208">
        <v>3.3478765503764789</v>
      </c>
      <c r="BM208">
        <v>9.8503990227420672</v>
      </c>
      <c r="BN208">
        <v>-0.39134674830079141</v>
      </c>
      <c r="BO208">
        <v>17.689209558815332</v>
      </c>
      <c r="BP208">
        <v>19.789546746466989</v>
      </c>
      <c r="BQ208">
        <v>1.770292401986348</v>
      </c>
    </row>
    <row r="209" spans="1:69" x14ac:dyDescent="0.25">
      <c r="A209" t="s">
        <v>1451</v>
      </c>
      <c r="B209" t="s">
        <v>1452</v>
      </c>
      <c r="C209" t="s">
        <v>1575</v>
      </c>
      <c r="D209" t="s">
        <v>1576</v>
      </c>
      <c r="J209">
        <v>8.4718693284647468</v>
      </c>
      <c r="K209">
        <v>10.80184834893417</v>
      </c>
      <c r="L209">
        <v>2.1892393320351702</v>
      </c>
      <c r="M209">
        <v>3.2374124262750219</v>
      </c>
      <c r="N209">
        <v>4.0575916228155986</v>
      </c>
      <c r="O209">
        <v>5.8669560776596752</v>
      </c>
      <c r="P209">
        <v>2.6653802085999092</v>
      </c>
      <c r="Q209">
        <v>6.4420974615824322</v>
      </c>
      <c r="R209">
        <v>11.429772525859979</v>
      </c>
      <c r="S209">
        <v>19.806338028084902</v>
      </c>
      <c r="T209">
        <v>6.625992553209791</v>
      </c>
      <c r="U209">
        <v>-3.113235733271952</v>
      </c>
      <c r="V209">
        <v>8.3074700917116573</v>
      </c>
      <c r="W209">
        <v>7.3460912508329734</v>
      </c>
      <c r="X209">
        <v>6.2756833676233494</v>
      </c>
      <c r="Y209">
        <v>14.68450277637684</v>
      </c>
      <c r="Z209">
        <v>12.12870181274317</v>
      </c>
      <c r="AA209">
        <v>10.336260667682881</v>
      </c>
      <c r="AB209">
        <v>13.170813042385641</v>
      </c>
      <c r="AC209">
        <v>7.6783068650855242</v>
      </c>
      <c r="AD209">
        <v>3.7192182689153062</v>
      </c>
      <c r="AE209">
        <v>9.7221932767856263</v>
      </c>
      <c r="AF209">
        <v>9.2525990709757622</v>
      </c>
      <c r="AG209">
        <v>9.1832376219716227</v>
      </c>
      <c r="AH209">
        <v>7.972848041844089</v>
      </c>
      <c r="AI209">
        <v>8.6054664386322806</v>
      </c>
      <c r="AJ209">
        <v>13.072709560628789</v>
      </c>
      <c r="AK209">
        <v>13.881517201676219</v>
      </c>
      <c r="AL209">
        <v>9.3517053891694779</v>
      </c>
      <c r="AM209">
        <v>7.6796201394666728</v>
      </c>
      <c r="AN209">
        <v>8.5811985511958717</v>
      </c>
      <c r="AO209">
        <v>8.8835830788080727</v>
      </c>
      <c r="AP209">
        <v>6.8348696486590486</v>
      </c>
      <c r="AQ209">
        <v>9.9749164980392973</v>
      </c>
      <c r="AR209">
        <v>5.3992007644519804</v>
      </c>
      <c r="AS209">
        <v>3.2441280587716319</v>
      </c>
      <c r="AT209">
        <v>3.051546598286119</v>
      </c>
      <c r="AU209">
        <v>3.755618665883512</v>
      </c>
      <c r="AV209">
        <v>4.7372833648516339</v>
      </c>
      <c r="AW209">
        <v>3.9365943587523651</v>
      </c>
      <c r="AX209">
        <v>6.0744818526531343</v>
      </c>
      <c r="AY209">
        <v>6.280892273081955</v>
      </c>
      <c r="AZ209">
        <v>6.5838274476169953</v>
      </c>
      <c r="BA209">
        <v>9.4048874738581674</v>
      </c>
      <c r="BB209">
        <v>4.9768244765373986</v>
      </c>
      <c r="BC209">
        <v>7.5815297762146798</v>
      </c>
      <c r="BD209">
        <v>9.0694344130466558</v>
      </c>
      <c r="BE209">
        <v>9.4694033588846285</v>
      </c>
      <c r="BF209">
        <v>8.1533949309069236</v>
      </c>
      <c r="BG209">
        <v>6.8286478054437412</v>
      </c>
      <c r="BH209">
        <v>4.7275586960473071</v>
      </c>
      <c r="BI209">
        <v>4.4535524032760518</v>
      </c>
      <c r="BJ209">
        <v>4.1416285222321356</v>
      </c>
      <c r="BK209">
        <v>3.3313951643767159</v>
      </c>
      <c r="BL209">
        <v>3.628949658854705</v>
      </c>
      <c r="BM209">
        <v>5.6602199868935958</v>
      </c>
      <c r="BN209">
        <v>5.3385308897492099</v>
      </c>
      <c r="BO209">
        <v>7.1846199673006614</v>
      </c>
      <c r="BP209">
        <v>6.382507902193753</v>
      </c>
      <c r="BQ209">
        <v>3.7232061194493382</v>
      </c>
    </row>
    <row r="210" spans="1:69" x14ac:dyDescent="0.25">
      <c r="A210" t="s">
        <v>1453</v>
      </c>
      <c r="B210" t="s">
        <v>1454</v>
      </c>
      <c r="C210" t="s">
        <v>1575</v>
      </c>
      <c r="D210" t="s">
        <v>1576</v>
      </c>
      <c r="I210">
        <v>2.7999999989998301</v>
      </c>
      <c r="J210">
        <v>0.38910505934228562</v>
      </c>
      <c r="K210">
        <v>1.5503875959304201</v>
      </c>
      <c r="L210">
        <v>2.0992366421952098</v>
      </c>
      <c r="M210">
        <v>1.588785046729384</v>
      </c>
      <c r="N210">
        <v>3.495860165593264</v>
      </c>
      <c r="O210">
        <v>0.177777777777784</v>
      </c>
      <c r="P210">
        <v>4.4749999997499748</v>
      </c>
      <c r="Q210">
        <v>4.331179707834969</v>
      </c>
      <c r="R210">
        <v>16.513761468195352</v>
      </c>
      <c r="S210">
        <v>21.437007873664079</v>
      </c>
      <c r="T210">
        <v>34.57610633814847</v>
      </c>
      <c r="U210">
        <v>31.558660564112522</v>
      </c>
      <c r="V210">
        <v>11.39901116995318</v>
      </c>
      <c r="W210">
        <v>-1.5836018502208591</v>
      </c>
      <c r="X210">
        <v>1.081566902883373</v>
      </c>
      <c r="Y210">
        <v>4.1692665536328892</v>
      </c>
      <c r="Z210">
        <v>2.7989821882948762</v>
      </c>
      <c r="AA210">
        <v>1.021039603960352</v>
      </c>
      <c r="AB210">
        <v>0.1914241960190636</v>
      </c>
      <c r="AC210">
        <v>-1.5590370653420449</v>
      </c>
      <c r="AD210">
        <v>-3.058768729136589</v>
      </c>
      <c r="AE210">
        <v>-3.2033314647229951</v>
      </c>
      <c r="AF210">
        <v>-1.5471167369901999</v>
      </c>
      <c r="AG210">
        <v>0.9075630252105078</v>
      </c>
      <c r="AH210">
        <v>1.0326449033973939</v>
      </c>
      <c r="AI210">
        <v>2.0771513353115951</v>
      </c>
      <c r="AJ210">
        <v>4.8611111111113452</v>
      </c>
      <c r="AK210">
        <v>-7.7006006469078403E-2</v>
      </c>
      <c r="AL210">
        <v>1.055795314426953</v>
      </c>
      <c r="AM210">
        <v>0.56432547853313519</v>
      </c>
      <c r="AN210">
        <v>4.8684310305602798</v>
      </c>
      <c r="AO210">
        <v>1.2220605487776901</v>
      </c>
      <c r="AP210">
        <v>5.7150605062610861E-2</v>
      </c>
      <c r="AQ210">
        <v>-0.37126675171205331</v>
      </c>
      <c r="AR210">
        <v>-1.333754896538998</v>
      </c>
      <c r="AS210">
        <v>-1.1249983851764001</v>
      </c>
      <c r="AT210">
        <v>-1.1209480489679129</v>
      </c>
      <c r="AU210">
        <v>0.24718649233972509</v>
      </c>
      <c r="AV210">
        <v>0.61219535817296622</v>
      </c>
      <c r="AW210">
        <v>0.51550789776726025</v>
      </c>
      <c r="AX210">
        <v>0.47923167163102032</v>
      </c>
      <c r="AY210">
        <v>2.2090231406963938</v>
      </c>
      <c r="AZ210">
        <v>4.1678235843157996</v>
      </c>
      <c r="BA210">
        <v>9.8702481676026874</v>
      </c>
      <c r="BB210">
        <v>5.0572227614832972</v>
      </c>
      <c r="BC210">
        <v>5.3394173302090326</v>
      </c>
      <c r="BD210">
        <v>5.8262163739404214</v>
      </c>
      <c r="BE210">
        <v>2.866270299050528</v>
      </c>
      <c r="BF210">
        <v>3.5110420979985681</v>
      </c>
      <c r="BG210">
        <v>2.241853487790634</v>
      </c>
      <c r="BH210">
        <v>1.222693185523368</v>
      </c>
      <c r="BI210">
        <v>2.05347076823965</v>
      </c>
      <c r="BJ210">
        <v>-0.83484573502724635</v>
      </c>
      <c r="BK210">
        <v>2.4659430899484329</v>
      </c>
      <c r="BL210">
        <v>-1.1929864453331991</v>
      </c>
      <c r="BM210">
        <v>3.372349610123027</v>
      </c>
      <c r="BN210">
        <v>3.0632898894154819</v>
      </c>
      <c r="BO210">
        <v>2.4740737192537172</v>
      </c>
      <c r="BP210">
        <v>2.3270851836269859</v>
      </c>
      <c r="BQ210">
        <v>1.6879211237580889</v>
      </c>
    </row>
    <row r="211" spans="1:69" x14ac:dyDescent="0.25">
      <c r="A211" t="s">
        <v>1455</v>
      </c>
      <c r="B211" t="s">
        <v>1456</v>
      </c>
      <c r="C211" t="s">
        <v>1575</v>
      </c>
      <c r="D211" t="s">
        <v>1576</v>
      </c>
      <c r="E211">
        <v>9.224028582943701E-2</v>
      </c>
      <c r="F211">
        <v>8.760511461916316</v>
      </c>
      <c r="G211">
        <v>1.662871365679969</v>
      </c>
      <c r="H211">
        <v>4.6882325364618103</v>
      </c>
      <c r="I211">
        <v>3.9508384335637099</v>
      </c>
      <c r="J211">
        <v>-2.4460293905620101</v>
      </c>
      <c r="K211">
        <v>1.7124631992701711</v>
      </c>
      <c r="L211">
        <v>11.013555887773499</v>
      </c>
      <c r="M211">
        <v>-10.033895358938929</v>
      </c>
      <c r="N211">
        <v>12.606868569676029</v>
      </c>
      <c r="O211">
        <v>4.0277956504717327</v>
      </c>
      <c r="P211">
        <v>1.3036690085935321</v>
      </c>
      <c r="Q211">
        <v>13.554750712862051</v>
      </c>
      <c r="R211">
        <v>15.28908794787729</v>
      </c>
      <c r="S211">
        <v>26.158102301419792</v>
      </c>
      <c r="T211">
        <v>23.963047637073789</v>
      </c>
      <c r="U211">
        <v>1.674884263582169</v>
      </c>
      <c r="V211">
        <v>17.07633079149219</v>
      </c>
      <c r="W211">
        <v>19.23040440135135</v>
      </c>
      <c r="X211">
        <v>31.138455010752971</v>
      </c>
      <c r="Y211">
        <v>25.35236901194191</v>
      </c>
      <c r="Z211">
        <v>24.575724333657551</v>
      </c>
      <c r="AA211">
        <v>25.71287974925945</v>
      </c>
      <c r="AB211">
        <v>30.587774779138329</v>
      </c>
      <c r="AC211">
        <v>34.146341463360002</v>
      </c>
      <c r="AD211">
        <v>45.407503234210047</v>
      </c>
      <c r="AE211">
        <v>24.453490125132049</v>
      </c>
      <c r="AF211">
        <v>20.557237745390982</v>
      </c>
      <c r="AG211">
        <v>64.700563100105114</v>
      </c>
      <c r="AH211">
        <v>66.720321931589837</v>
      </c>
      <c r="AI211">
        <v>65.158097996620313</v>
      </c>
      <c r="AJ211">
        <v>123.57812690293569</v>
      </c>
      <c r="AK211">
        <v>117.62446889639401</v>
      </c>
      <c r="AL211">
        <v>101.3804237638124</v>
      </c>
      <c r="AM211">
        <v>115.3981442927379</v>
      </c>
      <c r="AN211">
        <v>68.375192948542235</v>
      </c>
      <c r="AO211">
        <v>132.8237773741385</v>
      </c>
      <c r="AP211">
        <v>47.168536964719692</v>
      </c>
      <c r="AQ211">
        <v>24.621878546158641</v>
      </c>
      <c r="AR211">
        <v>17.1664454201761</v>
      </c>
      <c r="AS211">
        <v>7.1212589717229058</v>
      </c>
      <c r="AT211">
        <v>1.935295720953327</v>
      </c>
      <c r="AU211">
        <v>22.224724149590511</v>
      </c>
      <c r="AV211">
        <v>6.4894320867333759</v>
      </c>
      <c r="AW211">
        <v>9.6575462860594463</v>
      </c>
      <c r="AX211">
        <v>8.5058507593311692</v>
      </c>
      <c r="AY211">
        <v>7.1991299011470904</v>
      </c>
      <c r="AZ211">
        <v>14.754277078008441</v>
      </c>
      <c r="BA211">
        <v>14.297122448143449</v>
      </c>
      <c r="BB211">
        <v>11.256758706300969</v>
      </c>
      <c r="BC211">
        <v>12.97766638980141</v>
      </c>
      <c r="BD211">
        <v>18.0966171221351</v>
      </c>
      <c r="BE211">
        <v>35.559057414702409</v>
      </c>
      <c r="BF211">
        <v>36.52234491391544</v>
      </c>
      <c r="BG211">
        <v>36.906642786359527</v>
      </c>
      <c r="BH211">
        <v>16.909570605097731</v>
      </c>
      <c r="BI211">
        <v>17.750253831195959</v>
      </c>
      <c r="BJ211">
        <v>32.35162609684366</v>
      </c>
      <c r="BK211">
        <v>63.292507345588781</v>
      </c>
      <c r="BL211">
        <v>50.994051500296457</v>
      </c>
      <c r="BM211">
        <v>163.25778235545761</v>
      </c>
      <c r="BN211">
        <v>359.09304077899873</v>
      </c>
      <c r="BO211">
        <v>138.80846024176</v>
      </c>
    </row>
    <row r="212" spans="1:69" x14ac:dyDescent="0.25">
      <c r="A212" t="s">
        <v>1457</v>
      </c>
      <c r="B212" t="s">
        <v>1458</v>
      </c>
      <c r="C212" t="s">
        <v>1575</v>
      </c>
      <c r="D212" t="s">
        <v>1576</v>
      </c>
      <c r="M212">
        <v>5.8333332832952021E-2</v>
      </c>
      <c r="N212">
        <v>4.0226534522570576</v>
      </c>
      <c r="O212">
        <v>2.810248198570362</v>
      </c>
      <c r="P212">
        <v>3.8782026319753622</v>
      </c>
      <c r="Q212">
        <v>6.1548841741126488</v>
      </c>
      <c r="R212">
        <v>11.28531073468389</v>
      </c>
      <c r="S212">
        <v>16.601091509349391</v>
      </c>
      <c r="T212">
        <v>31.65342331536851</v>
      </c>
      <c r="U212">
        <v>1.0830921871065851</v>
      </c>
      <c r="V212">
        <v>11.340585637103739</v>
      </c>
      <c r="W212">
        <v>3.419651055875176</v>
      </c>
      <c r="X212">
        <v>9.6533598525703663</v>
      </c>
      <c r="Y212">
        <v>8.7290276607232631</v>
      </c>
      <c r="Z212">
        <v>5.9131937203162543</v>
      </c>
      <c r="AA212">
        <v>17.376385216892199</v>
      </c>
      <c r="AB212">
        <v>11.61698456814748</v>
      </c>
      <c r="AC212">
        <v>11.784027479632909</v>
      </c>
      <c r="AD212">
        <v>13.000057615979371</v>
      </c>
      <c r="AE212">
        <v>6.1847785445693431</v>
      </c>
      <c r="AF212">
        <v>-4.1407237863380884</v>
      </c>
      <c r="AG212">
        <v>-1.826682250792953</v>
      </c>
      <c r="AH212">
        <v>0.44730934077131612</v>
      </c>
      <c r="AI212">
        <v>0.3250986301832578</v>
      </c>
      <c r="AJ212">
        <v>-1.753556901993091</v>
      </c>
      <c r="AK212">
        <v>-0.1099429670856651</v>
      </c>
      <c r="AL212">
        <v>-0.58643461512018358</v>
      </c>
      <c r="AM212">
        <v>32.29366685695517</v>
      </c>
      <c r="AN212">
        <v>7.8640078457011029</v>
      </c>
      <c r="AO212">
        <v>2.7543066348240739</v>
      </c>
      <c r="AP212">
        <v>1.7531647809723609</v>
      </c>
      <c r="AQ212">
        <v>1.1567807039134139</v>
      </c>
      <c r="AR212">
        <v>0.82725060827249652</v>
      </c>
      <c r="AS212">
        <v>0.73198198198159659</v>
      </c>
      <c r="AT212">
        <v>2.974500839195664</v>
      </c>
      <c r="AU212">
        <v>2.3373018745429932</v>
      </c>
      <c r="AV212">
        <v>-5.1997024271449539E-2</v>
      </c>
      <c r="AW212">
        <v>0.51478178102301564</v>
      </c>
      <c r="AX212">
        <v>1.7113332585550209</v>
      </c>
      <c r="AY212">
        <v>2.1122858387711689</v>
      </c>
      <c r="AZ212">
        <v>5.8533042846768124</v>
      </c>
      <c r="BA212">
        <v>7.3472023657840602</v>
      </c>
      <c r="BB212">
        <v>-2.248021478553397</v>
      </c>
      <c r="BC212">
        <v>1.2286811967334399</v>
      </c>
      <c r="BD212">
        <v>3.4032282978697102</v>
      </c>
      <c r="BE212">
        <v>1.4182287117785399</v>
      </c>
      <c r="BF212">
        <v>0.71024548669517595</v>
      </c>
      <c r="BG212">
        <v>-1.090255074468949</v>
      </c>
      <c r="BH212">
        <v>0.13521193363516451</v>
      </c>
      <c r="BI212">
        <v>0.83728494255743446</v>
      </c>
      <c r="BJ212">
        <v>1.3181531484778919</v>
      </c>
      <c r="BK212">
        <v>0.46098564246418833</v>
      </c>
      <c r="BL212">
        <v>1.760111511929386</v>
      </c>
      <c r="BM212">
        <v>2.5431468568166178</v>
      </c>
      <c r="BN212">
        <v>2.1803227808814678</v>
      </c>
      <c r="BO212">
        <v>9.6968189908107334</v>
      </c>
      <c r="BP212">
        <v>5.9394779877321486</v>
      </c>
      <c r="BQ212">
        <v>0.80450329879243798</v>
      </c>
    </row>
    <row r="213" spans="1:69" x14ac:dyDescent="0.25">
      <c r="A213" t="s">
        <v>1459</v>
      </c>
      <c r="B213" t="s">
        <v>1460</v>
      </c>
      <c r="C213" t="s">
        <v>1575</v>
      </c>
      <c r="D213" t="s">
        <v>1576</v>
      </c>
      <c r="F213">
        <v>0.40000000000008262</v>
      </c>
      <c r="G213">
        <v>0.41958041958028541</v>
      </c>
      <c r="H213">
        <v>2.2051996285983471</v>
      </c>
      <c r="I213">
        <v>1.726095843742848</v>
      </c>
      <c r="J213">
        <v>0.178611297164573</v>
      </c>
      <c r="K213">
        <v>2.0057945174949632</v>
      </c>
      <c r="L213">
        <v>3.3428009613281708</v>
      </c>
      <c r="M213">
        <v>0.65539112050737791</v>
      </c>
      <c r="N213">
        <v>-0.27305187985697871</v>
      </c>
      <c r="O213">
        <v>0.46335299073270042</v>
      </c>
      <c r="P213">
        <v>1.761006289308189</v>
      </c>
      <c r="Q213">
        <v>2.0807581376187421</v>
      </c>
      <c r="R213">
        <v>19.63673057517644</v>
      </c>
      <c r="S213">
        <v>22.36842105263155</v>
      </c>
      <c r="T213">
        <v>2.5365315687894672</v>
      </c>
      <c r="U213">
        <v>-1.8418929819842269</v>
      </c>
      <c r="V213">
        <v>3.1639501438158328</v>
      </c>
      <c r="W213">
        <v>4.8725438130642758</v>
      </c>
      <c r="X213">
        <v>4.0764653753639806</v>
      </c>
      <c r="Y213">
        <v>8.5269431942585587</v>
      </c>
      <c r="Z213">
        <v>8.18202196816849</v>
      </c>
      <c r="AA213">
        <v>3.9162867799420029</v>
      </c>
      <c r="AB213">
        <v>1.19641076769694</v>
      </c>
      <c r="AC213">
        <v>2.6009852216748519</v>
      </c>
      <c r="AD213">
        <v>0.48012291146534258</v>
      </c>
      <c r="AE213">
        <v>-1.3857033639144061</v>
      </c>
      <c r="AF213">
        <v>0.5233065219497548</v>
      </c>
      <c r="AG213">
        <v>1.523185192326342</v>
      </c>
      <c r="AH213">
        <v>2.3454562719589469</v>
      </c>
      <c r="AI213">
        <v>3.4607533865282432</v>
      </c>
      <c r="AJ213">
        <v>3.4257017307864261</v>
      </c>
      <c r="AK213">
        <v>2.2630711870285101</v>
      </c>
      <c r="AL213">
        <v>2.2892996438864111</v>
      </c>
      <c r="AM213">
        <v>3.1001326259950228</v>
      </c>
      <c r="AN213">
        <v>1.720533847885235</v>
      </c>
      <c r="AO213">
        <v>1.3831805248187621</v>
      </c>
      <c r="AP213">
        <v>2.0035861853896222</v>
      </c>
      <c r="AQ213">
        <v>-0.26750229287615279</v>
      </c>
      <c r="AR213">
        <v>1.6709833737072719E-2</v>
      </c>
      <c r="AS213">
        <v>1.36162392448456</v>
      </c>
      <c r="AT213">
        <v>0.99719795615594331</v>
      </c>
      <c r="AU213">
        <v>-0.3916768665850493</v>
      </c>
      <c r="AV213">
        <v>0.50790530023755054</v>
      </c>
      <c r="AW213">
        <v>1.6627271986307151</v>
      </c>
      <c r="AX213">
        <v>0.42510627656910682</v>
      </c>
      <c r="AY213">
        <v>0.96565751901851149</v>
      </c>
      <c r="AZ213">
        <v>2.109801667145736</v>
      </c>
      <c r="BA213">
        <v>6.6354405839530912</v>
      </c>
      <c r="BB213">
        <v>0.58914201961051593</v>
      </c>
      <c r="BC213">
        <v>2.828845276129583</v>
      </c>
      <c r="BD213">
        <v>5.251156246393732</v>
      </c>
      <c r="BE213">
        <v>4.5808447942309414</v>
      </c>
      <c r="BF213">
        <v>2.3643979374272588</v>
      </c>
      <c r="BG213">
        <v>1.033169558576293</v>
      </c>
      <c r="BH213">
        <v>-0.52197561189576291</v>
      </c>
      <c r="BI213">
        <v>-0.52980976037546446</v>
      </c>
      <c r="BJ213">
        <v>0.57676319117999553</v>
      </c>
      <c r="BK213">
        <v>0.43878421512962279</v>
      </c>
      <c r="BL213">
        <v>0.56782998840544718</v>
      </c>
      <c r="BM213">
        <v>-0.1721118659253825</v>
      </c>
      <c r="BN213">
        <v>2.316103157651459</v>
      </c>
      <c r="BO213">
        <v>6.1309541891973209</v>
      </c>
      <c r="BP213">
        <v>4.8337236282579763</v>
      </c>
      <c r="BQ213">
        <v>2.389511235950172</v>
      </c>
    </row>
    <row r="214" spans="1:69" x14ac:dyDescent="0.25">
      <c r="A214" t="s">
        <v>1461</v>
      </c>
      <c r="B214" t="s">
        <v>1462</v>
      </c>
      <c r="C214" t="s">
        <v>1575</v>
      </c>
      <c r="D214" t="s">
        <v>1576</v>
      </c>
      <c r="Q214">
        <v>6.8775461301553058</v>
      </c>
      <c r="R214">
        <v>3.2286995513523968</v>
      </c>
      <c r="S214">
        <v>18.853171155598861</v>
      </c>
      <c r="T214">
        <v>10.069444444664111</v>
      </c>
      <c r="U214">
        <v>4.25531914893602</v>
      </c>
      <c r="V214">
        <v>8.6167800453515397</v>
      </c>
      <c r="W214">
        <v>6.2630480167015534</v>
      </c>
      <c r="X214">
        <v>8.0550098231826741</v>
      </c>
      <c r="Y214">
        <v>13.09090909090907</v>
      </c>
      <c r="Z214">
        <v>16.398713826366439</v>
      </c>
      <c r="AA214">
        <v>12.98342541436477</v>
      </c>
      <c r="AB214">
        <v>6.2347188264058211</v>
      </c>
      <c r="AC214">
        <v>11.047180667433819</v>
      </c>
      <c r="AD214">
        <v>9.5682210708114273</v>
      </c>
      <c r="AE214">
        <v>13.571878940731279</v>
      </c>
      <c r="AF214">
        <v>10.992366412213469</v>
      </c>
      <c r="AG214">
        <v>16.73752657246537</v>
      </c>
      <c r="AH214">
        <v>14.9322478710301</v>
      </c>
      <c r="AI214">
        <v>8.7375926184818145</v>
      </c>
      <c r="AJ214">
        <v>15.05013077593698</v>
      </c>
      <c r="AK214">
        <v>10.751160367528479</v>
      </c>
      <c r="AL214">
        <v>9.1686623332198511</v>
      </c>
      <c r="AM214">
        <v>13.25603259166383</v>
      </c>
      <c r="AN214">
        <v>9.6292197011622616</v>
      </c>
      <c r="AO214">
        <v>11.774356385663721</v>
      </c>
      <c r="AP214">
        <v>8.0840013548604261</v>
      </c>
      <c r="AQ214">
        <v>12.399503812806939</v>
      </c>
      <c r="AR214">
        <v>8.0203683929684075</v>
      </c>
      <c r="AS214">
        <v>7.8895618698672099</v>
      </c>
      <c r="AT214">
        <v>6.92583732057426</v>
      </c>
      <c r="AU214">
        <v>10.92963418726921</v>
      </c>
      <c r="AV214">
        <v>8.2694634933440607</v>
      </c>
      <c r="AW214">
        <v>6.985842026825674</v>
      </c>
      <c r="AX214">
        <v>7.3306634163329942</v>
      </c>
      <c r="AY214">
        <v>11.2199870214146</v>
      </c>
      <c r="AZ214">
        <v>7.666020134848055</v>
      </c>
      <c r="BA214">
        <v>17.32006519687743</v>
      </c>
      <c r="BB214">
        <v>7.0927171687628574</v>
      </c>
      <c r="BC214">
        <v>1.0514816332103809</v>
      </c>
      <c r="BD214">
        <v>7.3427070601800004</v>
      </c>
      <c r="BE214">
        <v>5.9120060249115518</v>
      </c>
      <c r="BF214">
        <v>5.3913638858755997</v>
      </c>
      <c r="BG214">
        <v>5.1659023792517109</v>
      </c>
      <c r="BH214">
        <v>-0.57446928635949013</v>
      </c>
      <c r="BI214">
        <v>0.51248562626879246</v>
      </c>
      <c r="BJ214">
        <v>0.48868676026108349</v>
      </c>
      <c r="BK214">
        <v>3.4614748497372929</v>
      </c>
      <c r="BL214">
        <v>1.63485544012247</v>
      </c>
      <c r="BM214">
        <v>2.963549920760649</v>
      </c>
      <c r="BN214">
        <v>-0.1154378944128394</v>
      </c>
      <c r="BO214">
        <v>5.5181292857693771</v>
      </c>
      <c r="BP214">
        <v>5.8858589704216406</v>
      </c>
      <c r="BQ214">
        <v>4.3218394838803293</v>
      </c>
    </row>
    <row r="215" spans="1:69" x14ac:dyDescent="0.25">
      <c r="A215" t="s">
        <v>1463</v>
      </c>
      <c r="B215" t="s">
        <v>1464</v>
      </c>
      <c r="C215" t="s">
        <v>1575</v>
      </c>
      <c r="D215" t="s">
        <v>1576</v>
      </c>
      <c r="AZ215">
        <v>11.649974451810589</v>
      </c>
      <c r="BA215">
        <v>8.2111243228960777</v>
      </c>
      <c r="BB215">
        <v>7.4690189854098241</v>
      </c>
      <c r="BC215">
        <v>7.1856627566816256</v>
      </c>
      <c r="BD215">
        <v>6.7913829195262112</v>
      </c>
      <c r="BE215">
        <v>6.5877623939258498</v>
      </c>
      <c r="BF215">
        <v>5.5241287799426599</v>
      </c>
      <c r="BG215">
        <v>4.6393117140966664</v>
      </c>
      <c r="BH215">
        <v>6.6894356249868112</v>
      </c>
      <c r="BI215">
        <v>10.88606094139033</v>
      </c>
      <c r="BJ215">
        <v>18.22150940033864</v>
      </c>
      <c r="BK215">
        <v>16.02954476936986</v>
      </c>
      <c r="BL215">
        <v>14.80499909060209</v>
      </c>
      <c r="BM215">
        <v>13.44687111010521</v>
      </c>
      <c r="BN215">
        <v>11.873958884023409</v>
      </c>
      <c r="BO215">
        <v>27.208288381465302</v>
      </c>
      <c r="BP215">
        <v>47.642873325317872</v>
      </c>
      <c r="BQ215">
        <v>28.63375000141146</v>
      </c>
    </row>
    <row r="216" spans="1:69" x14ac:dyDescent="0.25">
      <c r="A216" t="s">
        <v>1465</v>
      </c>
      <c r="B216" t="s">
        <v>1466</v>
      </c>
      <c r="C216" t="s">
        <v>1575</v>
      </c>
      <c r="D216" t="s">
        <v>1576</v>
      </c>
      <c r="E216">
        <v>-3.8974199003069802E-2</v>
      </c>
      <c r="F216">
        <v>-2.6824703680741928</v>
      </c>
      <c r="G216">
        <v>9.6153846394794296E-2</v>
      </c>
      <c r="H216">
        <v>1.569004162589255</v>
      </c>
      <c r="I216">
        <v>1.7575662040574731</v>
      </c>
      <c r="J216">
        <v>0.45697467291712413</v>
      </c>
      <c r="K216">
        <v>-1.1873554359337379</v>
      </c>
      <c r="L216">
        <v>1.466916354723788</v>
      </c>
      <c r="M216">
        <v>2.5376807134879229</v>
      </c>
      <c r="N216">
        <v>-0.19499025003815351</v>
      </c>
      <c r="O216">
        <v>2.8178539220851402</v>
      </c>
      <c r="P216">
        <v>0.44580866769247451</v>
      </c>
      <c r="Q216">
        <v>1.5352153667887189</v>
      </c>
      <c r="R216">
        <v>6.3919742031183686</v>
      </c>
      <c r="S216">
        <v>16.899036842235351</v>
      </c>
      <c r="T216">
        <v>19.088499654386261</v>
      </c>
      <c r="U216">
        <v>7.0346896319882513</v>
      </c>
      <c r="V216">
        <v>11.820277539148901</v>
      </c>
      <c r="W216">
        <v>13.275123292138341</v>
      </c>
      <c r="X216">
        <v>14.056024736106179</v>
      </c>
      <c r="Y216">
        <v>17.366968256402469</v>
      </c>
      <c r="Z216">
        <v>14.79715162997331</v>
      </c>
      <c r="AA216">
        <v>11.72888686546786</v>
      </c>
      <c r="AB216">
        <v>13.314317730352411</v>
      </c>
      <c r="AC216">
        <v>11.507169505730859</v>
      </c>
      <c r="AD216">
        <v>22.328375055441558</v>
      </c>
      <c r="AE216">
        <v>31.935016147276329</v>
      </c>
      <c r="AF216">
        <v>24.86450033731246</v>
      </c>
      <c r="AG216">
        <v>19.761161785885761</v>
      </c>
      <c r="AH216">
        <v>17.634079938534502</v>
      </c>
      <c r="AI216">
        <v>23.9991651130861</v>
      </c>
      <c r="AJ216">
        <v>14.4026748806266</v>
      </c>
      <c r="AK216">
        <v>11.21448138019865</v>
      </c>
      <c r="AL216">
        <v>18.506688330271409</v>
      </c>
      <c r="AM216">
        <v>10.585806652645131</v>
      </c>
      <c r="AN216">
        <v>10.02965645010182</v>
      </c>
      <c r="AO216">
        <v>9.7889204017996629</v>
      </c>
      <c r="AP216">
        <v>4.4901362785520362</v>
      </c>
      <c r="AQ216">
        <v>2.5470597755415119</v>
      </c>
      <c r="AR216">
        <v>0.51482713019297888</v>
      </c>
      <c r="AS216">
        <v>2.2712875682872302</v>
      </c>
      <c r="AT216">
        <v>3.7508205747201999</v>
      </c>
      <c r="AU216">
        <v>1.865525036100772</v>
      </c>
      <c r="AV216">
        <v>2.120390917333296</v>
      </c>
      <c r="AW216">
        <v>4.4519439239504486</v>
      </c>
      <c r="AX216">
        <v>4.6909487090376878</v>
      </c>
      <c r="AY216">
        <v>4.037123594296121</v>
      </c>
      <c r="AZ216">
        <v>4.5780857237715349</v>
      </c>
      <c r="BA216">
        <v>6.7079229351593872</v>
      </c>
      <c r="BB216">
        <v>1.0559502973120061</v>
      </c>
      <c r="BC216">
        <v>1.1793357687367261</v>
      </c>
      <c r="BD216">
        <v>5.1289237668160998</v>
      </c>
      <c r="BE216">
        <v>1.7297348158138319</v>
      </c>
      <c r="BF216">
        <v>0.75766918452297272</v>
      </c>
      <c r="BG216">
        <v>1.141344675382328</v>
      </c>
      <c r="BH216">
        <v>-0.73138448738795714</v>
      </c>
      <c r="BI216">
        <v>0.60404908699661009</v>
      </c>
      <c r="BJ216">
        <v>1.0123540331557981</v>
      </c>
      <c r="BK216">
        <v>1.090330005818922</v>
      </c>
      <c r="BL216">
        <v>7.5324135002461226E-2</v>
      </c>
      <c r="BM216">
        <v>-0.37159021232409511</v>
      </c>
      <c r="BN216">
        <v>3.466925853130816</v>
      </c>
      <c r="BO216">
        <v>7.1986161560986677</v>
      </c>
      <c r="BP216">
        <v>4.0455469422247656</v>
      </c>
      <c r="BQ216">
        <v>0.85378229256728833</v>
      </c>
    </row>
    <row r="217" spans="1:69" x14ac:dyDescent="0.25">
      <c r="A217" t="s">
        <v>1467</v>
      </c>
      <c r="B217" t="s">
        <v>1468</v>
      </c>
      <c r="C217" t="s">
        <v>1575</v>
      </c>
      <c r="D217" t="s">
        <v>1576</v>
      </c>
      <c r="AW217">
        <v>1.4308386852734289</v>
      </c>
      <c r="AX217">
        <v>1.6854889052834661</v>
      </c>
      <c r="AY217">
        <v>2.0952593561143198</v>
      </c>
      <c r="AZ217">
        <v>2.49894575725803</v>
      </c>
      <c r="BA217">
        <v>4.2932024928770414</v>
      </c>
      <c r="BB217">
        <v>2.1995923704601128</v>
      </c>
      <c r="BC217">
        <v>2.585418155825868</v>
      </c>
      <c r="BD217">
        <v>2.8997958430012312</v>
      </c>
      <c r="BE217">
        <v>2.827332242225804</v>
      </c>
      <c r="BF217">
        <v>1.6043929807808179</v>
      </c>
      <c r="BG217">
        <v>1.1129630337385079</v>
      </c>
      <c r="BH217">
        <v>0.14568607324106631</v>
      </c>
      <c r="BI217">
        <v>0.64407534034655178</v>
      </c>
      <c r="BJ217">
        <v>1.014133131945077</v>
      </c>
      <c r="BK217">
        <v>1.163335222931585</v>
      </c>
      <c r="BL217">
        <v>0.47265196735285231</v>
      </c>
      <c r="BM217">
        <v>-0.1333688983729153</v>
      </c>
      <c r="BN217">
        <v>1.615514115514209</v>
      </c>
      <c r="BO217">
        <v>5.3254532131136507</v>
      </c>
      <c r="BP217">
        <v>5.9319085862940319</v>
      </c>
      <c r="BQ217">
        <v>1.2421650794556931</v>
      </c>
    </row>
    <row r="218" spans="1:69" x14ac:dyDescent="0.25">
      <c r="A218" t="s">
        <v>1469</v>
      </c>
      <c r="B218" t="s">
        <v>1470</v>
      </c>
      <c r="C218" t="s">
        <v>1575</v>
      </c>
      <c r="D218" t="s">
        <v>1576</v>
      </c>
    </row>
    <row r="219" spans="1:69" x14ac:dyDescent="0.25">
      <c r="A219" t="s">
        <v>1471</v>
      </c>
      <c r="B219" t="s">
        <v>1472</v>
      </c>
      <c r="C219" t="s">
        <v>1575</v>
      </c>
      <c r="D219" t="s">
        <v>1576</v>
      </c>
      <c r="AN219">
        <v>82.660515186466327</v>
      </c>
      <c r="AO219">
        <v>95.600926120817107</v>
      </c>
      <c r="AP219">
        <v>23.307866135801049</v>
      </c>
      <c r="AQ219">
        <v>30.159699799284368</v>
      </c>
      <c r="AR219">
        <v>42.4539054642972</v>
      </c>
      <c r="AS219">
        <v>71.12062879465411</v>
      </c>
      <c r="AT219">
        <v>95.005225810000638</v>
      </c>
      <c r="AU219">
        <v>19.490832157968889</v>
      </c>
      <c r="AV219">
        <v>9.8761788972957767</v>
      </c>
      <c r="AW219">
        <v>11.02636271834637</v>
      </c>
      <c r="AX219">
        <v>16.119980648282631</v>
      </c>
      <c r="AY219">
        <v>11.724022998083379</v>
      </c>
      <c r="AZ219">
        <v>6.3917064439141251</v>
      </c>
      <c r="BA219">
        <v>12.41098677517796</v>
      </c>
      <c r="BB219">
        <v>8.1169509223808163</v>
      </c>
      <c r="BC219">
        <v>6.1425536024724838</v>
      </c>
      <c r="BD219">
        <v>11.137397634212901</v>
      </c>
      <c r="BE219">
        <v>7.3303858959664563</v>
      </c>
      <c r="BF219">
        <v>7.6942636289665547</v>
      </c>
      <c r="BG219">
        <v>2.082447938801538</v>
      </c>
      <c r="BH219">
        <v>1.3923582200018689</v>
      </c>
      <c r="BI219">
        <v>1.12231397417769</v>
      </c>
      <c r="BJ219">
        <v>3.1310624859011509</v>
      </c>
      <c r="BK219">
        <v>1.959840762938007</v>
      </c>
      <c r="BL219">
        <v>1.8492298451108631</v>
      </c>
      <c r="BM219">
        <v>1.575532900834149</v>
      </c>
      <c r="BN219">
        <v>4.0851028533510219</v>
      </c>
      <c r="BO219">
        <v>11.98151173447029</v>
      </c>
      <c r="BP219">
        <v>12.371904355251919</v>
      </c>
      <c r="BQ219">
        <v>4.6705297488997006</v>
      </c>
    </row>
    <row r="220" spans="1:69" x14ac:dyDescent="0.25">
      <c r="A220" t="s">
        <v>1473</v>
      </c>
      <c r="B220" t="s">
        <v>1474</v>
      </c>
      <c r="C220" t="s">
        <v>1575</v>
      </c>
      <c r="D220" t="s">
        <v>1576</v>
      </c>
      <c r="Z220">
        <v>13.43742622330431</v>
      </c>
      <c r="AA220">
        <v>12.352527114443401</v>
      </c>
      <c r="AB220">
        <v>11.592254475777199</v>
      </c>
      <c r="AC220">
        <v>11.311661045146719</v>
      </c>
      <c r="AD220">
        <v>9.406907506872745</v>
      </c>
      <c r="AE220">
        <v>7.6016791601842586</v>
      </c>
      <c r="AF220">
        <v>8.3950078639047767</v>
      </c>
      <c r="AG220">
        <v>9.1593141335105415</v>
      </c>
      <c r="AH220">
        <v>8.6440060165354637</v>
      </c>
      <c r="AI220">
        <v>9.1894138373305996</v>
      </c>
      <c r="AJ220">
        <v>8.9343065693428763</v>
      </c>
      <c r="AK220">
        <v>9.4865425061716326</v>
      </c>
      <c r="AL220">
        <v>9.6983869393547817</v>
      </c>
      <c r="AM220">
        <v>30.327703136155851</v>
      </c>
      <c r="AN220">
        <v>12.86518047066998</v>
      </c>
      <c r="AO220">
        <v>7.3541197208533262</v>
      </c>
      <c r="AP220">
        <v>8.2099232617888269</v>
      </c>
      <c r="AQ220">
        <v>6.6919175820983998</v>
      </c>
      <c r="AR220">
        <v>4.1426713728404847</v>
      </c>
      <c r="AS220">
        <v>4.5007885626210218</v>
      </c>
      <c r="AT220">
        <v>5.1474680022261818</v>
      </c>
      <c r="AU220">
        <v>5.1123208545332002</v>
      </c>
      <c r="AV220">
        <v>5.6794241406879937</v>
      </c>
      <c r="AW220">
        <v>4.2196878709483414</v>
      </c>
      <c r="AX220">
        <v>6.4275527807008661</v>
      </c>
      <c r="AY220">
        <v>6.537843952996039</v>
      </c>
      <c r="AZ220">
        <v>6.7866978903824444</v>
      </c>
      <c r="BA220">
        <v>10.287684792119419</v>
      </c>
      <c r="BB220">
        <v>4.6910656774737491</v>
      </c>
      <c r="BC220">
        <v>4.022024222142158</v>
      </c>
      <c r="BD220">
        <v>5.3662109294807712</v>
      </c>
      <c r="BE220">
        <v>6.445322105364375</v>
      </c>
      <c r="BF220">
        <v>4.8851638759547082</v>
      </c>
      <c r="BG220">
        <v>4.4038027171436021</v>
      </c>
      <c r="BH220">
        <v>3.3243711326409482</v>
      </c>
      <c r="BI220">
        <v>5.3026429771032451</v>
      </c>
      <c r="BJ220">
        <v>5.186186555241493</v>
      </c>
      <c r="BK220">
        <v>3.9113343999072891</v>
      </c>
      <c r="BL220">
        <v>2.8675880344689988</v>
      </c>
      <c r="BM220">
        <v>3.398629285188528</v>
      </c>
      <c r="BN220">
        <v>4.2227896203319411</v>
      </c>
      <c r="BO220">
        <v>9.4580128130402308</v>
      </c>
      <c r="BP220">
        <v>6.6975999078984456</v>
      </c>
      <c r="BQ220">
        <v>4.2390392287703618</v>
      </c>
    </row>
    <row r="221" spans="1:69" x14ac:dyDescent="0.25">
      <c r="A221" t="s">
        <v>1475</v>
      </c>
      <c r="B221" t="s">
        <v>1476</v>
      </c>
      <c r="C221" t="s">
        <v>1575</v>
      </c>
      <c r="D221" t="s">
        <v>1576</v>
      </c>
      <c r="BB221">
        <v>5.0062736153404677</v>
      </c>
      <c r="BC221">
        <v>1.1696218030110821</v>
      </c>
      <c r="BD221">
        <v>46.8521757193597</v>
      </c>
      <c r="BE221">
        <v>45.525897837170568</v>
      </c>
      <c r="BF221">
        <v>-5.80909784225664E-2</v>
      </c>
      <c r="BG221">
        <v>1.674299062955201</v>
      </c>
      <c r="BH221">
        <v>52.76633041921427</v>
      </c>
      <c r="BI221">
        <v>379.99958562402611</v>
      </c>
      <c r="BJ221">
        <v>187.85163027944171</v>
      </c>
      <c r="BK221">
        <v>83.501529492199978</v>
      </c>
      <c r="BL221">
        <v>87.241364150003207</v>
      </c>
      <c r="BM221">
        <v>29.67584355385716</v>
      </c>
      <c r="BN221">
        <v>10.516715829435849</v>
      </c>
      <c r="BO221">
        <v>-6.6873209421266786</v>
      </c>
      <c r="BP221">
        <v>2.3828043481375438</v>
      </c>
      <c r="BQ221">
        <v>91.440822076904553</v>
      </c>
    </row>
    <row r="222" spans="1:69" x14ac:dyDescent="0.25">
      <c r="A222" t="s">
        <v>1477</v>
      </c>
      <c r="B222" t="s">
        <v>1478</v>
      </c>
      <c r="C222" t="s">
        <v>1575</v>
      </c>
      <c r="D222" t="s">
        <v>1576</v>
      </c>
      <c r="T222">
        <v>18.311785753990339</v>
      </c>
      <c r="U222">
        <v>11.54488065198356</v>
      </c>
      <c r="V222">
        <v>14.890066502322311</v>
      </c>
      <c r="W222">
        <v>11.459430057424409</v>
      </c>
      <c r="X222">
        <v>13.67462735917873</v>
      </c>
      <c r="Y222">
        <v>13.601982828949129</v>
      </c>
      <c r="Z222">
        <v>12.290327860595911</v>
      </c>
      <c r="AA222">
        <v>12.09984145180352</v>
      </c>
      <c r="AB222">
        <v>11.4826535601296</v>
      </c>
      <c r="AC222">
        <v>11.116931285788541</v>
      </c>
      <c r="AD222">
        <v>9.406907506872745</v>
      </c>
      <c r="AE222">
        <v>6.8593442279488528</v>
      </c>
      <c r="AF222">
        <v>7.6327900887810411</v>
      </c>
      <c r="AG222">
        <v>8.3516795682121927</v>
      </c>
      <c r="AH222">
        <v>8.0461586348731995</v>
      </c>
      <c r="AI222">
        <v>7.54486109699452</v>
      </c>
      <c r="AJ222">
        <v>8.9343065693428763</v>
      </c>
      <c r="AK222">
        <v>9.4865425061716326</v>
      </c>
      <c r="AL222">
        <v>9.5248453701969424</v>
      </c>
      <c r="AM222">
        <v>27.447980712694651</v>
      </c>
      <c r="AN222">
        <v>11.425939964661961</v>
      </c>
      <c r="AO222">
        <v>7.1916466043334424</v>
      </c>
      <c r="AP222">
        <v>7.6471743331001001</v>
      </c>
      <c r="AQ222">
        <v>6.4357328756078118</v>
      </c>
      <c r="AR222">
        <v>4.3564337451045256</v>
      </c>
      <c r="AS222">
        <v>4.5007885626210218</v>
      </c>
      <c r="AT222">
        <v>5.1474680022261818</v>
      </c>
      <c r="AU222">
        <v>4.7057912374603301</v>
      </c>
      <c r="AV222">
        <v>5.6794241406879937</v>
      </c>
      <c r="AW222">
        <v>4.1366321314474837</v>
      </c>
      <c r="AX222">
        <v>6.4275527807008661</v>
      </c>
      <c r="AY222">
        <v>6.537843952996039</v>
      </c>
      <c r="AZ222">
        <v>6.7866978903824444</v>
      </c>
      <c r="BA222">
        <v>10.378524478798001</v>
      </c>
      <c r="BB222">
        <v>5.0062736153404677</v>
      </c>
      <c r="BC222">
        <v>4.022024222142158</v>
      </c>
      <c r="BD222">
        <v>5.3662109294807712</v>
      </c>
      <c r="BE222">
        <v>6.5818310507514131</v>
      </c>
      <c r="BF222">
        <v>4.8851638759547082</v>
      </c>
      <c r="BG222">
        <v>4.4038027171436021</v>
      </c>
      <c r="BH222">
        <v>3.472387528836522</v>
      </c>
      <c r="BI222">
        <v>5.3026429771032451</v>
      </c>
      <c r="BJ222">
        <v>5.186186555241493</v>
      </c>
      <c r="BK222">
        <v>3.9113343999072891</v>
      </c>
      <c r="BL222">
        <v>2.8675880344689988</v>
      </c>
      <c r="BM222">
        <v>3.398629285188528</v>
      </c>
      <c r="BN222">
        <v>4.4390548121500224</v>
      </c>
      <c r="BO222">
        <v>9.4580128130402308</v>
      </c>
      <c r="BP222">
        <v>6.6975999078984456</v>
      </c>
      <c r="BQ222">
        <v>4.2390392287703618</v>
      </c>
    </row>
    <row r="223" spans="1:69" x14ac:dyDescent="0.25">
      <c r="A223" t="s">
        <v>1479</v>
      </c>
      <c r="B223" t="s">
        <v>1480</v>
      </c>
      <c r="C223" t="s">
        <v>1575</v>
      </c>
      <c r="D223" t="s">
        <v>1576</v>
      </c>
      <c r="Y223">
        <v>16.477364553610911</v>
      </c>
      <c r="Z223">
        <v>13.001172069871521</v>
      </c>
      <c r="AA223">
        <v>7.129906758167138</v>
      </c>
      <c r="AB223">
        <v>5.3443433863952929</v>
      </c>
      <c r="AC223">
        <v>4.6857973118560183</v>
      </c>
      <c r="AD223">
        <v>4.4209723962191161</v>
      </c>
      <c r="AE223">
        <v>3.7701875043673452</v>
      </c>
      <c r="AF223">
        <v>4.3279829713902114</v>
      </c>
      <c r="AG223">
        <v>4.8588591781404764</v>
      </c>
      <c r="AH223">
        <v>5.5929487179489561</v>
      </c>
      <c r="AI223">
        <v>4.7594412829796982</v>
      </c>
      <c r="AJ223">
        <v>6.2575266327002117</v>
      </c>
      <c r="AK223">
        <v>5.1388977994482818</v>
      </c>
      <c r="AL223">
        <v>4.1982601110385032</v>
      </c>
      <c r="AM223">
        <v>3.101008817227302</v>
      </c>
      <c r="AN223">
        <v>2.9568002509261979</v>
      </c>
      <c r="AO223">
        <v>2.9952802399114069</v>
      </c>
      <c r="AP223">
        <v>3.5805076747171851</v>
      </c>
      <c r="AQ223">
        <v>3.2381944796978002</v>
      </c>
      <c r="AR223">
        <v>3.231832609064667</v>
      </c>
      <c r="AS223">
        <v>2.802564055758459</v>
      </c>
      <c r="AT223">
        <v>3.4961719910333411</v>
      </c>
      <c r="AU223">
        <v>2.4076580129349092</v>
      </c>
      <c r="AV223">
        <v>2.2767596951882689</v>
      </c>
      <c r="AW223">
        <v>3.0481110752341611</v>
      </c>
      <c r="AX223">
        <v>3.3778190398823762</v>
      </c>
      <c r="AY223">
        <v>3.8181247024270961</v>
      </c>
      <c r="AZ223">
        <v>4.4808860861472581</v>
      </c>
      <c r="BA223">
        <v>8.4237256624618642</v>
      </c>
      <c r="BB223">
        <v>2.1995923704601128</v>
      </c>
      <c r="BC223">
        <v>2.9993663054900011</v>
      </c>
      <c r="BD223">
        <v>4.473883421650231</v>
      </c>
      <c r="BE223">
        <v>3.5187778564205869</v>
      </c>
      <c r="BF223">
        <v>1.752327373507615</v>
      </c>
      <c r="BG223">
        <v>1.2013996448105759</v>
      </c>
      <c r="BH223">
        <v>0.55279602627785307</v>
      </c>
      <c r="BI223">
        <v>0.64407534034655178</v>
      </c>
      <c r="BJ223">
        <v>1.7498967748470511</v>
      </c>
      <c r="BK223">
        <v>2.1306277427402551</v>
      </c>
      <c r="BL223">
        <v>1.3054496650239209</v>
      </c>
      <c r="BM223">
        <v>0.59898633082464325</v>
      </c>
      <c r="BN223">
        <v>2.410703121743933</v>
      </c>
      <c r="BO223">
        <v>6.1537562193303694</v>
      </c>
      <c r="BP223">
        <v>5.0867748315811188</v>
      </c>
      <c r="BQ223">
        <v>2.4554507215902781</v>
      </c>
    </row>
    <row r="224" spans="1:69" x14ac:dyDescent="0.25">
      <c r="A224" t="s">
        <v>1481</v>
      </c>
      <c r="B224" t="s">
        <v>1482</v>
      </c>
      <c r="C224" t="s">
        <v>1575</v>
      </c>
      <c r="D224" t="s">
        <v>1576</v>
      </c>
      <c r="AP224">
        <v>35.817178244480033</v>
      </c>
      <c r="AQ224">
        <v>50.493135748625363</v>
      </c>
      <c r="AR224">
        <v>12.72517701300846</v>
      </c>
      <c r="AS224">
        <v>12.208945630897659</v>
      </c>
      <c r="AT224">
        <v>9.2220370756088936</v>
      </c>
      <c r="AU224">
        <v>10.128724672229019</v>
      </c>
      <c r="AV224">
        <v>9.7924197493450897</v>
      </c>
      <c r="AW224">
        <v>13.28588608717963</v>
      </c>
      <c r="AX224">
        <v>17.15220493543541</v>
      </c>
      <c r="AY224">
        <v>23.07703734513812</v>
      </c>
      <c r="AZ224">
        <v>18.548513632577929</v>
      </c>
      <c r="BA224">
        <v>31.99010394925735</v>
      </c>
      <c r="BB224">
        <v>16.95747580259453</v>
      </c>
      <c r="BC224">
        <v>13.34005235377999</v>
      </c>
      <c r="BD224">
        <v>14.327166761680131</v>
      </c>
      <c r="BE224">
        <v>10.637935343162759</v>
      </c>
      <c r="BF224">
        <v>8.1058327087547628</v>
      </c>
      <c r="BG224">
        <v>6.998499439664208</v>
      </c>
      <c r="BH224">
        <v>5.2458783502245421</v>
      </c>
      <c r="BI224">
        <v>5.4305196611915578</v>
      </c>
      <c r="BJ224">
        <v>5.6902961992901986</v>
      </c>
      <c r="BK224">
        <v>7.8685962887390906</v>
      </c>
      <c r="BL224">
        <v>7.7202452521324822</v>
      </c>
      <c r="BM224">
        <v>9.8193279154014643</v>
      </c>
      <c r="BN224">
        <v>8.1377703837873181</v>
      </c>
      <c r="BO224">
        <v>18.005635112284079</v>
      </c>
      <c r="BP224">
        <v>21.258913847299951</v>
      </c>
      <c r="BQ224">
        <v>14.351927357100809</v>
      </c>
    </row>
    <row r="225" spans="1:69" x14ac:dyDescent="0.25">
      <c r="A225" t="s">
        <v>1483</v>
      </c>
      <c r="B225" t="s">
        <v>1484</v>
      </c>
      <c r="C225" t="s">
        <v>1575</v>
      </c>
      <c r="D225" t="s">
        <v>1576</v>
      </c>
      <c r="E225">
        <v>2.8571428571428612</v>
      </c>
      <c r="F225">
        <v>1.709401709401754</v>
      </c>
      <c r="G225">
        <v>2.100840336134397</v>
      </c>
      <c r="H225">
        <v>2.0576131687242492</v>
      </c>
      <c r="I225">
        <v>4.2338709677419724</v>
      </c>
      <c r="J225">
        <v>1.934235976789128</v>
      </c>
      <c r="K225">
        <v>4.7438330170778267</v>
      </c>
      <c r="L225">
        <v>10.68840579710155</v>
      </c>
      <c r="M225">
        <v>0.16366612111287629</v>
      </c>
      <c r="N225">
        <v>11.27450980392193</v>
      </c>
      <c r="O225">
        <v>2.5880425879729478</v>
      </c>
      <c r="P225">
        <v>0.21555165264341919</v>
      </c>
      <c r="Q225">
        <v>3.2342866248859541</v>
      </c>
      <c r="R225">
        <v>12.94081333409372</v>
      </c>
      <c r="S225">
        <v>16.876195682109529</v>
      </c>
      <c r="T225">
        <v>8.4473284227465939</v>
      </c>
      <c r="U225">
        <v>10.069538030279499</v>
      </c>
      <c r="V225">
        <v>9.7311327685373694</v>
      </c>
      <c r="W225">
        <v>8.8235294117966649</v>
      </c>
      <c r="X225">
        <v>14.842308165532771</v>
      </c>
      <c r="Y225">
        <v>14.10970644969178</v>
      </c>
      <c r="Z225">
        <v>8.7939698492459737</v>
      </c>
      <c r="AA225">
        <v>7.2764086177986123</v>
      </c>
      <c r="AB225">
        <v>4.4118080745526864</v>
      </c>
      <c r="AC225">
        <v>3.688744527609074</v>
      </c>
      <c r="AD225">
        <v>10.865952984119231</v>
      </c>
      <c r="AE225">
        <v>18.68796068796053</v>
      </c>
      <c r="AF225">
        <v>53.392953256324233</v>
      </c>
      <c r="AG225">
        <v>7.3132878080381731</v>
      </c>
      <c r="AH225">
        <v>0.76964674220599572</v>
      </c>
      <c r="AI225">
        <v>21.739944339752611</v>
      </c>
      <c r="AJ225">
        <v>25.96746250602229</v>
      </c>
      <c r="AK225">
        <v>43.666178385417069</v>
      </c>
      <c r="AL225">
        <v>143.51155848348981</v>
      </c>
      <c r="AM225">
        <v>368.4780687062667</v>
      </c>
      <c r="AN225">
        <v>235.55881507360519</v>
      </c>
      <c r="AO225">
        <v>-0.70188725145281761</v>
      </c>
      <c r="AP225">
        <v>7.145111608839291</v>
      </c>
      <c r="AQ225">
        <v>18.97536919944778</v>
      </c>
      <c r="AR225">
        <v>98.773091411216356</v>
      </c>
      <c r="AS225">
        <v>59.401686545079031</v>
      </c>
      <c r="AT225">
        <v>38.586287887261079</v>
      </c>
      <c r="AU225">
        <v>15.527398918570199</v>
      </c>
      <c r="AV225">
        <v>23.00223217782186</v>
      </c>
      <c r="AW225">
        <v>9.9863251197487752</v>
      </c>
      <c r="AX225">
        <v>9.8980048956146458</v>
      </c>
      <c r="AY225">
        <v>11.28130432739748</v>
      </c>
      <c r="AZ225">
        <v>6.4262793447052422</v>
      </c>
      <c r="BA225">
        <v>14.667142743791191</v>
      </c>
      <c r="BB225">
        <v>-0.13363664671487691</v>
      </c>
      <c r="BC225">
        <v>6.9410822163999599</v>
      </c>
      <c r="BD225">
        <v>17.71177964145582</v>
      </c>
      <c r="BE225">
        <v>5.0068631936727304</v>
      </c>
      <c r="BF225">
        <v>1.923436041083054</v>
      </c>
      <c r="BG225">
        <v>3.383412727494775</v>
      </c>
      <c r="BH225">
        <v>6.8939035916823839</v>
      </c>
      <c r="BI225">
        <v>55.41238797631955</v>
      </c>
      <c r="BJ225">
        <v>21.996943017330359</v>
      </c>
      <c r="BM225">
        <v>34.88978430907801</v>
      </c>
      <c r="BN225">
        <v>59.11966262519767</v>
      </c>
      <c r="BO225">
        <v>52.446027276241011</v>
      </c>
      <c r="BP225">
        <v>51.58731596008608</v>
      </c>
      <c r="BQ225">
        <v>16.229615913027949</v>
      </c>
    </row>
    <row r="226" spans="1:69" x14ac:dyDescent="0.25">
      <c r="A226" t="s">
        <v>1485</v>
      </c>
      <c r="B226" t="s">
        <v>1486</v>
      </c>
      <c r="C226" t="s">
        <v>1575</v>
      </c>
      <c r="D226" t="s">
        <v>1576</v>
      </c>
      <c r="AK226">
        <v>9.8935051977116739</v>
      </c>
      <c r="AL226">
        <v>23.287027664545029</v>
      </c>
      <c r="AM226">
        <v>13.41552034222463</v>
      </c>
      <c r="AN226">
        <v>9.8410957983774807</v>
      </c>
      <c r="AO226">
        <v>5.7758278615594918</v>
      </c>
      <c r="AP226">
        <v>6.1419899959565241</v>
      </c>
      <c r="AQ226">
        <v>6.6656512319582442</v>
      </c>
      <c r="AR226">
        <v>10.570441607522479</v>
      </c>
      <c r="AS226">
        <v>12.0357805974299</v>
      </c>
      <c r="AT226">
        <v>7.3296201911552989</v>
      </c>
      <c r="AU226">
        <v>3.127142229846084</v>
      </c>
      <c r="AV226">
        <v>8.5541430540664507</v>
      </c>
      <c r="AW226">
        <v>7.5485008818342321</v>
      </c>
      <c r="AX226">
        <v>2.7090849458838431</v>
      </c>
      <c r="AY226">
        <v>4.483331204496106</v>
      </c>
      <c r="AZ226">
        <v>2.7567237163813969</v>
      </c>
      <c r="BA226">
        <v>4.598179763250279</v>
      </c>
      <c r="BB226">
        <v>1.6151046405823759</v>
      </c>
      <c r="BC226">
        <v>0.95701813297514293</v>
      </c>
      <c r="BD226">
        <v>3.9192859914629001</v>
      </c>
      <c r="BE226">
        <v>3.6061026352288992</v>
      </c>
      <c r="BF226">
        <v>1.400473689630253</v>
      </c>
      <c r="BG226">
        <v>-7.6165329541987056E-2</v>
      </c>
      <c r="BH226">
        <v>-0.32521977742767327</v>
      </c>
      <c r="BI226">
        <v>-0.52001019627826595</v>
      </c>
      <c r="BJ226">
        <v>1.3119458822322809</v>
      </c>
      <c r="BK226">
        <v>2.514037128838118</v>
      </c>
      <c r="BL226">
        <v>2.6645613342543131</v>
      </c>
      <c r="BM226">
        <v>1.936941266942229</v>
      </c>
      <c r="BN226">
        <v>3.1496062992126799</v>
      </c>
      <c r="BO226">
        <v>12.77414636376106</v>
      </c>
      <c r="BP226">
        <v>10.53194766452113</v>
      </c>
      <c r="BQ226">
        <v>2.7576090942427181</v>
      </c>
    </row>
    <row r="227" spans="1:69" x14ac:dyDescent="0.25">
      <c r="A227" t="s">
        <v>1487</v>
      </c>
      <c r="B227" t="s">
        <v>1488</v>
      </c>
      <c r="C227" t="s">
        <v>1575</v>
      </c>
      <c r="D227" t="s">
        <v>1576</v>
      </c>
      <c r="Z227">
        <v>42.622952731824391</v>
      </c>
      <c r="AA227">
        <v>30.112543595071472</v>
      </c>
      <c r="AB227">
        <v>40.21349184369349</v>
      </c>
      <c r="AC227">
        <v>53.6719669102484</v>
      </c>
      <c r="AD227">
        <v>79.406381148187378</v>
      </c>
      <c r="AE227">
        <v>95.886505210164387</v>
      </c>
      <c r="AF227">
        <v>132.07272101483079</v>
      </c>
      <c r="AG227">
        <v>198.7537128620227</v>
      </c>
      <c r="AH227">
        <v>1281.443494048757</v>
      </c>
      <c r="AI227">
        <v>552.08352891432492</v>
      </c>
      <c r="AJ227">
        <v>114.8329355897467</v>
      </c>
      <c r="AK227">
        <v>209.93373118682169</v>
      </c>
      <c r="AL227">
        <v>31.762130630593209</v>
      </c>
      <c r="AM227">
        <v>20.991818047149781</v>
      </c>
      <c r="AN227">
        <v>13.463729617866949</v>
      </c>
      <c r="AO227">
        <v>9.8644506154685114</v>
      </c>
      <c r="AP227">
        <v>8.3596799070429988</v>
      </c>
      <c r="AQ227">
        <v>7.8911668285668384</v>
      </c>
      <c r="AR227">
        <v>6.1555875445155861</v>
      </c>
      <c r="AS227">
        <v>8.9117441865876899</v>
      </c>
      <c r="AT227">
        <v>8.3796658749220398</v>
      </c>
      <c r="AU227">
        <v>7.4807777070375376</v>
      </c>
      <c r="AV227">
        <v>5.5441642175290111</v>
      </c>
      <c r="AW227">
        <v>3.5929759424950878</v>
      </c>
      <c r="AX227">
        <v>2.4515013231647491</v>
      </c>
      <c r="AY227">
        <v>2.457924441958653</v>
      </c>
      <c r="AZ227">
        <v>3.6574956328409911</v>
      </c>
      <c r="BA227">
        <v>5.647423805739348</v>
      </c>
      <c r="BB227">
        <v>0.83926224679388728</v>
      </c>
      <c r="BC227">
        <v>1.8011702213713401</v>
      </c>
      <c r="BD227">
        <v>1.8028517194191001</v>
      </c>
      <c r="BE227">
        <v>2.5974138603900281</v>
      </c>
      <c r="BF227">
        <v>1.7692008588190651</v>
      </c>
      <c r="BG227">
        <v>0.1993438265707497</v>
      </c>
      <c r="BH227">
        <v>-0.52555228582087676</v>
      </c>
      <c r="BI227">
        <v>-5.4999541670473967E-2</v>
      </c>
      <c r="BJ227">
        <v>1.42910743319306</v>
      </c>
      <c r="BK227">
        <v>1.7386086198818</v>
      </c>
      <c r="BL227">
        <v>1.630522607543444</v>
      </c>
      <c r="BM227">
        <v>-5.4856815760609981E-2</v>
      </c>
      <c r="BN227">
        <v>1.917065060892595</v>
      </c>
      <c r="BO227">
        <v>8.8336988674945172</v>
      </c>
      <c r="BP227">
        <v>7.4468771738583763</v>
      </c>
      <c r="BQ227">
        <v>1.9656265643251249</v>
      </c>
    </row>
    <row r="228" spans="1:69" x14ac:dyDescent="0.25">
      <c r="A228" t="s">
        <v>1489</v>
      </c>
      <c r="B228" t="s">
        <v>1490</v>
      </c>
      <c r="C228" t="s">
        <v>1575</v>
      </c>
      <c r="D228" t="s">
        <v>1576</v>
      </c>
      <c r="E228">
        <v>4.1417791509021544</v>
      </c>
      <c r="F228">
        <v>2.1579731098196429</v>
      </c>
      <c r="G228">
        <v>4.7661972190582311</v>
      </c>
      <c r="H228">
        <v>2.8717403448576979</v>
      </c>
      <c r="I228">
        <v>3.3876623108834929</v>
      </c>
      <c r="J228">
        <v>5.0127712964383786</v>
      </c>
      <c r="K228">
        <v>6.4048082534841386</v>
      </c>
      <c r="L228">
        <v>4.2893192299331906</v>
      </c>
      <c r="M228">
        <v>1.943125824732443</v>
      </c>
      <c r="N228">
        <v>2.6919945855570031</v>
      </c>
      <c r="O228">
        <v>7.0163588510076291</v>
      </c>
      <c r="P228">
        <v>7.3955411383763554</v>
      </c>
      <c r="Q228">
        <v>6.0073896986249471</v>
      </c>
      <c r="R228">
        <v>6.7179973981935417</v>
      </c>
      <c r="S228">
        <v>9.91172530113238</v>
      </c>
      <c r="T228">
        <v>9.7798739882257628</v>
      </c>
      <c r="U228">
        <v>10.249224652978381</v>
      </c>
      <c r="V228">
        <v>11.44180510910769</v>
      </c>
      <c r="W228">
        <v>9.9952654171773236</v>
      </c>
      <c r="X228">
        <v>7.2097861704780808</v>
      </c>
      <c r="Y228">
        <v>13.70632236490046</v>
      </c>
      <c r="Z228">
        <v>12.103938530259841</v>
      </c>
      <c r="AA228">
        <v>8.5891850904712257</v>
      </c>
      <c r="AB228">
        <v>8.8730215236321328</v>
      </c>
      <c r="AC228">
        <v>8.0442423899442161</v>
      </c>
      <c r="AD228">
        <v>7.3725745812624561</v>
      </c>
      <c r="AE228">
        <v>4.2359101108979269</v>
      </c>
      <c r="AF228">
        <v>4.1885715177136777</v>
      </c>
      <c r="AG228">
        <v>5.824898684394368</v>
      </c>
      <c r="AH228">
        <v>6.4432758742661029</v>
      </c>
      <c r="AI228">
        <v>10.366553387949279</v>
      </c>
      <c r="AJ228">
        <v>9.4446273294418965</v>
      </c>
      <c r="AK228">
        <v>2.3743672511187972</v>
      </c>
      <c r="AL228">
        <v>4.7281730462605296</v>
      </c>
      <c r="AM228">
        <v>2.1581380072463152</v>
      </c>
      <c r="AN228">
        <v>2.4551485781839468</v>
      </c>
      <c r="AO228">
        <v>0.53313197876629703</v>
      </c>
      <c r="AP228">
        <v>0.65841025624351435</v>
      </c>
      <c r="AQ228">
        <v>-0.26713266835500649</v>
      </c>
      <c r="AR228">
        <v>0.46217575633917318</v>
      </c>
      <c r="AS228">
        <v>0.8991437340416325</v>
      </c>
      <c r="AT228">
        <v>2.4059583414543768</v>
      </c>
      <c r="AU228">
        <v>2.1584821358926418</v>
      </c>
      <c r="AV228">
        <v>1.9256553489239101</v>
      </c>
      <c r="AW228">
        <v>0.3736598287218133</v>
      </c>
      <c r="AX228">
        <v>0.45317085257618178</v>
      </c>
      <c r="AY228">
        <v>1.3602146862768001</v>
      </c>
      <c r="AZ228">
        <v>2.21216883436735</v>
      </c>
      <c r="BA228">
        <v>3.43704910602874</v>
      </c>
      <c r="BB228">
        <v>-0.49446054437799097</v>
      </c>
      <c r="BC228">
        <v>1.157988027156277</v>
      </c>
      <c r="BD228">
        <v>2.9611507382214</v>
      </c>
      <c r="BE228">
        <v>0.88837750692363782</v>
      </c>
      <c r="BF228">
        <v>-4.4292970148585818E-2</v>
      </c>
      <c r="BG228">
        <v>-0.17963849411463501</v>
      </c>
      <c r="BH228">
        <v>-4.6784744983281168E-2</v>
      </c>
      <c r="BI228">
        <v>0.9842692445779917</v>
      </c>
      <c r="BJ228">
        <v>1.7944990466558941</v>
      </c>
      <c r="BK228">
        <v>1.9535353012702801</v>
      </c>
      <c r="BL228">
        <v>1.784150974038349</v>
      </c>
      <c r="BM228">
        <v>0.49736731885357222</v>
      </c>
      <c r="BN228">
        <v>2.1631973644715261</v>
      </c>
      <c r="BO228">
        <v>8.3692909886918905</v>
      </c>
      <c r="BP228">
        <v>8.5486248974890184</v>
      </c>
      <c r="BQ228">
        <v>2.8358165822403421</v>
      </c>
    </row>
    <row r="229" spans="1:69" x14ac:dyDescent="0.25">
      <c r="A229" t="s">
        <v>1491</v>
      </c>
      <c r="B229" t="s">
        <v>1492</v>
      </c>
      <c r="C229" t="s">
        <v>1575</v>
      </c>
      <c r="D229" t="s">
        <v>1576</v>
      </c>
      <c r="K229">
        <v>3.1775210084201029</v>
      </c>
      <c r="L229">
        <v>1.824043437949715</v>
      </c>
      <c r="M229">
        <v>3.4494250952423831</v>
      </c>
      <c r="N229">
        <v>3.2055412377031409</v>
      </c>
      <c r="O229">
        <v>1.84953956571386</v>
      </c>
      <c r="P229">
        <v>2.32166117555597</v>
      </c>
      <c r="Q229">
        <v>2.3663321848999281</v>
      </c>
      <c r="R229">
        <v>11.54352596964347</v>
      </c>
      <c r="S229">
        <v>19.287775445696131</v>
      </c>
      <c r="T229">
        <v>12.04574193216782</v>
      </c>
      <c r="U229">
        <v>6.5309126594924338</v>
      </c>
      <c r="V229">
        <v>20.80512182761996</v>
      </c>
      <c r="W229">
        <v>8.517614762916228</v>
      </c>
      <c r="X229">
        <v>16.453516970076219</v>
      </c>
      <c r="Y229">
        <v>18.68397540349558</v>
      </c>
      <c r="Z229">
        <v>20.055796652253939</v>
      </c>
      <c r="AA229">
        <v>10.80742134184117</v>
      </c>
      <c r="AB229">
        <v>11.56752438340691</v>
      </c>
      <c r="AC229">
        <v>12.939726641272649</v>
      </c>
      <c r="AD229">
        <v>20.462633451957618</v>
      </c>
      <c r="AE229">
        <v>13.737075332348629</v>
      </c>
      <c r="AF229">
        <v>13.37662337662282</v>
      </c>
      <c r="AG229">
        <v>20.394562278111479</v>
      </c>
      <c r="AH229">
        <v>7.546164772727713</v>
      </c>
      <c r="AI229">
        <v>13.09228991249806</v>
      </c>
      <c r="AJ229">
        <v>8.9343065693428763</v>
      </c>
      <c r="AK229">
        <v>7.5582953631733742</v>
      </c>
      <c r="AL229">
        <v>12.023423872414821</v>
      </c>
      <c r="AM229">
        <v>13.769324880435891</v>
      </c>
      <c r="AN229">
        <v>12.288591260142571</v>
      </c>
      <c r="AO229">
        <v>6.4252133031521836</v>
      </c>
      <c r="AP229">
        <v>7.1253272251305697</v>
      </c>
      <c r="AQ229">
        <v>8.1099656357386323</v>
      </c>
      <c r="AR229">
        <v>6.0888606343149263</v>
      </c>
      <c r="AS229">
        <v>12.20853585458438</v>
      </c>
      <c r="AT229">
        <v>5.9421098228164766</v>
      </c>
      <c r="AU229">
        <v>12.019715469923151</v>
      </c>
      <c r="AV229">
        <v>7.289999999999992</v>
      </c>
      <c r="AW229">
        <v>3.4453350731661359</v>
      </c>
      <c r="AX229">
        <v>4.7740040455371187</v>
      </c>
      <c r="AY229">
        <v>5.3046394633872751</v>
      </c>
      <c r="AZ229">
        <v>8.0760882786158863</v>
      </c>
      <c r="BA229">
        <v>12.657460186391519</v>
      </c>
      <c r="BB229">
        <v>7.4482342344575363</v>
      </c>
      <c r="BC229">
        <v>4.5092369177436904</v>
      </c>
      <c r="BD229">
        <v>6.1074271459025109</v>
      </c>
      <c r="BE229">
        <v>8.9396468278821164</v>
      </c>
      <c r="BF229">
        <v>5.6213062346894773</v>
      </c>
      <c r="BG229">
        <v>5.6813488577644744</v>
      </c>
      <c r="BH229">
        <v>4.951244937049192</v>
      </c>
      <c r="BI229">
        <v>7.8472745908567987</v>
      </c>
      <c r="BJ229">
        <v>6.2213752893311778</v>
      </c>
      <c r="BK229">
        <v>4.8150616746151256</v>
      </c>
      <c r="BL229">
        <v>2.598016203110773</v>
      </c>
    </row>
    <row r="230" spans="1:69" x14ac:dyDescent="0.25">
      <c r="A230" t="s">
        <v>1493</v>
      </c>
      <c r="B230" t="s">
        <v>1494</v>
      </c>
      <c r="C230" t="s">
        <v>1575</v>
      </c>
      <c r="D230" t="s">
        <v>1576</v>
      </c>
      <c r="AY230">
        <v>0.30060120240480498</v>
      </c>
      <c r="AZ230">
        <v>4.4324575424575423</v>
      </c>
      <c r="BA230">
        <v>-0.41792902008075811</v>
      </c>
      <c r="BB230">
        <v>5.9576368876080101</v>
      </c>
      <c r="BC230">
        <v>1.338576216728816</v>
      </c>
      <c r="BD230">
        <v>4.5847543565040096</v>
      </c>
      <c r="BE230">
        <v>4.0151842108157636</v>
      </c>
      <c r="BF230">
        <v>2.5286478853837031</v>
      </c>
      <c r="BG230">
        <v>1.8867546627526559</v>
      </c>
      <c r="BH230">
        <v>0.33002716514106561</v>
      </c>
      <c r="BI230">
        <v>0.11168265573757941</v>
      </c>
      <c r="BJ230">
        <v>2.1920101096298499</v>
      </c>
    </row>
    <row r="231" spans="1:69" x14ac:dyDescent="0.25">
      <c r="A231" t="s">
        <v>1495</v>
      </c>
      <c r="B231" t="s">
        <v>1496</v>
      </c>
      <c r="C231" t="s">
        <v>1575</v>
      </c>
      <c r="D231" t="s">
        <v>1576</v>
      </c>
      <c r="P231">
        <v>14.599292869816409</v>
      </c>
      <c r="Q231">
        <v>20.940994987157019</v>
      </c>
      <c r="R231">
        <v>18.239795918821759</v>
      </c>
      <c r="S231">
        <v>24.424667385920468</v>
      </c>
      <c r="T231">
        <v>18.611372010313051</v>
      </c>
      <c r="U231">
        <v>14.868733630047769</v>
      </c>
      <c r="V231">
        <v>14.959168522751121</v>
      </c>
      <c r="W231">
        <v>11.783251231892301</v>
      </c>
      <c r="X231">
        <v>12.480169222314</v>
      </c>
      <c r="Y231">
        <v>13.57154051080879</v>
      </c>
      <c r="Z231">
        <v>10.576790396091839</v>
      </c>
      <c r="AA231">
        <v>-0.91264667535852706</v>
      </c>
      <c r="AB231">
        <v>6.052631578947377</v>
      </c>
      <c r="AC231">
        <v>4.0942928039701219</v>
      </c>
      <c r="AD231">
        <v>0.83432657926101406</v>
      </c>
      <c r="AE231">
        <v>0.23640661938541099</v>
      </c>
      <c r="AF231">
        <v>2.594339622641348</v>
      </c>
      <c r="AG231">
        <v>1.8390804597701049</v>
      </c>
      <c r="AH231">
        <v>1.5801354401805681</v>
      </c>
      <c r="AI231">
        <v>3.8888888888891189</v>
      </c>
      <c r="AJ231">
        <v>1.9867549668873421</v>
      </c>
      <c r="AK231">
        <v>3.2467532467532298</v>
      </c>
      <c r="AL231">
        <v>1.3836477987421529</v>
      </c>
      <c r="AM231">
        <v>1.7369727047146351</v>
      </c>
      <c r="AN231">
        <v>-0.24390243902445941</v>
      </c>
      <c r="AO231">
        <v>-1.1002444987774269</v>
      </c>
      <c r="AP231">
        <v>0.61804697156989064</v>
      </c>
      <c r="AQ231">
        <v>2.5798525798524228</v>
      </c>
      <c r="AR231">
        <v>6.3473053892215621</v>
      </c>
      <c r="AS231">
        <v>6.2687687687687843</v>
      </c>
      <c r="AT231">
        <v>5.9696220416815589</v>
      </c>
      <c r="AU231">
        <v>0.17499999999992419</v>
      </c>
      <c r="AV231">
        <v>3.302553864070886</v>
      </c>
      <c r="AW231">
        <v>3.8573039136739888</v>
      </c>
      <c r="AX231">
        <v>0.90718771807394372</v>
      </c>
      <c r="AY231">
        <v>-0.35346549869375632</v>
      </c>
      <c r="AZ231">
        <v>5.3206002728514212</v>
      </c>
      <c r="BA231">
        <v>36.964758287528873</v>
      </c>
      <c r="BB231">
        <v>31.754440774417841</v>
      </c>
      <c r="BC231">
        <v>-2.4046387510822749</v>
      </c>
      <c r="BD231">
        <v>2.559267722309531</v>
      </c>
      <c r="BE231">
        <v>7.1103706232640267</v>
      </c>
      <c r="BF231">
        <v>4.3389384832909874</v>
      </c>
      <c r="BG231">
        <v>1.38583454581263</v>
      </c>
      <c r="BH231">
        <v>4.041944107256171</v>
      </c>
      <c r="BI231">
        <v>-1.015481916976257</v>
      </c>
      <c r="BJ231">
        <v>2.8567957556843711</v>
      </c>
      <c r="BK231">
        <v>3.7029183911156829</v>
      </c>
      <c r="BL231">
        <v>1.807094008099823</v>
      </c>
      <c r="BM231">
        <v>1.2026646398712291</v>
      </c>
      <c r="BN231">
        <v>9.7690993697354163</v>
      </c>
      <c r="BO231">
        <v>2.6260363285129</v>
      </c>
      <c r="BP231">
        <v>-1.0353008843195211</v>
      </c>
      <c r="BQ231">
        <v>0.31172605091966848</v>
      </c>
    </row>
    <row r="232" spans="1:69" x14ac:dyDescent="0.25">
      <c r="A232" t="s">
        <v>1497</v>
      </c>
      <c r="B232" t="s">
        <v>1498</v>
      </c>
      <c r="C232" t="s">
        <v>1575</v>
      </c>
      <c r="D232" t="s">
        <v>1576</v>
      </c>
      <c r="E232">
        <v>5.1189095127609869</v>
      </c>
      <c r="F232">
        <v>1.958890881500754</v>
      </c>
      <c r="G232">
        <v>-3.8461538461533009</v>
      </c>
      <c r="H232">
        <v>1.916666666666589</v>
      </c>
      <c r="I232">
        <v>5.396565821750209</v>
      </c>
      <c r="J232">
        <v>-3.878975950349449</v>
      </c>
      <c r="K232">
        <v>3.7933817594837751</v>
      </c>
      <c r="L232">
        <v>6.4541213063752556</v>
      </c>
      <c r="M232">
        <v>2.848794740686619</v>
      </c>
      <c r="N232">
        <v>-1.9886363636359861</v>
      </c>
      <c r="O232">
        <v>4.6376811594198282</v>
      </c>
      <c r="P232">
        <v>5.6094182825484991</v>
      </c>
      <c r="Q232">
        <v>2.098360655738333</v>
      </c>
      <c r="R232">
        <v>20.35966602440595</v>
      </c>
      <c r="S232">
        <v>15.528281750266849</v>
      </c>
      <c r="T232">
        <v>11.4649681528663</v>
      </c>
      <c r="U232">
        <v>11.428571428571519</v>
      </c>
      <c r="V232">
        <v>11.96581196581158</v>
      </c>
      <c r="W232">
        <v>4.8091603053437089</v>
      </c>
      <c r="X232">
        <v>4.5520757465403783</v>
      </c>
      <c r="Y232">
        <v>19.296412399860841</v>
      </c>
      <c r="Z232">
        <v>18.39416058394167</v>
      </c>
      <c r="AA232">
        <v>14.30332922318113</v>
      </c>
      <c r="AB232">
        <v>6.1272923408846003</v>
      </c>
      <c r="AC232">
        <v>9.2295181947549594</v>
      </c>
      <c r="AD232">
        <v>17.2529313232832</v>
      </c>
      <c r="AE232">
        <v>36.063492063491587</v>
      </c>
      <c r="AF232">
        <v>59.484367708819761</v>
      </c>
      <c r="AG232">
        <v>34.562211981566982</v>
      </c>
      <c r="AH232">
        <v>11.39921722113489</v>
      </c>
      <c r="AI232">
        <v>19.39686722295432</v>
      </c>
      <c r="AJ232">
        <v>9.0000000000000338</v>
      </c>
      <c r="AK232">
        <v>11.00917431192646</v>
      </c>
      <c r="AL232">
        <v>13.223140495867939</v>
      </c>
      <c r="AM232">
        <v>15.328467153284571</v>
      </c>
      <c r="AN232">
        <v>7.9799578059068601</v>
      </c>
      <c r="AO232">
        <v>8.2498900991550972</v>
      </c>
      <c r="AP232">
        <v>1.886111361790862</v>
      </c>
      <c r="AQ232">
        <v>-0.79716563330391632</v>
      </c>
      <c r="AR232">
        <v>-3.70370370370365</v>
      </c>
      <c r="AS232">
        <v>-3.8461538461537881</v>
      </c>
      <c r="AT232">
        <v>2.9999999999999529</v>
      </c>
      <c r="AU232">
        <v>-0.1305052824174015</v>
      </c>
      <c r="AV232">
        <v>5.7968294490584116</v>
      </c>
      <c r="AW232">
        <v>4.4331413671983881</v>
      </c>
      <c r="AX232">
        <v>7.2403493934853493</v>
      </c>
      <c r="AY232">
        <v>10.02411053775713</v>
      </c>
      <c r="AZ232">
        <v>3.907709504436073</v>
      </c>
      <c r="BA232">
        <v>15.745325221970861</v>
      </c>
      <c r="BB232">
        <v>2.9208971180536669</v>
      </c>
      <c r="BC232">
        <v>4.3974138315007023</v>
      </c>
      <c r="BD232">
        <v>4.7531638888563004</v>
      </c>
      <c r="BE232">
        <v>36.70229533641389</v>
      </c>
      <c r="BF232">
        <v>40.031837829072323</v>
      </c>
      <c r="BG232">
        <v>10.92711418042969</v>
      </c>
      <c r="BH232">
        <v>38.461142959973287</v>
      </c>
      <c r="BI232">
        <v>47.705161529892337</v>
      </c>
      <c r="BJ232">
        <v>18.075269628177111</v>
      </c>
      <c r="BK232">
        <v>0.94098384390676881</v>
      </c>
      <c r="BL232">
        <v>13.417565322857071</v>
      </c>
    </row>
    <row r="233" spans="1:69" x14ac:dyDescent="0.25">
      <c r="A233" t="s">
        <v>1499</v>
      </c>
      <c r="B233" t="s">
        <v>1500</v>
      </c>
      <c r="C233" t="s">
        <v>1575</v>
      </c>
      <c r="D233" t="s">
        <v>1576</v>
      </c>
    </row>
    <row r="234" spans="1:69" x14ac:dyDescent="0.25">
      <c r="A234" t="s">
        <v>1501</v>
      </c>
      <c r="B234" t="s">
        <v>1502</v>
      </c>
      <c r="C234" t="s">
        <v>1575</v>
      </c>
      <c r="D234" t="s">
        <v>1576</v>
      </c>
      <c r="AC234">
        <v>20.25089605734793</v>
      </c>
      <c r="AD234">
        <v>5.1539990064581582</v>
      </c>
      <c r="AE234">
        <v>-13.056572575882891</v>
      </c>
      <c r="AF234">
        <v>-5.9748427672955398</v>
      </c>
      <c r="AG234">
        <v>15.47751765143034</v>
      </c>
      <c r="AH234">
        <v>-3.6891346044147091</v>
      </c>
      <c r="AI234">
        <v>-0.73828226531091845</v>
      </c>
      <c r="AJ234">
        <v>3.1938747302949571</v>
      </c>
      <c r="AK234">
        <v>-3.1130306721494949</v>
      </c>
      <c r="AL234">
        <v>-8.4279334865179987</v>
      </c>
      <c r="AM234">
        <v>41.72489723644135</v>
      </c>
      <c r="AN234">
        <v>9.2303259976865579</v>
      </c>
      <c r="AO234">
        <v>11.33087890572822</v>
      </c>
      <c r="AP234">
        <v>5.5722571112532977</v>
      </c>
      <c r="AQ234">
        <v>4.2588511022514028</v>
      </c>
      <c r="AR234">
        <v>-8.0250596272745423</v>
      </c>
      <c r="AS234">
        <v>3.8226008808630589</v>
      </c>
      <c r="AT234">
        <v>12.43128652799407</v>
      </c>
      <c r="AU234">
        <v>5.1918189519544642</v>
      </c>
      <c r="AV234">
        <v>-1.7525694124865481</v>
      </c>
      <c r="AW234">
        <v>-5.3554002888481582</v>
      </c>
      <c r="AX234">
        <v>7.8903656746299307</v>
      </c>
      <c r="AY234">
        <v>8.0362889795133103</v>
      </c>
      <c r="AZ234">
        <v>-8.9747396200927039</v>
      </c>
      <c r="BA234">
        <v>10.29697582212537</v>
      </c>
      <c r="BB234">
        <v>9.9524229074886428</v>
      </c>
      <c r="BC234">
        <v>-2.0778657464186581</v>
      </c>
      <c r="BD234">
        <v>2.0292405367825999</v>
      </c>
      <c r="BE234">
        <v>7.5166236466383287</v>
      </c>
      <c r="BF234">
        <v>0.22267156462455071</v>
      </c>
      <c r="BG234">
        <v>1.681973139256705</v>
      </c>
      <c r="BH234">
        <v>4.3771266506565407</v>
      </c>
      <c r="BI234">
        <v>-0.79244052523610198</v>
      </c>
      <c r="BJ234">
        <v>-1.5370996298084041</v>
      </c>
      <c r="BK234">
        <v>4.2746219861054522</v>
      </c>
      <c r="BL234">
        <v>-0.971939175419401</v>
      </c>
      <c r="BM234">
        <v>4.4641443723286081</v>
      </c>
      <c r="BN234">
        <v>-0.77284437035913955</v>
      </c>
      <c r="BO234">
        <v>5.7880268784361641</v>
      </c>
      <c r="BP234">
        <v>10.83635683998429</v>
      </c>
      <c r="BQ234">
        <v>8.8995073226375432</v>
      </c>
    </row>
    <row r="235" spans="1:69" x14ac:dyDescent="0.25">
      <c r="A235" t="s">
        <v>1503</v>
      </c>
      <c r="B235" t="s">
        <v>1504</v>
      </c>
      <c r="C235" t="s">
        <v>1575</v>
      </c>
      <c r="D235" t="s">
        <v>1576</v>
      </c>
      <c r="AF235">
        <v>5.1748812732385847</v>
      </c>
      <c r="AG235">
        <v>9.3421268854720534</v>
      </c>
      <c r="AH235">
        <v>6.4625617114644447</v>
      </c>
      <c r="AI235">
        <v>8.1913713204097203</v>
      </c>
      <c r="AJ235">
        <v>6.9656812776075281</v>
      </c>
      <c r="AK235">
        <v>7.5235100624267748</v>
      </c>
      <c r="AL235">
        <v>5.7369058335739709</v>
      </c>
      <c r="AM235">
        <v>7.6582395390468658</v>
      </c>
      <c r="AN235">
        <v>5.8181818181819231</v>
      </c>
      <c r="AO235">
        <v>7.3134825933035303</v>
      </c>
      <c r="AP235">
        <v>5.6080284338985269</v>
      </c>
      <c r="AQ235">
        <v>8.6148315364729058</v>
      </c>
      <c r="AR235">
        <v>4.290728517238132</v>
      </c>
      <c r="AS235">
        <v>2.1585181061941912</v>
      </c>
      <c r="AT235">
        <v>4.2726702446510387</v>
      </c>
      <c r="AU235">
        <v>2.3431699096098031</v>
      </c>
      <c r="AV235">
        <v>3.2346481729392691</v>
      </c>
      <c r="AW235">
        <v>4.5342137412969246</v>
      </c>
      <c r="AX235">
        <v>4.5403691963453481</v>
      </c>
      <c r="AY235">
        <v>4.6374743601176487</v>
      </c>
      <c r="AZ235">
        <v>4.8102370434291233</v>
      </c>
      <c r="BA235">
        <v>10.33682692003527</v>
      </c>
      <c r="BB235">
        <v>3.67503305540298</v>
      </c>
      <c r="BC235">
        <v>3.6119623443029538</v>
      </c>
      <c r="BD235">
        <v>5.1590049768440256</v>
      </c>
      <c r="BE235">
        <v>3.0269639112479632</v>
      </c>
      <c r="BF235">
        <v>2.92758351575675</v>
      </c>
      <c r="BG235">
        <v>3.3704069737165319</v>
      </c>
      <c r="BH235">
        <v>1.086486299404136</v>
      </c>
      <c r="BI235">
        <v>1.757111589082909</v>
      </c>
      <c r="BJ235">
        <v>2.8829116498121259</v>
      </c>
      <c r="BK235">
        <v>2.9174097847044398</v>
      </c>
      <c r="BL235">
        <v>1.93321335810515</v>
      </c>
      <c r="BM235">
        <v>2.3931623931624029</v>
      </c>
      <c r="BN235">
        <v>2.6124818577648048</v>
      </c>
      <c r="BO235">
        <v>5.4087437547906658</v>
      </c>
      <c r="BP235">
        <v>6.1645774789829906</v>
      </c>
      <c r="BQ235">
        <v>2.2317277292170381</v>
      </c>
    </row>
    <row r="236" spans="1:69" x14ac:dyDescent="0.25">
      <c r="A236" t="s">
        <v>1505</v>
      </c>
      <c r="B236" t="s">
        <v>1506</v>
      </c>
      <c r="C236" t="s">
        <v>1575</v>
      </c>
      <c r="D236" t="s">
        <v>1576</v>
      </c>
      <c r="AM236">
        <v>222.24101418431701</v>
      </c>
      <c r="AN236">
        <v>85.886916205658139</v>
      </c>
      <c r="AO236">
        <v>38.829301338285177</v>
      </c>
      <c r="AP236">
        <v>15.94059941494297</v>
      </c>
      <c r="AQ236">
        <v>10.577161148251429</v>
      </c>
      <c r="AR236">
        <v>19.19267582188947</v>
      </c>
      <c r="AS236">
        <v>13.180890586573071</v>
      </c>
      <c r="AT236">
        <v>7.8575385219659264</v>
      </c>
      <c r="AU236">
        <v>5.6989904786130978</v>
      </c>
      <c r="AV236">
        <v>4.7215533660534019</v>
      </c>
      <c r="AW236">
        <v>6.8820543898189603</v>
      </c>
      <c r="AX236">
        <v>7.5799992912576677</v>
      </c>
      <c r="AY236">
        <v>6.9971290353558464</v>
      </c>
      <c r="AZ236">
        <v>8.4025341900590131</v>
      </c>
      <c r="BA236">
        <v>10.444128376488511</v>
      </c>
      <c r="BB236">
        <v>3.4667237320779338</v>
      </c>
      <c r="BC236">
        <v>6.1425536024724838</v>
      </c>
      <c r="BD236">
        <v>7.6686295560773772</v>
      </c>
      <c r="BE236">
        <v>3.3734980838740012</v>
      </c>
      <c r="BF236">
        <v>3.38485646137124</v>
      </c>
      <c r="BG236">
        <v>2.531878314069131</v>
      </c>
      <c r="BH236">
        <v>3.8676346997839541</v>
      </c>
      <c r="BI236">
        <v>1.1988728289259609</v>
      </c>
      <c r="BJ236">
        <v>3.1310624859011509</v>
      </c>
      <c r="BK236">
        <v>2.6112237826379969</v>
      </c>
      <c r="BL236">
        <v>2.6759920263989332</v>
      </c>
      <c r="BM236">
        <v>2.7324920941942721</v>
      </c>
      <c r="BN236">
        <v>5.106411290028408</v>
      </c>
      <c r="BO236">
        <v>13.8522590144267</v>
      </c>
      <c r="BP236">
        <v>9.3618724976901557</v>
      </c>
      <c r="BQ236">
        <v>3.6370004676990839</v>
      </c>
    </row>
    <row r="237" spans="1:69" x14ac:dyDescent="0.25">
      <c r="A237" t="s">
        <v>1507</v>
      </c>
      <c r="B237" t="s">
        <v>1508</v>
      </c>
      <c r="C237" t="s">
        <v>1575</v>
      </c>
      <c r="D237" t="s">
        <v>1576</v>
      </c>
      <c r="L237">
        <v>-2.3188405806762442</v>
      </c>
      <c r="M237">
        <v>0.2967359060365361</v>
      </c>
      <c r="N237">
        <v>6.0157790927021377</v>
      </c>
      <c r="O237">
        <v>4.4806201546509463</v>
      </c>
      <c r="P237">
        <v>6.4920611363942999</v>
      </c>
      <c r="Q237">
        <v>7.7266076782347977</v>
      </c>
      <c r="R237">
        <v>3.6153149657316721</v>
      </c>
      <c r="S237">
        <v>12.831931690620101</v>
      </c>
      <c r="T237">
        <v>18.01219949766762</v>
      </c>
      <c r="U237">
        <v>11.640730810691521</v>
      </c>
      <c r="V237">
        <v>22.45701340661774</v>
      </c>
      <c r="W237">
        <v>0.44277309395296077</v>
      </c>
      <c r="X237">
        <v>7.5392512077294169</v>
      </c>
      <c r="Y237">
        <v>12.30685721237953</v>
      </c>
      <c r="Z237">
        <v>19.71650236248065</v>
      </c>
      <c r="AA237">
        <v>11.12967332818269</v>
      </c>
      <c r="AB237">
        <v>9.3554650798614656</v>
      </c>
      <c r="AC237">
        <v>-3.526628710205487</v>
      </c>
      <c r="AD237">
        <v>-1.8144143823216179</v>
      </c>
      <c r="AE237">
        <v>4.124615263676862</v>
      </c>
      <c r="AF237">
        <v>5.4008850482645969E-2</v>
      </c>
      <c r="AG237">
        <v>-0.1509109799347772</v>
      </c>
      <c r="AH237">
        <v>-0.83940311695255099</v>
      </c>
      <c r="AI237">
        <v>1.015341505308095</v>
      </c>
      <c r="AJ237">
        <v>0.38708179787075703</v>
      </c>
      <c r="AK237">
        <v>1.393786636759385</v>
      </c>
      <c r="AL237">
        <v>-1.0068816885503391</v>
      </c>
      <c r="AM237">
        <v>39.162767379679522</v>
      </c>
      <c r="AN237">
        <v>16.43350345241635</v>
      </c>
      <c r="AO237">
        <v>4.6874999999999574</v>
      </c>
      <c r="AP237">
        <v>8.2508250825080207</v>
      </c>
      <c r="AQ237">
        <v>0.9753383810886741</v>
      </c>
      <c r="AR237">
        <v>-5.3213624882353358E-2</v>
      </c>
      <c r="AS237">
        <v>1.8626059546306719</v>
      </c>
      <c r="AT237">
        <v>3.9195913365314641</v>
      </c>
      <c r="AU237">
        <v>3.0598185753588369</v>
      </c>
      <c r="AV237">
        <v>-0.9300008840722136</v>
      </c>
      <c r="AW237">
        <v>0.39307868103166921</v>
      </c>
      <c r="AX237">
        <v>6.7829289302831377</v>
      </c>
      <c r="AY237">
        <v>2.2289777941402682</v>
      </c>
      <c r="AZ237">
        <v>0.94567327170521365</v>
      </c>
      <c r="BA237">
        <v>8.6948281436390165</v>
      </c>
      <c r="BB237">
        <v>3.71360592035809</v>
      </c>
      <c r="BC237">
        <v>1.4459451743086369</v>
      </c>
      <c r="BD237">
        <v>3.5635147290395999</v>
      </c>
      <c r="BE237">
        <v>2.5771817405584789</v>
      </c>
      <c r="BF237">
        <v>1.8253947590916171</v>
      </c>
      <c r="BG237">
        <v>0.19087507624975</v>
      </c>
      <c r="BH237">
        <v>2.5850039080159468</v>
      </c>
      <c r="BI237">
        <v>1.285448470514168</v>
      </c>
      <c r="BJ237">
        <v>-0.98188986894311914</v>
      </c>
      <c r="BK237">
        <v>0.92775542645718256</v>
      </c>
      <c r="BL237">
        <v>0.674652770077525</v>
      </c>
      <c r="BM237">
        <v>1.6992846329939899</v>
      </c>
      <c r="BN237">
        <v>4.1862150652351984</v>
      </c>
      <c r="BO237">
        <v>7.967573616179453</v>
      </c>
      <c r="BP237">
        <v>5.4892856814113138</v>
      </c>
      <c r="BQ237">
        <v>2.8626207408980062</v>
      </c>
    </row>
    <row r="238" spans="1:69" x14ac:dyDescent="0.25">
      <c r="A238" t="s">
        <v>1509</v>
      </c>
      <c r="B238" t="s">
        <v>1510</v>
      </c>
      <c r="C238" t="s">
        <v>1575</v>
      </c>
      <c r="D238" t="s">
        <v>1576</v>
      </c>
      <c r="E238">
        <v>-0.76586433260376541</v>
      </c>
      <c r="F238">
        <v>7.3869900771770833</v>
      </c>
      <c r="G238">
        <v>3.6960985626289422</v>
      </c>
      <c r="I238">
        <v>-0.79207920792111253</v>
      </c>
      <c r="J238">
        <v>0.16633399842015101</v>
      </c>
      <c r="K238">
        <v>4.0352042506744477</v>
      </c>
      <c r="L238">
        <v>4.3096568235713182</v>
      </c>
      <c r="M238">
        <v>1.790359602230261</v>
      </c>
      <c r="N238">
        <v>2.4503908598309718</v>
      </c>
      <c r="O238">
        <v>-8.8041085546247427E-2</v>
      </c>
      <c r="P238">
        <v>0.48465266537079538</v>
      </c>
      <c r="Q238">
        <v>4.8377667349742746</v>
      </c>
      <c r="R238">
        <v>15.50954970027056</v>
      </c>
      <c r="S238">
        <v>24.313559833501412</v>
      </c>
      <c r="T238">
        <v>5.330097087498646</v>
      </c>
      <c r="U238">
        <v>4.1493055549479303</v>
      </c>
      <c r="V238">
        <v>7.6012668776903132</v>
      </c>
      <c r="W238">
        <v>7.9240898530378594</v>
      </c>
      <c r="X238">
        <v>9.8973659655991835</v>
      </c>
      <c r="Y238">
        <v>19.703500522778022</v>
      </c>
      <c r="Z238">
        <v>12.662993071021541</v>
      </c>
      <c r="AA238">
        <v>5.259079903168268</v>
      </c>
      <c r="AB238">
        <v>3.726536621240752</v>
      </c>
      <c r="AC238">
        <v>0.86489843027932145</v>
      </c>
      <c r="AD238">
        <v>2.4317312343347539</v>
      </c>
      <c r="AE238">
        <v>1.8416759680604631</v>
      </c>
      <c r="AF238">
        <v>2.466461128239533</v>
      </c>
      <c r="AG238">
        <v>3.8627307473365531</v>
      </c>
      <c r="AH238">
        <v>5.355465079862161</v>
      </c>
      <c r="AI238">
        <v>5.8639947437582816</v>
      </c>
      <c r="AJ238">
        <v>5.7098525989139643</v>
      </c>
      <c r="AK238">
        <v>4.1391457507705551</v>
      </c>
      <c r="AL238">
        <v>3.3121916842846839</v>
      </c>
      <c r="AM238">
        <v>5.047748976807549</v>
      </c>
      <c r="AN238">
        <v>5.8181818181819231</v>
      </c>
      <c r="AO238">
        <v>5.8051055473734943</v>
      </c>
      <c r="AP238">
        <v>5.6257974712910439</v>
      </c>
      <c r="AQ238">
        <v>7.9947287502745983</v>
      </c>
      <c r="AR238">
        <v>0.28472645922303441</v>
      </c>
      <c r="AS238">
        <v>1.5919691746097151</v>
      </c>
      <c r="AT238">
        <v>1.6269088731409129</v>
      </c>
      <c r="AU238">
        <v>0.69730897662544855</v>
      </c>
      <c r="AV238">
        <v>1.8043499463572079</v>
      </c>
      <c r="AW238">
        <v>2.7591492623107969</v>
      </c>
      <c r="AX238">
        <v>4.5403691963453481</v>
      </c>
      <c r="AY238">
        <v>4.6374743601176487</v>
      </c>
      <c r="AZ238">
        <v>2.2415409528680299</v>
      </c>
      <c r="BA238">
        <v>5.4684894964984503</v>
      </c>
      <c r="BB238">
        <v>-0.84571609231672062</v>
      </c>
      <c r="BC238">
        <v>3.2475884244372319</v>
      </c>
      <c r="BD238">
        <v>3.8087905813963419</v>
      </c>
      <c r="BE238">
        <v>3.0148995033498469</v>
      </c>
      <c r="BF238">
        <v>2.1848861853068748</v>
      </c>
      <c r="BG238">
        <v>1.895141818987798</v>
      </c>
      <c r="BH238">
        <v>-0.9004249632915694</v>
      </c>
      <c r="BI238">
        <v>0.1881497044481433</v>
      </c>
      <c r="BJ238">
        <v>0.66563189313510618</v>
      </c>
      <c r="BK238">
        <v>1.063897541830241</v>
      </c>
      <c r="BL238">
        <v>0.70672860131431103</v>
      </c>
      <c r="BM238">
        <v>-0.84593714735704117</v>
      </c>
      <c r="BN238">
        <v>1.2303954131838359</v>
      </c>
      <c r="BO238">
        <v>-1.6106803048668801</v>
      </c>
      <c r="BP238">
        <v>8.4780517442154295</v>
      </c>
      <c r="BQ238">
        <v>1.365805407980367</v>
      </c>
    </row>
    <row r="239" spans="1:69" x14ac:dyDescent="0.25">
      <c r="A239" t="s">
        <v>1511</v>
      </c>
      <c r="B239" t="s">
        <v>1512</v>
      </c>
      <c r="C239" t="s">
        <v>1575</v>
      </c>
      <c r="D239" t="s">
        <v>1576</v>
      </c>
      <c r="AT239">
        <v>38.591889448859988</v>
      </c>
      <c r="AU239">
        <v>12.249984784588451</v>
      </c>
      <c r="AV239">
        <v>16.303491204949061</v>
      </c>
      <c r="AW239">
        <v>7.141965086922526</v>
      </c>
      <c r="AX239">
        <v>7.0919324408377307</v>
      </c>
      <c r="AY239">
        <v>10.010865188646109</v>
      </c>
      <c r="AZ239">
        <v>13.149124706298201</v>
      </c>
      <c r="BA239">
        <v>20.470521910996421</v>
      </c>
      <c r="BB239">
        <v>6.4482348106669676</v>
      </c>
      <c r="BC239">
        <v>6.4453144078065829</v>
      </c>
      <c r="BD239">
        <v>12.431549043040601</v>
      </c>
      <c r="BE239">
        <v>5.8311660103146243</v>
      </c>
      <c r="BF239">
        <v>5.00964645344951</v>
      </c>
      <c r="BG239">
        <v>6.1044276512966711</v>
      </c>
      <c r="BH239">
        <v>5.7145594964971043</v>
      </c>
      <c r="BI239">
        <v>6.0045808232213913</v>
      </c>
    </row>
    <row r="240" spans="1:69" x14ac:dyDescent="0.25">
      <c r="A240" t="s">
        <v>1513</v>
      </c>
      <c r="B240" t="s">
        <v>1514</v>
      </c>
      <c r="C240" t="s">
        <v>1575</v>
      </c>
      <c r="D240" t="s">
        <v>1576</v>
      </c>
    </row>
    <row r="241" spans="1:69" x14ac:dyDescent="0.25">
      <c r="A241" t="s">
        <v>1515</v>
      </c>
      <c r="B241" t="s">
        <v>1516</v>
      </c>
      <c r="C241" t="s">
        <v>1575</v>
      </c>
      <c r="D241" t="s">
        <v>1576</v>
      </c>
      <c r="E241">
        <v>2.080000000078154</v>
      </c>
      <c r="F241">
        <v>2.430793910091595</v>
      </c>
      <c r="G241">
        <v>2.100840336134397</v>
      </c>
      <c r="H241">
        <v>2.9316184705135222</v>
      </c>
      <c r="I241">
        <v>3.32403316018127</v>
      </c>
      <c r="J241">
        <v>2.6315789473685229</v>
      </c>
      <c r="K241">
        <v>3.4837761357540802</v>
      </c>
      <c r="L241">
        <v>2.5766035675882009</v>
      </c>
      <c r="M241">
        <v>4.0316727682061249</v>
      </c>
      <c r="N241">
        <v>2.532271776299333</v>
      </c>
      <c r="O241">
        <v>4.3039033520146166</v>
      </c>
      <c r="P241">
        <v>4.9532569364098658</v>
      </c>
      <c r="Q241">
        <v>6.5115440115436964</v>
      </c>
      <c r="R241">
        <v>13.79603399450191</v>
      </c>
      <c r="S241">
        <v>23.784015442578699</v>
      </c>
      <c r="T241">
        <v>16.876315395135549</v>
      </c>
      <c r="U241">
        <v>9.9315956528130034</v>
      </c>
      <c r="V241">
        <v>11.19100163703586</v>
      </c>
      <c r="W241">
        <v>10.35567227571913</v>
      </c>
      <c r="X241">
        <v>14.782239267266</v>
      </c>
      <c r="Y241">
        <v>18.061543035595552</v>
      </c>
      <c r="Z241">
        <v>14.189927636413151</v>
      </c>
      <c r="AA241">
        <v>8.3976815591669087</v>
      </c>
      <c r="AB241">
        <v>10.912887218539909</v>
      </c>
      <c r="AC241">
        <v>11.727298258808609</v>
      </c>
      <c r="AD241">
        <v>16.872105470849739</v>
      </c>
      <c r="AE241">
        <v>13.470218657294749</v>
      </c>
      <c r="AF241">
        <v>12.93696852914341</v>
      </c>
      <c r="AG241">
        <v>9.5497347565001487</v>
      </c>
      <c r="AH241">
        <v>12.88083542310692</v>
      </c>
      <c r="AI241">
        <v>21.85005972813045</v>
      </c>
      <c r="AJ241">
        <v>22.223385941418371</v>
      </c>
      <c r="AK241">
        <v>11.63740249101382</v>
      </c>
      <c r="AL241">
        <v>10.791941318612</v>
      </c>
      <c r="AM241">
        <v>10.720563901042111</v>
      </c>
      <c r="AN241">
        <v>11.128702970708851</v>
      </c>
      <c r="AO241">
        <v>9.7889204017996629</v>
      </c>
      <c r="AP241">
        <v>7.145111608839291</v>
      </c>
      <c r="AQ241">
        <v>5.2690354704220086</v>
      </c>
      <c r="AR241">
        <v>3.4867289020098049</v>
      </c>
      <c r="AS241">
        <v>4.7638247273325121</v>
      </c>
      <c r="AT241">
        <v>5.3072208102854708</v>
      </c>
      <c r="AU241">
        <v>4.2402666068864523</v>
      </c>
      <c r="AV241">
        <v>4.5469001211871838</v>
      </c>
      <c r="AW241">
        <v>4.4519439239504486</v>
      </c>
      <c r="AX241">
        <v>4.6992773903564036</v>
      </c>
      <c r="AY241">
        <v>4.2934236362892664</v>
      </c>
      <c r="AZ241">
        <v>5.5443848581515551</v>
      </c>
      <c r="BA241">
        <v>8.4000959398746211</v>
      </c>
      <c r="BB241">
        <v>2.764089135136333</v>
      </c>
      <c r="BC241">
        <v>3.796443337687029</v>
      </c>
      <c r="BD241">
        <v>5.4628459294407161</v>
      </c>
      <c r="BE241">
        <v>4.1445728408640203</v>
      </c>
      <c r="BF241">
        <v>2.744836218961864</v>
      </c>
      <c r="BG241">
        <v>3.428264148107802</v>
      </c>
      <c r="BH241">
        <v>2.9248216971897421</v>
      </c>
      <c r="BI241">
        <v>2.5378171039056738</v>
      </c>
      <c r="BJ241">
        <v>2.822758055471704</v>
      </c>
      <c r="BK241">
        <v>2.3241448536792131</v>
      </c>
      <c r="BL241">
        <v>2.0960463532780702</v>
      </c>
      <c r="BM241">
        <v>1.7675159235669831</v>
      </c>
      <c r="BN241">
        <v>4.261051274228131</v>
      </c>
      <c r="BO241">
        <v>7.8962761916854971</v>
      </c>
      <c r="BP241">
        <v>4.9263757319267407</v>
      </c>
      <c r="BQ241">
        <v>3.6277073694092699</v>
      </c>
    </row>
    <row r="242" spans="1:69" x14ac:dyDescent="0.25">
      <c r="A242" t="s">
        <v>1517</v>
      </c>
      <c r="B242" t="s">
        <v>1518</v>
      </c>
      <c r="C242" t="s">
        <v>1575</v>
      </c>
      <c r="D242" t="s">
        <v>1576</v>
      </c>
      <c r="AV242">
        <v>7.1651589144183854</v>
      </c>
      <c r="AW242">
        <v>3.237513940033208</v>
      </c>
      <c r="AX242">
        <v>1.111674003871979</v>
      </c>
      <c r="AY242">
        <v>3.9361625992986609</v>
      </c>
      <c r="AZ242">
        <v>10.300902017489451</v>
      </c>
      <c r="BA242">
        <v>9.0642362194894162</v>
      </c>
      <c r="BB242">
        <v>0.66968118596543325</v>
      </c>
      <c r="BC242">
        <v>6.7659768023648104</v>
      </c>
      <c r="BD242">
        <v>13.49984023857702</v>
      </c>
      <c r="BE242">
        <v>11.8003096701544</v>
      </c>
      <c r="BF242">
        <v>11.084908510995421</v>
      </c>
      <c r="BG242">
        <v>0.7262750161394651</v>
      </c>
      <c r="BH242">
        <v>0.55279602627785307</v>
      </c>
      <c r="BI242">
        <v>-1.3385387618516309</v>
      </c>
      <c r="BJ242">
        <v>0.55721553743036101</v>
      </c>
      <c r="BK242">
        <v>2.636472010158919</v>
      </c>
      <c r="BL242">
        <v>0.95881273970314129</v>
      </c>
      <c r="BM242">
        <v>0.49549921545957099</v>
      </c>
      <c r="BN242">
        <v>3.697920946667864</v>
      </c>
      <c r="BO242">
        <v>7.0053094539978691</v>
      </c>
      <c r="BP242">
        <v>8.420351033103767</v>
      </c>
      <c r="BQ242">
        <v>2.0628415300546812</v>
      </c>
    </row>
    <row r="243" spans="1:69" x14ac:dyDescent="0.25">
      <c r="A243" t="s">
        <v>1519</v>
      </c>
      <c r="B243" t="s">
        <v>1520</v>
      </c>
      <c r="C243" t="s">
        <v>1575</v>
      </c>
      <c r="D243" t="s">
        <v>1576</v>
      </c>
      <c r="J243">
        <v>3.4828212200169042</v>
      </c>
      <c r="K243">
        <v>3.7933817594837751</v>
      </c>
      <c r="L243">
        <v>3.290949887816724</v>
      </c>
      <c r="M243">
        <v>0.4364790690445246</v>
      </c>
      <c r="N243">
        <v>3.4098202824374209</v>
      </c>
      <c r="O243">
        <v>4.3555952647056362</v>
      </c>
      <c r="P243">
        <v>4.1553520683533014</v>
      </c>
      <c r="Q243">
        <v>3.7591705572226348</v>
      </c>
      <c r="R243">
        <v>7.9708955631859961</v>
      </c>
      <c r="S243">
        <v>14.24893553825674</v>
      </c>
      <c r="T243">
        <v>9.6696954815124485</v>
      </c>
      <c r="U243">
        <v>10.317415887741349</v>
      </c>
      <c r="V243">
        <v>11.989283322105029</v>
      </c>
      <c r="W243">
        <v>9.7160327495434036</v>
      </c>
      <c r="X243">
        <v>9.1178629652329555</v>
      </c>
      <c r="Y243">
        <v>11.938230910708731</v>
      </c>
      <c r="Z243">
        <v>11.879913592528281</v>
      </c>
      <c r="AA243">
        <v>10.2588088556284</v>
      </c>
      <c r="AB243">
        <v>6.2079353887031337</v>
      </c>
      <c r="AC243">
        <v>9.0647590973775287</v>
      </c>
      <c r="AD243">
        <v>7.4915003503377777</v>
      </c>
      <c r="AE243">
        <v>12.371609165129881</v>
      </c>
      <c r="AF243">
        <v>6.0612397295372986</v>
      </c>
      <c r="AG243">
        <v>7.1969696969695507</v>
      </c>
      <c r="AH243">
        <v>9.3043612584316566</v>
      </c>
      <c r="AI243">
        <v>9.0521315527977642</v>
      </c>
      <c r="AJ243">
        <v>11.896095301125071</v>
      </c>
      <c r="AK243">
        <v>11.00917431192646</v>
      </c>
      <c r="AL243">
        <v>12.089792286897721</v>
      </c>
      <c r="AM243">
        <v>12.3681943936948</v>
      </c>
      <c r="AN243">
        <v>12.343578517051331</v>
      </c>
      <c r="AO243">
        <v>7.1871036971999196</v>
      </c>
      <c r="AP243">
        <v>3.652026207230707</v>
      </c>
      <c r="AQ243">
        <v>3.872575464274898</v>
      </c>
      <c r="AR243">
        <v>2.6901248581158042</v>
      </c>
      <c r="AS243">
        <v>2.6838053534854609</v>
      </c>
      <c r="AT243">
        <v>2.634878602379755</v>
      </c>
      <c r="AU243">
        <v>2.7291356992539448</v>
      </c>
      <c r="AV243">
        <v>3.5915443294948992</v>
      </c>
      <c r="AW243">
        <v>4.1974708348851308</v>
      </c>
      <c r="AX243">
        <v>4.8693969687198821</v>
      </c>
      <c r="AY243">
        <v>6.784596550016551</v>
      </c>
      <c r="AZ243">
        <v>4.9659765455330103</v>
      </c>
      <c r="BA243">
        <v>13.971231001272921</v>
      </c>
      <c r="BB243">
        <v>3.2929002122414288</v>
      </c>
      <c r="BC243">
        <v>3.966779088898591</v>
      </c>
      <c r="BD243">
        <v>5.4350846593164501</v>
      </c>
      <c r="BE243">
        <v>6.5113436430889724</v>
      </c>
      <c r="BF243">
        <v>5.0704292279811298</v>
      </c>
      <c r="BG243">
        <v>3.7712389580074439</v>
      </c>
      <c r="BH243">
        <v>2.5293281725422858</v>
      </c>
      <c r="BI243">
        <v>3.7651191635658048</v>
      </c>
      <c r="BJ243">
        <v>4.9759515055383279</v>
      </c>
      <c r="BK243">
        <v>4.4623110847548118</v>
      </c>
      <c r="BL243">
        <v>3.0053894939038268</v>
      </c>
      <c r="BM243">
        <v>3.730031915304763</v>
      </c>
      <c r="BN243">
        <v>5.4601998067187143</v>
      </c>
      <c r="BO243">
        <v>8.7859883799958816</v>
      </c>
      <c r="BP243">
        <v>7.7066576421623161</v>
      </c>
      <c r="BQ243">
        <v>3.086136110992296</v>
      </c>
    </row>
    <row r="244" spans="1:69" x14ac:dyDescent="0.25">
      <c r="A244" t="s">
        <v>1521</v>
      </c>
      <c r="B244" t="s">
        <v>1522</v>
      </c>
      <c r="C244" t="s">
        <v>1575</v>
      </c>
      <c r="D244" t="s">
        <v>1576</v>
      </c>
      <c r="U244">
        <v>7.1095758354755239</v>
      </c>
      <c r="V244">
        <v>17.537938448461219</v>
      </c>
      <c r="W244">
        <v>9.5843791211128782</v>
      </c>
      <c r="X244">
        <v>5.460015527950409</v>
      </c>
      <c r="Y244">
        <v>22.39338891649647</v>
      </c>
      <c r="Z244">
        <v>14.8992481203003</v>
      </c>
      <c r="AA244">
        <v>10.837870380065519</v>
      </c>
      <c r="AB244">
        <v>9.8135531178777509</v>
      </c>
      <c r="AC244">
        <v>0.10645161290371689</v>
      </c>
      <c r="AD244">
        <v>16.765000000000001</v>
      </c>
      <c r="AE244">
        <v>21.6738748768894</v>
      </c>
      <c r="AF244">
        <v>4.6859877879249527</v>
      </c>
      <c r="AG244">
        <v>9.9240233981040191</v>
      </c>
      <c r="AH244">
        <v>4.0736436479293241</v>
      </c>
      <c r="AI244">
        <v>9.7098638456265522</v>
      </c>
      <c r="AJ244">
        <v>10.595449399479349</v>
      </c>
      <c r="AK244">
        <v>7.9369801219287384</v>
      </c>
      <c r="AL244">
        <v>0.96090446045917322</v>
      </c>
      <c r="AM244">
        <v>1.012952066948561</v>
      </c>
      <c r="AN244">
        <v>1.4600063035097459</v>
      </c>
      <c r="AO244">
        <v>2.9952802399114069</v>
      </c>
      <c r="AP244">
        <v>2.1247313240803498</v>
      </c>
      <c r="AQ244">
        <v>3.2744455426046919</v>
      </c>
      <c r="AR244">
        <v>4.4643546767589077</v>
      </c>
      <c r="AS244">
        <v>6.3276355141115488</v>
      </c>
      <c r="AT244">
        <v>8.2902831885033006</v>
      </c>
      <c r="AU244">
        <v>10.3590607918507</v>
      </c>
      <c r="AV244">
        <v>11.638621958073429</v>
      </c>
      <c r="AW244">
        <v>10.97340536795541</v>
      </c>
      <c r="AX244">
        <v>8.665692211317511</v>
      </c>
      <c r="AY244">
        <v>6.1491160645657086</v>
      </c>
      <c r="AZ244">
        <v>5.8422487490138018</v>
      </c>
      <c r="BA244">
        <v>10.44698751282229</v>
      </c>
      <c r="BB244">
        <v>1.4268597207053491</v>
      </c>
      <c r="BC244">
        <v>3.5349123918983261</v>
      </c>
      <c r="BD244">
        <v>6.2707530299569001</v>
      </c>
      <c r="BE244">
        <v>1.147538537060552</v>
      </c>
      <c r="BF244">
        <v>0.77562932236741955</v>
      </c>
      <c r="BG244">
        <v>2.5108763325370562</v>
      </c>
      <c r="BH244">
        <v>-1.0539983197128251</v>
      </c>
      <c r="BI244">
        <v>2.5781551524507211</v>
      </c>
      <c r="BJ244">
        <v>7.5170628355112452</v>
      </c>
      <c r="BK244">
        <v>5.032096919848823</v>
      </c>
      <c r="BL244">
        <v>1.179543348218004</v>
      </c>
      <c r="BM244">
        <v>-0.34973769672741839</v>
      </c>
      <c r="BN244">
        <v>5.6405114063674286</v>
      </c>
      <c r="BO244">
        <v>10.97136529030216</v>
      </c>
      <c r="BP244">
        <v>6.3511298025518901</v>
      </c>
      <c r="BQ244">
        <v>3.1836461126005129</v>
      </c>
    </row>
    <row r="245" spans="1:69" x14ac:dyDescent="0.25">
      <c r="A245" t="s">
        <v>1523</v>
      </c>
      <c r="B245" t="s">
        <v>1524</v>
      </c>
      <c r="C245" t="s">
        <v>1575</v>
      </c>
      <c r="D245" t="s">
        <v>1576</v>
      </c>
      <c r="J245">
        <v>8.4718693284647468</v>
      </c>
      <c r="K245">
        <v>10.80184834893417</v>
      </c>
      <c r="L245">
        <v>2.1892393320351702</v>
      </c>
      <c r="M245">
        <v>3.2374124262750219</v>
      </c>
      <c r="N245">
        <v>4.0575916228155986</v>
      </c>
      <c r="O245">
        <v>5.8669560776596752</v>
      </c>
      <c r="P245">
        <v>2.6653802085999092</v>
      </c>
      <c r="Q245">
        <v>6.4420974615824322</v>
      </c>
      <c r="R245">
        <v>11.429772525859979</v>
      </c>
      <c r="S245">
        <v>19.806338028084902</v>
      </c>
      <c r="T245">
        <v>6.625992553209791</v>
      </c>
      <c r="U245">
        <v>-3.113235733271952</v>
      </c>
      <c r="V245">
        <v>8.3074700917116573</v>
      </c>
      <c r="W245">
        <v>7.3460912508329734</v>
      </c>
      <c r="X245">
        <v>6.2756833676233494</v>
      </c>
      <c r="Y245">
        <v>14.68450277637684</v>
      </c>
      <c r="Z245">
        <v>12.12870181274317</v>
      </c>
      <c r="AA245">
        <v>10.336260667682881</v>
      </c>
      <c r="AB245">
        <v>13.170813042385641</v>
      </c>
      <c r="AC245">
        <v>7.6783068650855242</v>
      </c>
      <c r="AD245">
        <v>3.7192182689153062</v>
      </c>
      <c r="AE245">
        <v>9.7221932767856263</v>
      </c>
      <c r="AF245">
        <v>9.2525990709757622</v>
      </c>
      <c r="AG245">
        <v>9.1832376219716227</v>
      </c>
      <c r="AH245">
        <v>7.972848041844089</v>
      </c>
      <c r="AI245">
        <v>8.6054664386322806</v>
      </c>
      <c r="AJ245">
        <v>13.072709560628789</v>
      </c>
      <c r="AK245">
        <v>13.881517201676219</v>
      </c>
      <c r="AL245">
        <v>9.3517053891694779</v>
      </c>
      <c r="AM245">
        <v>7.6796201394666728</v>
      </c>
      <c r="AN245">
        <v>8.5811985511958717</v>
      </c>
      <c r="AO245">
        <v>8.8835830788080727</v>
      </c>
      <c r="AP245">
        <v>6.8348696486590486</v>
      </c>
      <c r="AQ245">
        <v>9.9749164980392973</v>
      </c>
      <c r="AR245">
        <v>5.3992007644519804</v>
      </c>
      <c r="AS245">
        <v>3.2441280587716319</v>
      </c>
      <c r="AT245">
        <v>3.051546598286119</v>
      </c>
      <c r="AU245">
        <v>3.755618665883512</v>
      </c>
      <c r="AV245">
        <v>4.7372833648516339</v>
      </c>
      <c r="AW245">
        <v>3.9365943587523651</v>
      </c>
      <c r="AX245">
        <v>6.0744818526531343</v>
      </c>
      <c r="AY245">
        <v>6.280892273081955</v>
      </c>
      <c r="AZ245">
        <v>6.5838274476169953</v>
      </c>
      <c r="BA245">
        <v>9.4048874738581674</v>
      </c>
      <c r="BB245">
        <v>4.9768244765373986</v>
      </c>
      <c r="BC245">
        <v>7.5815297762146798</v>
      </c>
      <c r="BD245">
        <v>9.0694344130466558</v>
      </c>
      <c r="BE245">
        <v>9.4694033588846285</v>
      </c>
      <c r="BF245">
        <v>8.1533949309069236</v>
      </c>
      <c r="BG245">
        <v>6.8286478054437412</v>
      </c>
      <c r="BH245">
        <v>4.7275586960473071</v>
      </c>
      <c r="BI245">
        <v>4.4535524032760518</v>
      </c>
      <c r="BJ245">
        <v>4.1416285222321356</v>
      </c>
      <c r="BK245">
        <v>3.3313951643767159</v>
      </c>
      <c r="BL245">
        <v>3.628949658854705</v>
      </c>
      <c r="BM245">
        <v>5.6602199868935958</v>
      </c>
      <c r="BN245">
        <v>5.3385308897492099</v>
      </c>
      <c r="BO245">
        <v>7.1846199673006614</v>
      </c>
      <c r="BP245">
        <v>6.382507902193753</v>
      </c>
      <c r="BQ245">
        <v>3.7232061194493382</v>
      </c>
    </row>
    <row r="246" spans="1:69" x14ac:dyDescent="0.25">
      <c r="A246" t="s">
        <v>1525</v>
      </c>
      <c r="B246" t="s">
        <v>1526</v>
      </c>
      <c r="C246" t="s">
        <v>1575</v>
      </c>
      <c r="D246" t="s">
        <v>1576</v>
      </c>
      <c r="T246">
        <v>18.311785753990339</v>
      </c>
      <c r="U246">
        <v>11.54488065198356</v>
      </c>
      <c r="V246">
        <v>14.890066502322311</v>
      </c>
      <c r="W246">
        <v>11.459430057424409</v>
      </c>
      <c r="X246">
        <v>13.67462735917873</v>
      </c>
      <c r="Y246">
        <v>13.601982828949129</v>
      </c>
      <c r="Z246">
        <v>12.290327860595911</v>
      </c>
      <c r="AA246">
        <v>12.09984145180352</v>
      </c>
      <c r="AB246">
        <v>11.4826535601296</v>
      </c>
      <c r="AC246">
        <v>11.116931285788541</v>
      </c>
      <c r="AD246">
        <v>9.406907506872745</v>
      </c>
      <c r="AE246">
        <v>6.8593442279488528</v>
      </c>
      <c r="AF246">
        <v>7.6327900887810411</v>
      </c>
      <c r="AG246">
        <v>8.3516795682121927</v>
      </c>
      <c r="AH246">
        <v>8.0461586348731995</v>
      </c>
      <c r="AI246">
        <v>7.54486109699452</v>
      </c>
      <c r="AJ246">
        <v>8.9343065693428763</v>
      </c>
      <c r="AK246">
        <v>9.4865425061716326</v>
      </c>
      <c r="AL246">
        <v>9.5248453701969424</v>
      </c>
      <c r="AM246">
        <v>27.447980712694651</v>
      </c>
      <c r="AN246">
        <v>11.425939964661961</v>
      </c>
      <c r="AO246">
        <v>7.1916466043334424</v>
      </c>
      <c r="AP246">
        <v>7.6471743331001001</v>
      </c>
      <c r="AQ246">
        <v>6.4357328756078118</v>
      </c>
      <c r="AR246">
        <v>4.3564337451045256</v>
      </c>
      <c r="AS246">
        <v>4.5007885626210218</v>
      </c>
      <c r="AT246">
        <v>5.1474680022261818</v>
      </c>
      <c r="AU246">
        <v>4.7057912374603301</v>
      </c>
      <c r="AV246">
        <v>5.6794241406879937</v>
      </c>
      <c r="AW246">
        <v>4.1366321314474837</v>
      </c>
      <c r="AX246">
        <v>6.4275527807008661</v>
      </c>
      <c r="AY246">
        <v>6.537843952996039</v>
      </c>
      <c r="AZ246">
        <v>6.7866978903824444</v>
      </c>
      <c r="BA246">
        <v>10.378524478798001</v>
      </c>
      <c r="BB246">
        <v>5.0062736153404677</v>
      </c>
      <c r="BC246">
        <v>4.022024222142158</v>
      </c>
      <c r="BD246">
        <v>5.3662109294807712</v>
      </c>
      <c r="BE246">
        <v>6.5818310507514131</v>
      </c>
      <c r="BF246">
        <v>4.8851638759547082</v>
      </c>
      <c r="BG246">
        <v>4.4038027171436021</v>
      </c>
      <c r="BH246">
        <v>3.472387528836522</v>
      </c>
      <c r="BI246">
        <v>5.3026429771032451</v>
      </c>
      <c r="BJ246">
        <v>5.186186555241493</v>
      </c>
      <c r="BK246">
        <v>3.9113343999072891</v>
      </c>
      <c r="BL246">
        <v>2.8675880344689988</v>
      </c>
      <c r="BM246">
        <v>3.398629285188528</v>
      </c>
      <c r="BN246">
        <v>4.4390548121500224</v>
      </c>
      <c r="BO246">
        <v>9.4580128130402308</v>
      </c>
      <c r="BP246">
        <v>6.6975999078984456</v>
      </c>
      <c r="BQ246">
        <v>4.2390392287703618</v>
      </c>
    </row>
    <row r="247" spans="1:69" x14ac:dyDescent="0.25">
      <c r="A247" t="s">
        <v>1527</v>
      </c>
      <c r="B247" t="s">
        <v>1528</v>
      </c>
      <c r="C247" t="s">
        <v>1575</v>
      </c>
      <c r="D247" t="s">
        <v>1576</v>
      </c>
      <c r="E247">
        <v>2.080000000078154</v>
      </c>
      <c r="F247">
        <v>1.5227576978899151</v>
      </c>
      <c r="G247">
        <v>2.983352563392863</v>
      </c>
      <c r="H247">
        <v>3.761203584916446</v>
      </c>
      <c r="I247">
        <v>0.86379762440665042</v>
      </c>
      <c r="J247">
        <v>1.7816179844884921</v>
      </c>
      <c r="K247">
        <v>4.0943580499049039</v>
      </c>
      <c r="L247">
        <v>2.136258660154926</v>
      </c>
      <c r="M247">
        <v>8.2320520069128271</v>
      </c>
      <c r="N247">
        <v>2.43520271601535</v>
      </c>
      <c r="O247">
        <v>2.5239005736269169</v>
      </c>
      <c r="P247">
        <v>3.5310207632899782</v>
      </c>
      <c r="Q247">
        <v>9.3010688125333498</v>
      </c>
      <c r="R247">
        <v>14.81074548157101</v>
      </c>
      <c r="S247">
        <v>22.024977271761689</v>
      </c>
      <c r="T247">
        <v>16.979060465689461</v>
      </c>
      <c r="U247">
        <v>10.69246435777287</v>
      </c>
      <c r="V247">
        <v>11.74486353909416</v>
      </c>
      <c r="W247">
        <v>10.256586168874041</v>
      </c>
      <c r="X247">
        <v>14.72217036899923</v>
      </c>
      <c r="Y247">
        <v>17.470304279577171</v>
      </c>
      <c r="Z247">
        <v>14.331886600939511</v>
      </c>
      <c r="AA247">
        <v>11.634762943167321</v>
      </c>
      <c r="AB247">
        <v>15.17499999933316</v>
      </c>
      <c r="AC247">
        <v>13.334780406632399</v>
      </c>
      <c r="AD247">
        <v>7.6225740552019552</v>
      </c>
      <c r="AE247">
        <v>7.6936765932313467</v>
      </c>
      <c r="AF247">
        <v>10.75185899207421</v>
      </c>
      <c r="AG247">
        <v>7.7584920674391684</v>
      </c>
      <c r="AH247">
        <v>11.43213181335666</v>
      </c>
      <c r="AI247">
        <v>11.06442577030832</v>
      </c>
      <c r="AJ247">
        <v>3.7831021437579451</v>
      </c>
      <c r="AK247">
        <v>6.4398541919806087</v>
      </c>
      <c r="AL247">
        <v>10.83523592085203</v>
      </c>
      <c r="AM247">
        <v>8.8146940176810578</v>
      </c>
      <c r="AN247">
        <v>5.1822053951727352</v>
      </c>
      <c r="AO247">
        <v>3.4045744281962418</v>
      </c>
      <c r="AP247">
        <v>3.626078758430813</v>
      </c>
      <c r="AQ247">
        <v>5.6127090769120107</v>
      </c>
      <c r="AR247">
        <v>3.4391359088199609</v>
      </c>
      <c r="AS247">
        <v>3.5554131966687699</v>
      </c>
      <c r="AT247">
        <v>5.5366532632230019</v>
      </c>
      <c r="AU247">
        <v>4.150058616647196</v>
      </c>
      <c r="AV247">
        <v>3.8111062439686991</v>
      </c>
      <c r="AW247">
        <v>3.7215493899596539</v>
      </c>
      <c r="AX247">
        <v>6.874534595835164</v>
      </c>
      <c r="AY247">
        <v>8.329603514653467</v>
      </c>
      <c r="AZ247">
        <v>7.8943883475729946</v>
      </c>
      <c r="BA247">
        <v>12.030344547717689</v>
      </c>
      <c r="BB247">
        <v>6.9780872525154694</v>
      </c>
      <c r="BC247">
        <v>10.549200317998761</v>
      </c>
      <c r="BD247">
        <v>5.1071328926456001</v>
      </c>
      <c r="BE247">
        <v>9.2602813706829199</v>
      </c>
      <c r="BF247">
        <v>5.1998174046561108</v>
      </c>
      <c r="BG247">
        <v>5.6844181459565926</v>
      </c>
      <c r="BH247">
        <v>4.6612159809826412</v>
      </c>
      <c r="BI247">
        <v>3.0706674246402428</v>
      </c>
      <c r="BJ247">
        <v>1.880384401835318</v>
      </c>
      <c r="BK247">
        <v>1.0185693018882189</v>
      </c>
      <c r="BL247">
        <v>1.000542930272373</v>
      </c>
      <c r="BM247">
        <v>0.59898633082464325</v>
      </c>
      <c r="BN247">
        <v>2.0592274691545769</v>
      </c>
      <c r="BO247">
        <v>5.8283863851795878</v>
      </c>
      <c r="BP247">
        <v>4.6293024241996807</v>
      </c>
      <c r="BQ247">
        <v>0.52688462577683925</v>
      </c>
    </row>
    <row r="248" spans="1:69" x14ac:dyDescent="0.25">
      <c r="A248" t="s">
        <v>1529</v>
      </c>
      <c r="B248" t="s">
        <v>1530</v>
      </c>
      <c r="C248" t="s">
        <v>1575</v>
      </c>
      <c r="D248" t="s">
        <v>1576</v>
      </c>
      <c r="AC248">
        <v>8.9000000000000981</v>
      </c>
      <c r="AD248">
        <v>7.2543617998163539</v>
      </c>
      <c r="AE248">
        <v>6.1643835616437057</v>
      </c>
      <c r="AF248">
        <v>8.2258064516129004</v>
      </c>
      <c r="AG248">
        <v>7.1969696969695507</v>
      </c>
      <c r="AH248">
        <v>7.7408860396133603</v>
      </c>
      <c r="AI248">
        <v>6.5452930728241432</v>
      </c>
      <c r="AJ248">
        <v>8.1937150954408526</v>
      </c>
      <c r="AK248">
        <v>5.8243451463790636</v>
      </c>
      <c r="AL248">
        <v>3.9749563191613011</v>
      </c>
      <c r="AM248">
        <v>4.7332306399659547</v>
      </c>
      <c r="AN248">
        <v>6.2441502874714638</v>
      </c>
      <c r="AO248">
        <v>3.7251447269071538</v>
      </c>
      <c r="AP248">
        <v>3.652026207230707</v>
      </c>
      <c r="AQ248">
        <v>3.1253657965586239</v>
      </c>
      <c r="AR248">
        <v>2.6901248581158042</v>
      </c>
      <c r="AS248">
        <v>2.962307947386055</v>
      </c>
      <c r="AT248">
        <v>1.9833333333333689</v>
      </c>
      <c r="AU248">
        <v>2.7210328485045481</v>
      </c>
      <c r="AV248">
        <v>2.7125924747435168</v>
      </c>
      <c r="AW248">
        <v>3.6322800495662508</v>
      </c>
      <c r="AX248">
        <v>2.0177864135714429</v>
      </c>
      <c r="AY248">
        <v>3.2252533743891658</v>
      </c>
      <c r="AZ248">
        <v>2.9669443247734888</v>
      </c>
      <c r="BA248">
        <v>4.3450280762304523</v>
      </c>
      <c r="BB248">
        <v>3.664903306429192</v>
      </c>
      <c r="BC248">
        <v>3.3389796360106878</v>
      </c>
      <c r="BD248">
        <v>3.2400284200953098</v>
      </c>
      <c r="BE248">
        <v>4.6118443220663972</v>
      </c>
      <c r="BF248">
        <v>5.3162353132668887</v>
      </c>
      <c r="BG248">
        <v>4.6255509953403093</v>
      </c>
      <c r="BH248">
        <v>4.4373712732149997</v>
      </c>
      <c r="BI248">
        <v>3.6293993738438082</v>
      </c>
      <c r="BJ248">
        <v>5.308848395658444</v>
      </c>
      <c r="BK248">
        <v>7.3075917603165186</v>
      </c>
      <c r="BL248">
        <v>6.7200753286379902</v>
      </c>
      <c r="BM248">
        <v>5.6341511589762474</v>
      </c>
      <c r="BN248">
        <v>5.7063502083070023</v>
      </c>
      <c r="BO248">
        <v>8.3064612444762336</v>
      </c>
      <c r="BP248">
        <v>9.3289959750786533</v>
      </c>
      <c r="BQ248">
        <v>7.2066165716879382</v>
      </c>
    </row>
    <row r="249" spans="1:69" x14ac:dyDescent="0.25">
      <c r="A249" t="s">
        <v>1531</v>
      </c>
      <c r="B249" t="s">
        <v>1532</v>
      </c>
      <c r="C249" t="s">
        <v>1575</v>
      </c>
      <c r="D249" t="s">
        <v>1576</v>
      </c>
      <c r="E249">
        <v>5.6647398843930636</v>
      </c>
      <c r="F249">
        <v>3.1728569970826279</v>
      </c>
      <c r="G249">
        <v>3.8883202514650721</v>
      </c>
      <c r="H249">
        <v>6.3627069283230799</v>
      </c>
      <c r="I249">
        <v>1.119637815431231</v>
      </c>
      <c r="J249">
        <v>4.5555336839482088</v>
      </c>
      <c r="K249">
        <v>8.4719962153921902</v>
      </c>
      <c r="L249">
        <v>13.974892948167479</v>
      </c>
      <c r="M249">
        <v>6.0462396619740177</v>
      </c>
      <c r="N249">
        <v>4.9241939449830339</v>
      </c>
      <c r="O249">
        <v>7.9239520830199659</v>
      </c>
      <c r="P249">
        <v>19.011408683767581</v>
      </c>
      <c r="Q249">
        <v>15.416455722396201</v>
      </c>
      <c r="R249">
        <v>13.938165244895689</v>
      </c>
      <c r="S249">
        <v>23.898161576670379</v>
      </c>
      <c r="T249">
        <v>21.227355238583598</v>
      </c>
      <c r="U249">
        <v>17.455689389133791</v>
      </c>
      <c r="V249">
        <v>25.985337865060139</v>
      </c>
      <c r="W249">
        <v>61.897044438343471</v>
      </c>
      <c r="X249">
        <v>63.54310825063434</v>
      </c>
      <c r="Y249">
        <v>94.260859880759085</v>
      </c>
      <c r="Z249">
        <v>37.614782579771592</v>
      </c>
      <c r="AA249">
        <v>29.137514502267749</v>
      </c>
      <c r="AB249">
        <v>31.390271019844452</v>
      </c>
      <c r="AC249">
        <v>48.392323134686293</v>
      </c>
      <c r="AD249">
        <v>44.961730152877927</v>
      </c>
      <c r="AE249">
        <v>34.61007597387448</v>
      </c>
      <c r="AF249">
        <v>38.855843475840828</v>
      </c>
      <c r="AG249">
        <v>68.809643383704937</v>
      </c>
      <c r="AH249">
        <v>63.27255249309578</v>
      </c>
      <c r="AI249">
        <v>60.303869134644621</v>
      </c>
      <c r="AJ249">
        <v>65.97856799189509</v>
      </c>
      <c r="AK249">
        <v>70.076103869037183</v>
      </c>
      <c r="AL249">
        <v>66.093842982000567</v>
      </c>
      <c r="AM249">
        <v>105.2149864692022</v>
      </c>
      <c r="AN249">
        <v>89.113317224849965</v>
      </c>
      <c r="AO249">
        <v>80.412151138804177</v>
      </c>
      <c r="AP249">
        <v>85.669361649977986</v>
      </c>
      <c r="AQ249">
        <v>84.641343484631506</v>
      </c>
      <c r="AR249">
        <v>64.86748763507569</v>
      </c>
      <c r="AS249">
        <v>54.915370581268348</v>
      </c>
      <c r="AT249">
        <v>54.400188761907529</v>
      </c>
      <c r="AU249">
        <v>44.964120947984888</v>
      </c>
      <c r="AV249">
        <v>21.602438449057249</v>
      </c>
      <c r="AW249">
        <v>8.5982616811527244</v>
      </c>
      <c r="AX249">
        <v>8.1791603680200229</v>
      </c>
      <c r="AY249">
        <v>9.5972421228843245</v>
      </c>
      <c r="AZ249">
        <v>8.7561809097263872</v>
      </c>
      <c r="BA249">
        <v>10.444128376488511</v>
      </c>
      <c r="BB249">
        <v>6.2509766309062647</v>
      </c>
      <c r="BC249">
        <v>8.5664442055297592</v>
      </c>
      <c r="BD249">
        <v>6.471879671151</v>
      </c>
      <c r="BE249">
        <v>8.8915699651216258</v>
      </c>
      <c r="BF249">
        <v>7.4930903054769313</v>
      </c>
      <c r="BG249">
        <v>8.8545727136432397</v>
      </c>
      <c r="BH249">
        <v>7.6708536484587677</v>
      </c>
      <c r="BI249">
        <v>7.7751341532833012</v>
      </c>
      <c r="BJ249">
        <v>11.14431108407649</v>
      </c>
      <c r="BK249">
        <v>16.332463898892829</v>
      </c>
      <c r="BL249">
        <v>15.176821572002231</v>
      </c>
      <c r="BM249">
        <v>12.27895744625741</v>
      </c>
      <c r="BN249">
        <v>19.596492691332362</v>
      </c>
      <c r="BO249">
        <v>72.308835989120709</v>
      </c>
      <c r="BP249">
        <v>53.859408759331529</v>
      </c>
      <c r="BQ249">
        <v>58.506450730034253</v>
      </c>
    </row>
    <row r="250" spans="1:69" x14ac:dyDescent="0.25">
      <c r="A250" t="s">
        <v>1533</v>
      </c>
      <c r="B250" t="s">
        <v>1534</v>
      </c>
      <c r="C250" t="s">
        <v>1575</v>
      </c>
      <c r="D250" t="s">
        <v>1576</v>
      </c>
      <c r="BD250">
        <v>0.50058074315269996</v>
      </c>
    </row>
    <row r="251" spans="1:69" x14ac:dyDescent="0.25">
      <c r="A251" t="s">
        <v>1535</v>
      </c>
      <c r="B251" t="s">
        <v>1536</v>
      </c>
      <c r="C251" t="s">
        <v>1575</v>
      </c>
      <c r="D251" t="s">
        <v>1576</v>
      </c>
      <c r="K251">
        <v>9.7770154392759618</v>
      </c>
      <c r="L251">
        <v>12.187499998436831</v>
      </c>
      <c r="M251">
        <v>15.59888579548266</v>
      </c>
      <c r="N251">
        <v>16.41566264999976</v>
      </c>
      <c r="O251">
        <v>3.4928848641835701</v>
      </c>
      <c r="P251">
        <v>4.775000000023752</v>
      </c>
      <c r="Q251">
        <v>7.6354092100103781</v>
      </c>
      <c r="R251">
        <v>10.396807803216729</v>
      </c>
      <c r="S251">
        <v>19.598393574214821</v>
      </c>
      <c r="T251">
        <v>26.057756884157332</v>
      </c>
      <c r="U251">
        <v>6.8593500265325051</v>
      </c>
      <c r="V251">
        <v>11.604138103011859</v>
      </c>
      <c r="W251">
        <v>6.5750000000000854</v>
      </c>
      <c r="X251">
        <v>12.948627726952861</v>
      </c>
      <c r="Y251">
        <v>30.19730010384205</v>
      </c>
      <c r="Z251">
        <v>25.650023927261209</v>
      </c>
      <c r="AA251">
        <v>28.932334645169341</v>
      </c>
      <c r="AB251">
        <v>27.055927530523789</v>
      </c>
      <c r="AC251">
        <v>36.145941505602842</v>
      </c>
      <c r="AD251">
        <v>33.282103825136772</v>
      </c>
      <c r="AE251">
        <v>32.432201580183659</v>
      </c>
      <c r="AF251">
        <v>29.949369537876141</v>
      </c>
      <c r="AG251">
        <v>31.1867182846932</v>
      </c>
      <c r="AH251">
        <v>25.849838261165718</v>
      </c>
      <c r="AI251">
        <v>35.826771653543332</v>
      </c>
      <c r="AJ251">
        <v>28.69565217391299</v>
      </c>
      <c r="AK251">
        <v>21.84684684684731</v>
      </c>
      <c r="AL251">
        <v>25.277264325322989</v>
      </c>
      <c r="AM251">
        <v>34.083364072298401</v>
      </c>
      <c r="AN251">
        <v>27.427785419532292</v>
      </c>
      <c r="AO251">
        <v>20.977259643062879</v>
      </c>
      <c r="AP251">
        <v>16.090654928320149</v>
      </c>
      <c r="AQ251">
        <v>12.799754047960869</v>
      </c>
      <c r="AR251">
        <v>7.8904333605887658</v>
      </c>
      <c r="AS251">
        <v>5.9239610963747937</v>
      </c>
      <c r="AT251">
        <v>5.1474680022261818</v>
      </c>
      <c r="AU251">
        <v>5.3178336611820276</v>
      </c>
      <c r="AV251">
        <v>5.303566215097816</v>
      </c>
      <c r="AW251">
        <v>4.7358014394905812</v>
      </c>
      <c r="AX251">
        <v>5.0345700926716308</v>
      </c>
      <c r="AY251">
        <v>7.2509726208254603</v>
      </c>
      <c r="AZ251">
        <v>7.0255143697477136</v>
      </c>
      <c r="BA251">
        <v>10.278393762113479</v>
      </c>
      <c r="BB251">
        <v>12.14222787429879</v>
      </c>
      <c r="BC251">
        <v>6.2001559564740258</v>
      </c>
      <c r="BD251">
        <v>12.690969469916199</v>
      </c>
      <c r="BE251">
        <v>16.001093850633819</v>
      </c>
      <c r="BF251">
        <v>7.8707236457395879</v>
      </c>
      <c r="BG251">
        <v>6.1316143298801169</v>
      </c>
      <c r="BH251">
        <v>5.5881695295929807</v>
      </c>
      <c r="BI251">
        <v>5.1747662930149323</v>
      </c>
      <c r="BJ251">
        <v>5.3187160522893082</v>
      </c>
      <c r="BK251">
        <v>3.4944584885618131</v>
      </c>
      <c r="BL251">
        <v>3.4642805799902048</v>
      </c>
      <c r="BM251">
        <v>3.2902906279832549</v>
      </c>
      <c r="BN251">
        <v>3.6909195880219881</v>
      </c>
      <c r="BO251">
        <v>4.350272042691012</v>
      </c>
      <c r="BP251">
        <v>3.799232913849163</v>
      </c>
      <c r="BQ251">
        <v>3.056946763123725</v>
      </c>
    </row>
    <row r="252" spans="1:69" x14ac:dyDescent="0.25">
      <c r="A252" t="s">
        <v>1537</v>
      </c>
      <c r="B252" t="s">
        <v>1538</v>
      </c>
      <c r="C252" t="s">
        <v>1575</v>
      </c>
      <c r="D252" t="s">
        <v>1576</v>
      </c>
      <c r="AM252">
        <v>10.036759879217531</v>
      </c>
      <c r="AN252">
        <v>6.5501401897037068</v>
      </c>
      <c r="AO252">
        <v>7.1916466043334424</v>
      </c>
      <c r="AP252">
        <v>8.1690214410696314</v>
      </c>
      <c r="AQ252">
        <v>6.8804171998317232E-2</v>
      </c>
      <c r="AR252">
        <v>5.7773689868789457</v>
      </c>
      <c r="AS252">
        <v>3.3920215851299802</v>
      </c>
      <c r="AT252">
        <v>1.865125240847725</v>
      </c>
      <c r="AU252">
        <v>-0.28750851176519637</v>
      </c>
      <c r="AV252">
        <v>8.6804765156688362</v>
      </c>
      <c r="AW252">
        <v>3.7212874397822842</v>
      </c>
      <c r="AX252">
        <v>8.4487264229953212</v>
      </c>
      <c r="AY252">
        <v>7.3106761356186372</v>
      </c>
      <c r="AZ252">
        <v>6.138510832850498</v>
      </c>
      <c r="BA252">
        <v>12.050855548288551</v>
      </c>
      <c r="BB252">
        <v>13.017256188918539</v>
      </c>
      <c r="BC252">
        <v>3.976552884781682</v>
      </c>
      <c r="BD252">
        <v>16.564349617451519</v>
      </c>
      <c r="BE252">
        <v>12.679037722465891</v>
      </c>
      <c r="BF252">
        <v>4.9052087569455676</v>
      </c>
      <c r="BG252">
        <v>3.075706689586414</v>
      </c>
      <c r="BH252">
        <v>5.589686062517254</v>
      </c>
      <c r="BI252">
        <v>5.7063750461621199</v>
      </c>
      <c r="BJ252">
        <v>5.2097170591420916</v>
      </c>
      <c r="BK252">
        <v>2.6160119095227441</v>
      </c>
      <c r="BL252">
        <v>2.8675880344689988</v>
      </c>
      <c r="BM252">
        <v>3.313322895445018</v>
      </c>
      <c r="BN252">
        <v>2.204572047574139</v>
      </c>
      <c r="BO252">
        <v>7.1957888597581032</v>
      </c>
      <c r="BP252">
        <v>5.3509480428039531</v>
      </c>
      <c r="BQ252">
        <v>3.3233806708655962</v>
      </c>
    </row>
    <row r="253" spans="1:69" x14ac:dyDescent="0.25">
      <c r="A253" t="s">
        <v>1539</v>
      </c>
      <c r="B253" t="s">
        <v>1540</v>
      </c>
      <c r="C253" t="s">
        <v>1575</v>
      </c>
      <c r="D253" t="s">
        <v>1576</v>
      </c>
      <c r="AL253">
        <v>4734.9143474458488</v>
      </c>
      <c r="AM253">
        <v>891.18774813370487</v>
      </c>
      <c r="AN253">
        <v>376.7461747682093</v>
      </c>
      <c r="AO253">
        <v>80.325501455174233</v>
      </c>
      <c r="AP253">
        <v>15.94059941494297</v>
      </c>
      <c r="AQ253">
        <v>10.577161148251429</v>
      </c>
      <c r="AR253">
        <v>22.683671806134502</v>
      </c>
      <c r="AS253">
        <v>28.203097238855239</v>
      </c>
      <c r="AT253">
        <v>11.95880853904594</v>
      </c>
      <c r="AU253">
        <v>0.75742084639286034</v>
      </c>
      <c r="AV253">
        <v>5.1796778190831496</v>
      </c>
      <c r="AW253">
        <v>9.0480678605088833</v>
      </c>
      <c r="AX253">
        <v>13.56957649092478</v>
      </c>
      <c r="AY253">
        <v>9.0525249113324815</v>
      </c>
      <c r="AZ253">
        <v>12.838779619018119</v>
      </c>
      <c r="BA253">
        <v>25.226461707384029</v>
      </c>
      <c r="BB253">
        <v>15.881192459447609</v>
      </c>
      <c r="BC253">
        <v>9.3729310507897807</v>
      </c>
      <c r="BD253">
        <v>7.9557246627465217</v>
      </c>
      <c r="BE253">
        <v>0.56872797180386225</v>
      </c>
      <c r="BF253">
        <v>-0.23894862604540659</v>
      </c>
      <c r="BG253">
        <v>12.071856287425099</v>
      </c>
      <c r="BH253">
        <v>48.699864643442361</v>
      </c>
      <c r="BI253">
        <v>13.91271019977966</v>
      </c>
      <c r="BJ253">
        <v>14.43832274887494</v>
      </c>
      <c r="BK253">
        <v>10.951855935317839</v>
      </c>
      <c r="BL253">
        <v>7.8867174561113318</v>
      </c>
      <c r="BM253">
        <v>2.7324920941942721</v>
      </c>
      <c r="BN253">
        <v>9.3631391769522327</v>
      </c>
      <c r="BO253">
        <v>20.183636661747801</v>
      </c>
      <c r="BP253">
        <v>12.849022282855881</v>
      </c>
      <c r="BQ253">
        <v>6.5019846466925397</v>
      </c>
    </row>
    <row r="254" spans="1:69" x14ac:dyDescent="0.25">
      <c r="A254" t="s">
        <v>1541</v>
      </c>
      <c r="B254" t="s">
        <v>1542</v>
      </c>
      <c r="C254" t="s">
        <v>1575</v>
      </c>
      <c r="D254" t="s">
        <v>1576</v>
      </c>
      <c r="T254">
        <v>13.42592485303755</v>
      </c>
      <c r="U254">
        <v>10.813748132759329</v>
      </c>
      <c r="V254">
        <v>11.820277539148901</v>
      </c>
      <c r="W254">
        <v>10.66024759291814</v>
      </c>
      <c r="X254">
        <v>11.7362306367885</v>
      </c>
      <c r="Y254">
        <v>18.035422125312991</v>
      </c>
      <c r="Z254">
        <v>14.25477987304871</v>
      </c>
      <c r="AA254">
        <v>9.8521171024199177</v>
      </c>
      <c r="AB254">
        <v>10.54117371521667</v>
      </c>
      <c r="AC254">
        <v>10.45503922314116</v>
      </c>
      <c r="AD254">
        <v>9.1384405546715595</v>
      </c>
      <c r="AE254">
        <v>10.00171556060223</v>
      </c>
      <c r="AF254">
        <v>7.3375482217642807</v>
      </c>
      <c r="AG254">
        <v>8.4297737895375988</v>
      </c>
      <c r="AH254">
        <v>8.2351100765697147</v>
      </c>
      <c r="AI254">
        <v>11.02492595310235</v>
      </c>
      <c r="AJ254">
        <v>11.896095301125071</v>
      </c>
      <c r="AK254">
        <v>9.7028347939700872</v>
      </c>
      <c r="AL254">
        <v>14.330803336588779</v>
      </c>
      <c r="AM254">
        <v>21.56562376550254</v>
      </c>
      <c r="AN254">
        <v>11.83233121330256</v>
      </c>
      <c r="AO254">
        <v>9.0510403453693744</v>
      </c>
      <c r="AP254">
        <v>7.1163646191632761</v>
      </c>
      <c r="AQ254">
        <v>6.7360959473147286</v>
      </c>
      <c r="AR254">
        <v>4.661401087892787</v>
      </c>
      <c r="AS254">
        <v>4.5007885626210218</v>
      </c>
      <c r="AT254">
        <v>5.5456195463955824</v>
      </c>
      <c r="AU254">
        <v>5.2623058001051746</v>
      </c>
      <c r="AV254">
        <v>4.5469001211871838</v>
      </c>
      <c r="AW254">
        <v>4.7103706010588349</v>
      </c>
      <c r="AX254">
        <v>4.5403691963453481</v>
      </c>
      <c r="AY254">
        <v>4.2934236362892664</v>
      </c>
      <c r="AZ254">
        <v>5.5443848581515551</v>
      </c>
      <c r="BA254">
        <v>9.7322831714688665</v>
      </c>
      <c r="BB254">
        <v>2.5919467343056679</v>
      </c>
      <c r="BC254">
        <v>3.6890122967075829</v>
      </c>
      <c r="BD254">
        <v>5.6753335073201328</v>
      </c>
      <c r="BE254">
        <v>3.6759189797449561</v>
      </c>
      <c r="BF254">
        <v>2.683857387185824</v>
      </c>
      <c r="BG254">
        <v>2.998642261252189</v>
      </c>
      <c r="BH254">
        <v>2.1043898023835852</v>
      </c>
      <c r="BI254">
        <v>2.0905665952574242</v>
      </c>
      <c r="BJ254">
        <v>3.3082807676821901</v>
      </c>
      <c r="BK254">
        <v>3.0450539733707069</v>
      </c>
      <c r="BL254">
        <v>1.8492298451108631</v>
      </c>
      <c r="BM254">
        <v>1.8289375459045409</v>
      </c>
      <c r="BN254">
        <v>4.0568158674623884</v>
      </c>
      <c r="BO254">
        <v>9.0383038041556993</v>
      </c>
      <c r="BP254">
        <v>5.0771951625097076</v>
      </c>
      <c r="BQ254">
        <v>3.0525241928457731</v>
      </c>
    </row>
    <row r="255" spans="1:69" x14ac:dyDescent="0.25">
      <c r="A255" t="s">
        <v>1543</v>
      </c>
      <c r="B255" t="s">
        <v>1544</v>
      </c>
      <c r="C255" t="s">
        <v>1575</v>
      </c>
      <c r="D255" t="s">
        <v>1576</v>
      </c>
      <c r="E255">
        <v>38.5040374002647</v>
      </c>
      <c r="F255">
        <v>22.74726398679595</v>
      </c>
      <c r="G255">
        <v>10.90742438118985</v>
      </c>
      <c r="H255">
        <v>21.254695717558501</v>
      </c>
      <c r="I255">
        <v>42.369415701518648</v>
      </c>
      <c r="J255">
        <v>56.556556556660667</v>
      </c>
      <c r="K255">
        <v>73.462693206108497</v>
      </c>
      <c r="L255">
        <v>89.275297285037936</v>
      </c>
      <c r="M255">
        <v>125.33699112649199</v>
      </c>
      <c r="N255">
        <v>20.966666665999799</v>
      </c>
      <c r="O255">
        <v>16.306144943599751</v>
      </c>
      <c r="P255">
        <v>23.953088906173122</v>
      </c>
      <c r="Q255">
        <v>76.484923782881197</v>
      </c>
      <c r="R255">
        <v>96.997265318705814</v>
      </c>
      <c r="S255">
        <v>77.213413779201005</v>
      </c>
      <c r="T255">
        <v>81.405384006741869</v>
      </c>
      <c r="U255">
        <v>50.623049560461951</v>
      </c>
      <c r="V255">
        <v>58.196175021573659</v>
      </c>
      <c r="W255">
        <v>44.548343667239159</v>
      </c>
      <c r="X255">
        <v>66.844286185043714</v>
      </c>
      <c r="Y255">
        <v>63.475830431467323</v>
      </c>
      <c r="Z255">
        <v>34.04533586094739</v>
      </c>
      <c r="AA255">
        <v>18.992501295218219</v>
      </c>
      <c r="AB255">
        <v>49.197379650563747</v>
      </c>
      <c r="AC255">
        <v>55.304423541876332</v>
      </c>
      <c r="AD255">
        <v>72.222564428775613</v>
      </c>
      <c r="AE255">
        <v>76.380636411954427</v>
      </c>
      <c r="AF255">
        <v>63.566662432672402</v>
      </c>
      <c r="AG255">
        <v>62.191956459600391</v>
      </c>
      <c r="AH255">
        <v>80.447436728073484</v>
      </c>
      <c r="AI255">
        <v>112.5259055730227</v>
      </c>
      <c r="AJ255">
        <v>101.97168320250741</v>
      </c>
      <c r="AK255">
        <v>68.459193839537434</v>
      </c>
      <c r="AL255">
        <v>54.100792442519449</v>
      </c>
      <c r="AM255">
        <v>44.736042152193313</v>
      </c>
      <c r="AN255">
        <v>42.248319798375512</v>
      </c>
      <c r="AO255">
        <v>28.342048600430871</v>
      </c>
      <c r="AP255">
        <v>19.818809318377859</v>
      </c>
      <c r="AQ255">
        <v>10.811070305561611</v>
      </c>
      <c r="AR255">
        <v>5.6586880392790828</v>
      </c>
      <c r="AS255">
        <v>4.7638247273325121</v>
      </c>
      <c r="AT255">
        <v>4.3593406521727012</v>
      </c>
      <c r="AU255">
        <v>13.972472591351529</v>
      </c>
      <c r="AV255">
        <v>19.37973017439948</v>
      </c>
      <c r="AW255">
        <v>9.1576050754099736</v>
      </c>
      <c r="AX255">
        <v>4.6992773903564036</v>
      </c>
      <c r="AY255">
        <v>6.3976497438513089</v>
      </c>
      <c r="AZ255">
        <v>8.1146456117931294</v>
      </c>
      <c r="BA255">
        <v>7.8770737473088763</v>
      </c>
      <c r="BB255">
        <v>7.0622187438857367</v>
      </c>
      <c r="BC255">
        <v>6.6987088697813206</v>
      </c>
      <c r="BD255">
        <v>8.0928320630299009</v>
      </c>
      <c r="BE255">
        <v>8.0977658057360244</v>
      </c>
      <c r="BF255">
        <v>8.5751350400539703</v>
      </c>
      <c r="BG255">
        <v>8.8773533322982772</v>
      </c>
      <c r="BH255">
        <v>8.6662698707932826</v>
      </c>
      <c r="BI255">
        <v>9.6394134763507964</v>
      </c>
      <c r="BJ255">
        <v>6.2180938256186007</v>
      </c>
      <c r="BK255">
        <v>7.6065336037704698</v>
      </c>
      <c r="BL255">
        <v>7.8819887087961913</v>
      </c>
      <c r="BM255">
        <v>9.7564063607819413</v>
      </c>
      <c r="BN255">
        <v>7.7479140231476196</v>
      </c>
      <c r="BO255">
        <v>9.1043798307543682</v>
      </c>
      <c r="BP255">
        <v>5.8691035989611908</v>
      </c>
      <c r="BQ255">
        <v>4.8491436661315577</v>
      </c>
    </row>
    <row r="256" spans="1:69" x14ac:dyDescent="0.25">
      <c r="A256" t="s">
        <v>1545</v>
      </c>
      <c r="B256" t="s">
        <v>1546</v>
      </c>
      <c r="C256" t="s">
        <v>1575</v>
      </c>
      <c r="D256" t="s">
        <v>1576</v>
      </c>
      <c r="E256">
        <v>1.457975986277906</v>
      </c>
      <c r="F256">
        <v>1.0707241476472411</v>
      </c>
      <c r="G256">
        <v>1.1987733482018561</v>
      </c>
      <c r="H256">
        <v>1.239669421487533</v>
      </c>
      <c r="I256">
        <v>1.2789115646259099</v>
      </c>
      <c r="J256">
        <v>1.585169263836621</v>
      </c>
      <c r="K256">
        <v>3.0150753768844001</v>
      </c>
      <c r="L256">
        <v>2.7727856225930871</v>
      </c>
      <c r="M256">
        <v>4.2717961528853703</v>
      </c>
      <c r="N256">
        <v>5.4623862002874519</v>
      </c>
      <c r="O256">
        <v>5.8382553384825071</v>
      </c>
      <c r="P256">
        <v>4.2927666881305084</v>
      </c>
      <c r="Q256">
        <v>3.2722782465528271</v>
      </c>
      <c r="R256">
        <v>6.1777600637703829</v>
      </c>
      <c r="S256">
        <v>11.05480480480481</v>
      </c>
      <c r="T256">
        <v>9.1431468649653453</v>
      </c>
      <c r="U256">
        <v>5.7448126354908506</v>
      </c>
      <c r="V256">
        <v>6.5016839947284009</v>
      </c>
      <c r="W256">
        <v>7.6309638388560561</v>
      </c>
      <c r="X256">
        <v>11.25447112927951</v>
      </c>
      <c r="Y256">
        <v>13.549201974968421</v>
      </c>
      <c r="Z256">
        <v>10.334715340277089</v>
      </c>
      <c r="AA256">
        <v>6.131427000274928</v>
      </c>
      <c r="AB256">
        <v>3.2124352331606461</v>
      </c>
      <c r="AC256">
        <v>4.3005354752342901</v>
      </c>
      <c r="AD256">
        <v>3.5456441520936539</v>
      </c>
      <c r="AE256">
        <v>1.898047722342757</v>
      </c>
      <c r="AF256">
        <v>3.6645632175168981</v>
      </c>
      <c r="AG256">
        <v>4.0777411074441314</v>
      </c>
      <c r="AH256">
        <v>4.8270030300894442</v>
      </c>
      <c r="AI256">
        <v>5.3979564399032478</v>
      </c>
      <c r="AJ256">
        <v>4.2349639645384869</v>
      </c>
      <c r="AK256">
        <v>3.0288196781496879</v>
      </c>
      <c r="AL256">
        <v>2.9516569663855892</v>
      </c>
      <c r="AM256">
        <v>2.607441592154526</v>
      </c>
      <c r="AN256">
        <v>2.8054196885366158</v>
      </c>
      <c r="AO256">
        <v>2.9312041999344149</v>
      </c>
      <c r="AP256">
        <v>2.3376899373073541</v>
      </c>
      <c r="AQ256">
        <v>1.5522790987436379</v>
      </c>
      <c r="AR256">
        <v>2.1880271969735769</v>
      </c>
      <c r="AS256">
        <v>3.3768572714992908</v>
      </c>
      <c r="AT256">
        <v>2.8261711188540719</v>
      </c>
      <c r="AU256">
        <v>1.5860316265060119</v>
      </c>
      <c r="AV256">
        <v>2.2700949733611471</v>
      </c>
      <c r="AW256">
        <v>2.6772366930917189</v>
      </c>
      <c r="AX256">
        <v>3.3927468454955041</v>
      </c>
      <c r="AY256">
        <v>3.2259441007040399</v>
      </c>
      <c r="AZ256">
        <v>2.8526724815013829</v>
      </c>
      <c r="BA256">
        <v>3.8391002966509959</v>
      </c>
      <c r="BB256">
        <v>-0.35554626629974739</v>
      </c>
      <c r="BC256">
        <v>1.640043442389904</v>
      </c>
      <c r="BD256">
        <v>3.1568415686220002</v>
      </c>
      <c r="BE256">
        <v>2.0693372652606659</v>
      </c>
      <c r="BF256">
        <v>1.4648326556271669</v>
      </c>
      <c r="BG256">
        <v>1.622222977408174</v>
      </c>
      <c r="BH256">
        <v>0.11862713555245059</v>
      </c>
      <c r="BI256">
        <v>1.261583205705358</v>
      </c>
      <c r="BJ256">
        <v>2.1301100036596119</v>
      </c>
      <c r="BK256">
        <v>2.442583296928166</v>
      </c>
      <c r="BL256">
        <v>1.8122100752602051</v>
      </c>
      <c r="BM256">
        <v>1.2335843963062929</v>
      </c>
      <c r="BN256">
        <v>4.6978588636374212</v>
      </c>
      <c r="BO256">
        <v>8.0027998205212096</v>
      </c>
      <c r="BP256">
        <v>4.1163383837448784</v>
      </c>
      <c r="BQ256">
        <v>2.949525204852073</v>
      </c>
    </row>
    <row r="257" spans="1:69" x14ac:dyDescent="0.25">
      <c r="A257" t="s">
        <v>1547</v>
      </c>
      <c r="B257" t="s">
        <v>1548</v>
      </c>
      <c r="C257" t="s">
        <v>1575</v>
      </c>
      <c r="D257" t="s">
        <v>1576</v>
      </c>
      <c r="BD257">
        <v>13.7797446476602</v>
      </c>
      <c r="BE257">
        <v>13.208802668837301</v>
      </c>
      <c r="BF257">
        <v>11.841433362204871</v>
      </c>
      <c r="BG257">
        <v>9.2830935616269539</v>
      </c>
      <c r="BH257">
        <v>8.7518819673750752</v>
      </c>
      <c r="BI257">
        <v>8.1308866952359971</v>
      </c>
      <c r="BJ257">
        <v>13.87574254416354</v>
      </c>
      <c r="BK257">
        <v>17.524179651405479</v>
      </c>
      <c r="BL257">
        <v>14.52573595606866</v>
      </c>
      <c r="BM257">
        <v>12.86772973626065</v>
      </c>
      <c r="BN257">
        <v>10.849239750812201</v>
      </c>
      <c r="BO257">
        <v>11.446643699883589</v>
      </c>
      <c r="BP257">
        <v>9.9565907125801782</v>
      </c>
      <c r="BQ257">
        <v>9.6282546595668155</v>
      </c>
    </row>
    <row r="258" spans="1:69" x14ac:dyDescent="0.25">
      <c r="A258" t="s">
        <v>1549</v>
      </c>
      <c r="B258" t="s">
        <v>1550</v>
      </c>
      <c r="C258" t="s">
        <v>1575</v>
      </c>
      <c r="D258" t="s">
        <v>1576</v>
      </c>
      <c r="T258">
        <v>6.7977067973996261</v>
      </c>
      <c r="U258">
        <v>11.28898261758741</v>
      </c>
      <c r="V258">
        <v>10.18691320451434</v>
      </c>
      <c r="W258">
        <v>8.4295281028459463</v>
      </c>
      <c r="X258">
        <v>15.60847832357037</v>
      </c>
      <c r="Y258">
        <v>17.207475003735819</v>
      </c>
      <c r="Z258">
        <v>12.735656646251639</v>
      </c>
      <c r="AA258">
        <v>7.2282566224394298</v>
      </c>
      <c r="AB258">
        <v>5.4583879899021968</v>
      </c>
      <c r="AC258">
        <v>2.7019556358438308</v>
      </c>
      <c r="AD258">
        <v>2.1396851032909678</v>
      </c>
      <c r="AE258">
        <v>1.027667984189748</v>
      </c>
      <c r="AF258">
        <v>3.3059467918622061</v>
      </c>
      <c r="AG258">
        <v>0.2272296913462977</v>
      </c>
      <c r="AH258">
        <v>2.8339316077839571</v>
      </c>
      <c r="AI258">
        <v>7.6060995774389157</v>
      </c>
      <c r="AJ258">
        <v>5.4920038700133338</v>
      </c>
      <c r="AK258">
        <v>3.4635304272765439</v>
      </c>
      <c r="AL258">
        <v>4.2913755344665123</v>
      </c>
      <c r="AM258">
        <v>1.008949552522505</v>
      </c>
      <c r="AN258">
        <v>1.7383728988056659</v>
      </c>
      <c r="AO258">
        <v>4.4079011384645437</v>
      </c>
      <c r="AP258">
        <v>0.4436160298233483</v>
      </c>
      <c r="AQ258">
        <v>2.1424064726839021</v>
      </c>
      <c r="AR258">
        <v>1.0135504443887491</v>
      </c>
      <c r="AS258">
        <v>0.16767963748827869</v>
      </c>
      <c r="AT258">
        <v>0.90085848586649964</v>
      </c>
      <c r="AU258">
        <v>1.8555039904665469</v>
      </c>
      <c r="AV258">
        <v>0.2059817088242544</v>
      </c>
      <c r="AW258">
        <v>2.9600394671928649</v>
      </c>
      <c r="AX258">
        <v>3.733429164670202</v>
      </c>
      <c r="AY258">
        <v>2.7406751607067261</v>
      </c>
      <c r="AZ258">
        <v>7.2361470158480703</v>
      </c>
      <c r="BA258">
        <v>10.066241824584891</v>
      </c>
      <c r="BB258">
        <v>0.42153912568721541</v>
      </c>
      <c r="BC258">
        <v>0.74710902631147402</v>
      </c>
      <c r="BD258">
        <v>3.1860311155245999</v>
      </c>
      <c r="BE258">
        <v>2.598444141471008</v>
      </c>
      <c r="BF258">
        <v>0.80512780426792752</v>
      </c>
      <c r="BG258">
        <v>0.19385856079401531</v>
      </c>
      <c r="BH258">
        <v>-1.733611949539591</v>
      </c>
      <c r="BI258">
        <v>-0.1496416476332843</v>
      </c>
      <c r="BJ258">
        <v>2.1533364884051069</v>
      </c>
      <c r="BK258">
        <v>2.3241448536792131</v>
      </c>
      <c r="BL258">
        <v>0.9130697253245903</v>
      </c>
      <c r="BM258">
        <v>-0.62813130935465444</v>
      </c>
      <c r="BN258">
        <v>1.5727293250055769</v>
      </c>
      <c r="BO258">
        <v>5.6600977922655158</v>
      </c>
      <c r="BP258">
        <v>4.5645771981489442</v>
      </c>
      <c r="BQ258">
        <v>3.6277073694092699</v>
      </c>
    </row>
    <row r="259" spans="1:69" x14ac:dyDescent="0.25">
      <c r="A259" t="s">
        <v>1551</v>
      </c>
      <c r="B259" t="s">
        <v>1552</v>
      </c>
      <c r="C259" t="s">
        <v>1575</v>
      </c>
      <c r="D259" t="s">
        <v>1576</v>
      </c>
      <c r="BB259">
        <v>27.080941446613039</v>
      </c>
      <c r="BC259">
        <v>28.187464709203901</v>
      </c>
      <c r="BD259">
        <v>26.090212316095901</v>
      </c>
      <c r="BE259">
        <v>21.06899563318759</v>
      </c>
      <c r="BF259">
        <v>40.639427516158939</v>
      </c>
      <c r="BG259">
        <v>62.168649979482851</v>
      </c>
      <c r="BH259">
        <v>121.7380852975033</v>
      </c>
      <c r="BI259">
        <v>254.94853478181599</v>
      </c>
    </row>
    <row r="260" spans="1:69" x14ac:dyDescent="0.25">
      <c r="A260" t="s">
        <v>1553</v>
      </c>
      <c r="B260" t="s">
        <v>1554</v>
      </c>
      <c r="C260" t="s">
        <v>1575</v>
      </c>
      <c r="D260" t="s">
        <v>1576</v>
      </c>
    </row>
    <row r="261" spans="1:69" x14ac:dyDescent="0.25">
      <c r="A261" t="s">
        <v>1555</v>
      </c>
      <c r="B261" t="s">
        <v>1556</v>
      </c>
      <c r="C261" t="s">
        <v>1575</v>
      </c>
      <c r="D261" t="s">
        <v>1576</v>
      </c>
    </row>
    <row r="262" spans="1:69" x14ac:dyDescent="0.25">
      <c r="A262" t="s">
        <v>1557</v>
      </c>
      <c r="B262" t="s">
        <v>1558</v>
      </c>
      <c r="C262" t="s">
        <v>1575</v>
      </c>
      <c r="D262" t="s">
        <v>1576</v>
      </c>
      <c r="AO262">
        <v>5.6749999999999394</v>
      </c>
      <c r="AP262">
        <v>3.209526062613743</v>
      </c>
      <c r="AQ262">
        <v>7.2661980440096006</v>
      </c>
      <c r="AR262">
        <v>4.1171023577173562</v>
      </c>
      <c r="AS262">
        <v>-1.7103372785110871</v>
      </c>
      <c r="AT262">
        <v>-0.4315445117281802</v>
      </c>
      <c r="AU262">
        <v>3.8308283816846722</v>
      </c>
      <c r="AV262">
        <v>3.2346481729392691</v>
      </c>
      <c r="AW262">
        <v>7.7549474870960147</v>
      </c>
      <c r="AX262">
        <v>8.2845724312867741</v>
      </c>
      <c r="AY262">
        <v>7.41801715108463</v>
      </c>
      <c r="AZ262">
        <v>8.3444488977383671</v>
      </c>
      <c r="BA262">
        <v>23.115448347447739</v>
      </c>
      <c r="BB262">
        <v>6.71698269988629</v>
      </c>
      <c r="BC262">
        <v>9.2074664877841261</v>
      </c>
      <c r="BD262">
        <v>18.677732277070699</v>
      </c>
      <c r="BE262">
        <v>9.0947033955719192</v>
      </c>
      <c r="BF262">
        <v>6.5926747589919188</v>
      </c>
      <c r="BG262">
        <v>4.084554466376173</v>
      </c>
      <c r="BH262">
        <v>0.63120090517575445</v>
      </c>
      <c r="BI262">
        <v>2.668248169690822</v>
      </c>
      <c r="BJ262">
        <v>3.5202568881161742</v>
      </c>
      <c r="BK262">
        <v>3.5396280594264091</v>
      </c>
      <c r="BL262">
        <v>2.7958236745224969</v>
      </c>
      <c r="BM262">
        <v>3.2209343665251411</v>
      </c>
      <c r="BN262">
        <v>1.834715548104437</v>
      </c>
      <c r="BO262">
        <v>3.1565074996312932</v>
      </c>
      <c r="BP262">
        <v>3.2528928266766162</v>
      </c>
      <c r="BQ262">
        <v>3.6210927388584349</v>
      </c>
    </row>
    <row r="263" spans="1:69" x14ac:dyDescent="0.25">
      <c r="A263" t="s">
        <v>1559</v>
      </c>
      <c r="B263" t="s">
        <v>1560</v>
      </c>
      <c r="C263" t="s">
        <v>1575</v>
      </c>
      <c r="D263" t="s">
        <v>1576</v>
      </c>
      <c r="V263">
        <v>5.7365094798245861</v>
      </c>
      <c r="W263">
        <v>6.4137931034485014</v>
      </c>
      <c r="X263">
        <v>4.1693670339166697</v>
      </c>
      <c r="Y263">
        <v>11.240149315636399</v>
      </c>
      <c r="Z263">
        <v>26.845637583892788</v>
      </c>
      <c r="AA263">
        <v>6.672545561434478</v>
      </c>
      <c r="AB263">
        <v>1.653348029760316</v>
      </c>
      <c r="AC263">
        <v>5.5164001084303971</v>
      </c>
      <c r="AD263">
        <v>1.066152858060426</v>
      </c>
      <c r="AE263">
        <v>4.7661413319776296</v>
      </c>
      <c r="AF263">
        <v>16.039395005276191</v>
      </c>
      <c r="AG263">
        <v>8.7602303728400877</v>
      </c>
      <c r="AH263">
        <v>7.74804905239702</v>
      </c>
      <c r="AI263">
        <v>4.7594412829796982</v>
      </c>
      <c r="AJ263">
        <v>6.4691358024691397</v>
      </c>
      <c r="AK263">
        <v>4.0584415584416034</v>
      </c>
      <c r="AL263">
        <v>3.5658569199911558</v>
      </c>
      <c r="AM263">
        <v>2.302560791908685</v>
      </c>
      <c r="AN263">
        <v>2.2297013041648661</v>
      </c>
      <c r="AO263">
        <v>0.90634441087621942</v>
      </c>
      <c r="AP263">
        <v>2.8307022318997852</v>
      </c>
      <c r="AQ263">
        <v>3.282159872948633</v>
      </c>
      <c r="AR263">
        <v>1.998974884674519</v>
      </c>
      <c r="AS263">
        <v>2.5376884422110648</v>
      </c>
      <c r="AT263">
        <v>3.5775545209507391</v>
      </c>
      <c r="AU263">
        <v>1.963567541991954</v>
      </c>
      <c r="AV263">
        <v>3.016241299303942</v>
      </c>
      <c r="AW263">
        <v>1.418918918918926</v>
      </c>
      <c r="AX263">
        <v>1.19920053297801</v>
      </c>
      <c r="AY263">
        <v>2.0408163265306172</v>
      </c>
      <c r="AZ263">
        <v>3.9354838709677402</v>
      </c>
      <c r="BA263">
        <v>4.8417132216014949</v>
      </c>
      <c r="BB263">
        <v>4.2970657295535739</v>
      </c>
      <c r="BC263">
        <v>2.7626946947734758</v>
      </c>
      <c r="BD263">
        <v>0.87379310478109995</v>
      </c>
      <c r="BE263">
        <v>1.34740362877658</v>
      </c>
      <c r="BF263">
        <v>1.458933717579207</v>
      </c>
      <c r="BG263">
        <v>0.79886383809702277</v>
      </c>
      <c r="BH263">
        <v>2.4832687566043901</v>
      </c>
      <c r="BI263">
        <v>0.84206908403506087</v>
      </c>
      <c r="BJ263">
        <v>3.0845262440354602</v>
      </c>
      <c r="BK263">
        <v>2.3309637956686609</v>
      </c>
      <c r="BL263">
        <v>2.7625201938611101</v>
      </c>
      <c r="BM263">
        <v>5.3293507310171497</v>
      </c>
      <c r="BN263">
        <v>2.343283582089533</v>
      </c>
      <c r="BO263">
        <v>6.6793058188712129</v>
      </c>
      <c r="BP263">
        <v>11.182501708817471</v>
      </c>
    </row>
    <row r="264" spans="1:69" x14ac:dyDescent="0.25">
      <c r="A264" t="s">
        <v>1561</v>
      </c>
      <c r="B264" t="s">
        <v>1562</v>
      </c>
      <c r="C264" t="s">
        <v>1575</v>
      </c>
      <c r="D264" t="s">
        <v>1576</v>
      </c>
      <c r="Z264">
        <v>12.4424368936176</v>
      </c>
      <c r="AA264">
        <v>10.22172713768915</v>
      </c>
      <c r="AB264">
        <v>8.6692715980852224</v>
      </c>
      <c r="AC264">
        <v>8.0803201725576095</v>
      </c>
      <c r="AD264">
        <v>6.8075665576833293</v>
      </c>
      <c r="AE264">
        <v>5.8226657673248434</v>
      </c>
      <c r="AF264">
        <v>5.7101193848667871</v>
      </c>
      <c r="AG264">
        <v>7.1134065293134743</v>
      </c>
      <c r="AH264">
        <v>6.923905037112382</v>
      </c>
      <c r="AI264">
        <v>8.0634609093883274</v>
      </c>
      <c r="AJ264">
        <v>8.9969387349433099</v>
      </c>
      <c r="AK264">
        <v>7.6361085233697423</v>
      </c>
      <c r="AL264">
        <v>7.1445870687625614</v>
      </c>
      <c r="AM264">
        <v>10.247935555611919</v>
      </c>
      <c r="AN264">
        <v>9.0773809523809064</v>
      </c>
      <c r="AO264">
        <v>6.526095693725793</v>
      </c>
      <c r="AP264">
        <v>5.5541298894940514</v>
      </c>
      <c r="AQ264">
        <v>5.0972914933144171</v>
      </c>
      <c r="AR264">
        <v>3.041946670945332</v>
      </c>
      <c r="AS264">
        <v>3.4335156341876671</v>
      </c>
      <c r="AT264">
        <v>3.836572620525434</v>
      </c>
      <c r="AU264">
        <v>2.9079985703220741</v>
      </c>
      <c r="AV264">
        <v>3.0250452625223598</v>
      </c>
      <c r="AW264">
        <v>3.5179990309959561</v>
      </c>
      <c r="AX264">
        <v>4.1072507071593103</v>
      </c>
      <c r="AY264">
        <v>4.2671746339026431</v>
      </c>
      <c r="AZ264">
        <v>4.8102370434291233</v>
      </c>
      <c r="BA264">
        <v>8.9499533535338713</v>
      </c>
      <c r="BB264">
        <v>2.8604485590267421</v>
      </c>
      <c r="BC264">
        <v>3.3263446336864271</v>
      </c>
      <c r="BD264">
        <v>4.8223963601332507</v>
      </c>
      <c r="BE264">
        <v>3.7253266611064628</v>
      </c>
      <c r="BF264">
        <v>2.6516734291657711</v>
      </c>
      <c r="BG264">
        <v>2.3937159720979202</v>
      </c>
      <c r="BH264">
        <v>1.4370238093565479</v>
      </c>
      <c r="BI264">
        <v>1.5969122758320411</v>
      </c>
      <c r="BJ264">
        <v>2.2231433144889881</v>
      </c>
      <c r="BK264">
        <v>2.442583296928166</v>
      </c>
      <c r="BL264">
        <v>2.2274788093830038</v>
      </c>
      <c r="BM264">
        <v>1.9050972204750141</v>
      </c>
      <c r="BN264">
        <v>3.4754032028987969</v>
      </c>
      <c r="BO264">
        <v>7.9851867183503309</v>
      </c>
      <c r="BP264">
        <v>5.8701026878755336</v>
      </c>
      <c r="BQ264">
        <v>2.9720047764361812</v>
      </c>
    </row>
    <row r="265" spans="1:69" x14ac:dyDescent="0.25">
      <c r="A265" t="s">
        <v>1563</v>
      </c>
      <c r="B265" t="s">
        <v>1564</v>
      </c>
      <c r="C265" t="s">
        <v>1575</v>
      </c>
      <c r="D265" t="s">
        <v>1576</v>
      </c>
      <c r="G265">
        <v>2.6548672566372389</v>
      </c>
      <c r="H265">
        <v>0.68965517241379315</v>
      </c>
      <c r="I265">
        <v>5.3082191780822852</v>
      </c>
      <c r="J265">
        <v>2.1138211382113168</v>
      </c>
      <c r="K265">
        <v>2.8662420382164608</v>
      </c>
      <c r="L265">
        <v>-0.5159958720326866</v>
      </c>
      <c r="M265">
        <v>1.7116182572612491</v>
      </c>
      <c r="N265">
        <v>4.1305456399796574</v>
      </c>
      <c r="O265">
        <v>2.7424094025460608</v>
      </c>
      <c r="P265">
        <v>4.7664442326029599</v>
      </c>
      <c r="Q265">
        <v>7.5068243858053387</v>
      </c>
      <c r="R265">
        <v>11.764242995986701</v>
      </c>
      <c r="S265">
        <v>24.987678659561261</v>
      </c>
      <c r="T265">
        <v>8.7877422263187466</v>
      </c>
      <c r="U265">
        <v>4.9036868269104641</v>
      </c>
      <c r="V265">
        <v>14.61079026594285</v>
      </c>
      <c r="W265">
        <v>2.0586588570208559</v>
      </c>
      <c r="X265">
        <v>11.11955099804967</v>
      </c>
      <c r="Y265">
        <v>33.047242898500052</v>
      </c>
      <c r="Z265">
        <v>20.506624447129411</v>
      </c>
      <c r="AA265">
        <v>18.296224589118651</v>
      </c>
      <c r="AB265">
        <v>16.460135608993319</v>
      </c>
      <c r="AC265">
        <v>11.860068259471531</v>
      </c>
      <c r="AD265">
        <v>9.0905011888749261</v>
      </c>
      <c r="AE265">
        <v>5.7335581790200463</v>
      </c>
      <c r="AF265">
        <v>4.566849496368282</v>
      </c>
      <c r="AG265">
        <v>8.5078680108630067</v>
      </c>
      <c r="AH265">
        <v>6.4625617114644447</v>
      </c>
      <c r="AI265">
        <v>15.23846327246954</v>
      </c>
      <c r="AJ265">
        <v>-1.8191979879839899</v>
      </c>
      <c r="AK265">
        <v>9.0311379290717202</v>
      </c>
      <c r="AL265">
        <v>1.7150912365886839</v>
      </c>
      <c r="AM265">
        <v>12.080381890976209</v>
      </c>
      <c r="AN265">
        <v>-2.9035286574614241</v>
      </c>
      <c r="AO265">
        <v>5.3746197203027801</v>
      </c>
      <c r="AP265">
        <v>6.861823553108767</v>
      </c>
      <c r="AQ265">
        <v>2.21883468834654</v>
      </c>
      <c r="AR265">
        <v>0.2651201325603551</v>
      </c>
      <c r="AS265">
        <v>0.96678235002472945</v>
      </c>
      <c r="AT265">
        <v>3.83828463867725</v>
      </c>
      <c r="AU265">
        <v>8.0503144654087038</v>
      </c>
      <c r="AV265">
        <v>0.1158301158301068</v>
      </c>
      <c r="AW265">
        <v>16.313150790590079</v>
      </c>
      <c r="AX265">
        <v>1.856763925729489</v>
      </c>
      <c r="AY265">
        <v>3.7000868055555318</v>
      </c>
      <c r="AZ265">
        <v>5.577063932196288</v>
      </c>
      <c r="BA265">
        <v>11.565906838453961</v>
      </c>
      <c r="BB265">
        <v>6.3249533623522822</v>
      </c>
      <c r="BC265">
        <v>0.77700726877769188</v>
      </c>
      <c r="BD265">
        <v>5.2354159147843422</v>
      </c>
      <c r="BE265">
        <v>2.0490188352116041</v>
      </c>
      <c r="BF265">
        <v>0.61008572090502999</v>
      </c>
      <c r="BG265">
        <v>-0.40681608842489048</v>
      </c>
      <c r="BH265">
        <v>0.72447013487472889</v>
      </c>
      <c r="BI265">
        <v>1.3047186930317931</v>
      </c>
      <c r="BJ265">
        <v>1.7498967748470511</v>
      </c>
      <c r="BK265">
        <v>4.1974588866375191</v>
      </c>
      <c r="BL265">
        <v>0.98232656988811695</v>
      </c>
      <c r="BM265">
        <v>-1.568912477408954</v>
      </c>
      <c r="BN265">
        <v>3.1332047317449399</v>
      </c>
      <c r="BO265">
        <v>10.96188222868439</v>
      </c>
      <c r="BP265">
        <v>7.9216468482677724</v>
      </c>
      <c r="BQ265">
        <v>2.1724553051437732</v>
      </c>
    </row>
    <row r="266" spans="1:69" x14ac:dyDescent="0.25">
      <c r="A266" t="s">
        <v>1565</v>
      </c>
      <c r="B266" t="s">
        <v>1566</v>
      </c>
      <c r="C266" t="s">
        <v>1575</v>
      </c>
      <c r="D266" t="s">
        <v>1576</v>
      </c>
      <c r="AV266">
        <v>-1.0848126232741351</v>
      </c>
      <c r="AW266">
        <v>-1.0647269660552541</v>
      </c>
      <c r="AX266">
        <v>-1.385189131592993</v>
      </c>
      <c r="AY266">
        <v>0.62164693860172793</v>
      </c>
      <c r="AZ266">
        <v>4.3584969532836908</v>
      </c>
      <c r="BA266">
        <v>9.3504176465817785</v>
      </c>
      <c r="BB266">
        <v>-2.410264016612286</v>
      </c>
      <c r="BC266">
        <v>3.4805076373584241</v>
      </c>
      <c r="BD266">
        <v>7.3364177131527004</v>
      </c>
      <c r="BE266">
        <v>2.4767378215653291</v>
      </c>
      <c r="BF266">
        <v>1.767324283548916</v>
      </c>
      <c r="BG266">
        <v>0.42895780832409208</v>
      </c>
      <c r="BH266">
        <v>-0.53692939274065921</v>
      </c>
      <c r="BI266">
        <v>0.27316943104546809</v>
      </c>
      <c r="BJ266">
        <v>1.4882343059231931</v>
      </c>
      <c r="BK266">
        <v>1.0537977365499149</v>
      </c>
      <c r="BL266">
        <v>2.6759920263989332</v>
      </c>
      <c r="BM266">
        <v>0.19822792299485439</v>
      </c>
      <c r="BN266">
        <v>3.3536913920799711</v>
      </c>
      <c r="BO266">
        <v>11.580510454201249</v>
      </c>
      <c r="BP266">
        <v>4.9443243879128262</v>
      </c>
      <c r="BQ266">
        <v>1.619449945594762</v>
      </c>
    </row>
    <row r="267" spans="1:69" x14ac:dyDescent="0.25">
      <c r="A267" t="s">
        <v>1567</v>
      </c>
      <c r="B267" t="s">
        <v>1568</v>
      </c>
      <c r="C267" t="s">
        <v>1575</v>
      </c>
      <c r="D267" t="s">
        <v>1576</v>
      </c>
      <c r="AJ267">
        <v>35.99999999999995</v>
      </c>
      <c r="AK267">
        <v>29.411764705882359</v>
      </c>
      <c r="AL267">
        <v>35.752298016449082</v>
      </c>
      <c r="AM267">
        <v>49.394155381325383</v>
      </c>
      <c r="AN267">
        <v>55.081106870229242</v>
      </c>
      <c r="AO267">
        <v>30.733733271804301</v>
      </c>
      <c r="AP267">
        <v>2.1767266737264581</v>
      </c>
      <c r="AQ267">
        <v>5.9765085214186033</v>
      </c>
      <c r="AR267">
        <v>8.6602194936434582</v>
      </c>
      <c r="AS267">
        <v>4.5899999999998116</v>
      </c>
      <c r="AT267">
        <v>11.9115912929855</v>
      </c>
      <c r="AU267">
        <v>12.2385339389711</v>
      </c>
      <c r="AV267">
        <v>10.83236070232415</v>
      </c>
      <c r="AW267">
        <v>12.515095149520739</v>
      </c>
      <c r="AX267">
        <v>11.811263937494889</v>
      </c>
      <c r="AY267">
        <v>10.84479869142567</v>
      </c>
      <c r="AZ267">
        <v>7.9051177898873037</v>
      </c>
      <c r="BA267">
        <v>18.97625743180765</v>
      </c>
      <c r="BB267">
        <v>5.4077609807752172</v>
      </c>
      <c r="BC267">
        <v>11.17483386050437</v>
      </c>
      <c r="BD267">
        <v>19.5435617131144</v>
      </c>
      <c r="BE267">
        <v>9.8853871448487141</v>
      </c>
      <c r="BF267">
        <v>10.968442150019801</v>
      </c>
      <c r="BG267">
        <v>8.1047258362391492</v>
      </c>
    </row>
    <row r="268" spans="1:69" x14ac:dyDescent="0.25">
      <c r="A268" t="s">
        <v>1569</v>
      </c>
      <c r="B268" t="s">
        <v>1570</v>
      </c>
      <c r="C268" t="s">
        <v>1575</v>
      </c>
      <c r="D268" t="s">
        <v>1576</v>
      </c>
      <c r="E268">
        <v>1.2888769268799189</v>
      </c>
      <c r="F268">
        <v>2.1023505995597822</v>
      </c>
      <c r="G268">
        <v>1.2462751996549459</v>
      </c>
      <c r="H268">
        <v>1.3379706449069251</v>
      </c>
      <c r="I268">
        <v>2.5349885423489811</v>
      </c>
      <c r="J268">
        <v>4.0690185329458393</v>
      </c>
      <c r="K268">
        <v>3.4892371538517479</v>
      </c>
      <c r="L268">
        <v>3.5389658023623318</v>
      </c>
      <c r="M268">
        <v>1.98613362103222</v>
      </c>
      <c r="N268">
        <v>3.2382172158566682</v>
      </c>
      <c r="O268">
        <v>4.9919245543561708</v>
      </c>
      <c r="P268">
        <v>5.9574208521348586</v>
      </c>
      <c r="Q268">
        <v>6.4256763887917518</v>
      </c>
      <c r="R268">
        <v>9.4339837697839393</v>
      </c>
      <c r="S268">
        <v>11.7241315190611</v>
      </c>
      <c r="T268">
        <v>13.42592485303755</v>
      </c>
      <c r="U268">
        <v>11.02041058924515</v>
      </c>
      <c r="V268">
        <v>11.15195783193</v>
      </c>
      <c r="W268">
        <v>11.13560888295652</v>
      </c>
      <c r="X268">
        <v>13.29366246280588</v>
      </c>
      <c r="Y268">
        <v>13.66024046811153</v>
      </c>
      <c r="Z268">
        <v>15.254233767419381</v>
      </c>
      <c r="AA268">
        <v>14.639040585312779</v>
      </c>
      <c r="AB268">
        <v>12.30320530060059</v>
      </c>
      <c r="AC268">
        <v>11.52648143449604</v>
      </c>
      <c r="AD268">
        <v>16.294225242642121</v>
      </c>
      <c r="AE268">
        <v>18.654923038875481</v>
      </c>
      <c r="AF268">
        <v>16.160594854679118</v>
      </c>
      <c r="AG268">
        <v>12.77955308302802</v>
      </c>
      <c r="AH268">
        <v>14.73087539823813</v>
      </c>
      <c r="AI268">
        <v>14.320991891491481</v>
      </c>
      <c r="AJ268">
        <v>15.33477857336716</v>
      </c>
      <c r="AK268">
        <v>13.874703748614991</v>
      </c>
      <c r="AL268">
        <v>9.717427298030282</v>
      </c>
      <c r="AM268">
        <v>8.9385637235939992</v>
      </c>
      <c r="AN268">
        <v>8.6804242139263117</v>
      </c>
      <c r="AO268">
        <v>7.3541197208533262</v>
      </c>
      <c r="AP268">
        <v>8.5977761125227392</v>
      </c>
      <c r="AQ268">
        <v>6.8805452103735076</v>
      </c>
      <c r="AR268">
        <v>5.1814890511169738</v>
      </c>
      <c r="AS268">
        <v>5.3389591359982784</v>
      </c>
      <c r="AT268">
        <v>5.701894830496081</v>
      </c>
      <c r="AU268">
        <v>9.4947137809960029</v>
      </c>
      <c r="AV268">
        <v>5.6794241406879937</v>
      </c>
      <c r="AW268">
        <v>-0.69203943785768673</v>
      </c>
      <c r="AX268">
        <v>2.0628530822342732</v>
      </c>
      <c r="AY268">
        <v>3.2439076541922951</v>
      </c>
      <c r="AZ268">
        <v>6.1778121480938788</v>
      </c>
      <c r="BA268">
        <v>9.9099845600546672</v>
      </c>
      <c r="BB268">
        <v>7.2380952380952692</v>
      </c>
      <c r="BC268">
        <v>4.0674955595026336</v>
      </c>
      <c r="BD268">
        <v>5.0008533879502002</v>
      </c>
      <c r="BE268">
        <v>5.73797139141739</v>
      </c>
      <c r="BF268">
        <v>5.780169100691757</v>
      </c>
      <c r="BG268">
        <v>6.1328295305914908</v>
      </c>
      <c r="BH268">
        <v>4.5186909489250606</v>
      </c>
      <c r="BI268">
        <v>6.6029084239487172</v>
      </c>
      <c r="BJ268">
        <v>5.186186555241493</v>
      </c>
      <c r="BK268">
        <v>4.5098726486738752</v>
      </c>
      <c r="BL268">
        <v>4.1028507546115582</v>
      </c>
      <c r="BM268">
        <v>3.2323883161511349</v>
      </c>
      <c r="BN268">
        <v>4.6187454488713602</v>
      </c>
      <c r="BO268">
        <v>7.0398727254648179</v>
      </c>
      <c r="BP268">
        <v>6.0752438457965967</v>
      </c>
      <c r="BQ268">
        <v>4.3611524651896207</v>
      </c>
    </row>
    <row r="269" spans="1:69" x14ac:dyDescent="0.25">
      <c r="A269" t="s">
        <v>1571</v>
      </c>
      <c r="B269" t="s">
        <v>1572</v>
      </c>
      <c r="C269" t="s">
        <v>1575</v>
      </c>
      <c r="D269" t="s">
        <v>1576</v>
      </c>
      <c r="AE269">
        <v>55.828220858896607</v>
      </c>
      <c r="AF269">
        <v>47.047244094487638</v>
      </c>
      <c r="AG269">
        <v>51.004016064257378</v>
      </c>
      <c r="AH269">
        <v>123.4042553191498</v>
      </c>
      <c r="AI269">
        <v>107.0238095238085</v>
      </c>
      <c r="AJ269">
        <v>97.642323174238342</v>
      </c>
      <c r="AK269">
        <v>165.7065270099896</v>
      </c>
      <c r="AL269">
        <v>183.31204146439339</v>
      </c>
      <c r="AM269">
        <v>54.601321841301612</v>
      </c>
      <c r="AN269">
        <v>34.929587416666699</v>
      </c>
      <c r="AO269">
        <v>43.073097998288191</v>
      </c>
      <c r="AP269">
        <v>24.41872156894123</v>
      </c>
      <c r="AQ269">
        <v>24.4584563516656</v>
      </c>
      <c r="AR269">
        <v>26.78769667900287</v>
      </c>
      <c r="AS269">
        <v>26.030411788812138</v>
      </c>
      <c r="AT269">
        <v>21.393782179254579</v>
      </c>
      <c r="AU269">
        <v>22.233344643094689</v>
      </c>
      <c r="AV269">
        <v>21.401578390199521</v>
      </c>
      <c r="AW269">
        <v>17.96778910872861</v>
      </c>
      <c r="AX269">
        <v>18.32443970117399</v>
      </c>
      <c r="AY269">
        <v>9.0195724722648585</v>
      </c>
      <c r="AZ269">
        <v>10.657349600015291</v>
      </c>
      <c r="BA269">
        <v>12.44557934631924</v>
      </c>
      <c r="BB269">
        <v>13.39525463258952</v>
      </c>
      <c r="BC269">
        <v>8.501761333652647</v>
      </c>
      <c r="BD269">
        <v>6.4293968107234001</v>
      </c>
      <c r="BE269">
        <v>6.5758997075769763</v>
      </c>
      <c r="BF269">
        <v>6.977676054903073</v>
      </c>
      <c r="BG269">
        <v>7.8068755356633259</v>
      </c>
      <c r="BH269">
        <v>10.110592890961771</v>
      </c>
      <c r="BI269">
        <v>17.869730079526772</v>
      </c>
      <c r="BJ269">
        <v>6.5773115420564441</v>
      </c>
      <c r="BK269">
        <v>7.4945719272852012</v>
      </c>
      <c r="BL269">
        <v>9.1503164431629553</v>
      </c>
      <c r="BM269">
        <v>15.73306047213692</v>
      </c>
      <c r="BN269">
        <v>22.020767624577651</v>
      </c>
      <c r="BO269">
        <v>10.99320392091359</v>
      </c>
      <c r="BP269">
        <v>10.88453169128201</v>
      </c>
      <c r="BQ269">
        <v>14.9856262747939</v>
      </c>
    </row>
    <row r="270" spans="1:69" x14ac:dyDescent="0.25">
      <c r="A270" t="s">
        <v>1573</v>
      </c>
      <c r="B270" t="s">
        <v>1574</v>
      </c>
      <c r="C270" t="s">
        <v>1575</v>
      </c>
      <c r="D270" t="s">
        <v>1576</v>
      </c>
      <c r="BC270">
        <v>3.0226700251889169</v>
      </c>
      <c r="BD270">
        <v>3.4661297281748999</v>
      </c>
      <c r="BE270">
        <v>3.7253266611064628</v>
      </c>
      <c r="BF270">
        <v>1.6349504154382191</v>
      </c>
      <c r="BG270">
        <v>-0.19778481012660989</v>
      </c>
      <c r="BH270">
        <v>-2.430968423834039</v>
      </c>
      <c r="BI270">
        <v>-1.54366960054161</v>
      </c>
      <c r="BJ270">
        <v>0.89396231605002741</v>
      </c>
      <c r="BK270">
        <v>10.61886586695751</v>
      </c>
      <c r="BL270">
        <v>255.30499075785571</v>
      </c>
      <c r="BM270">
        <v>557.20181736205075</v>
      </c>
      <c r="BN270">
        <v>98.546105092062376</v>
      </c>
      <c r="BO270">
        <v>104.7051706286672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R270"/>
  <sheetViews>
    <sheetView topLeftCell="BA112" workbookViewId="0">
      <selection activeCell="A221" sqref="A221:XFD221"/>
    </sheetView>
  </sheetViews>
  <sheetFormatPr defaultColWidth="8.85546875" defaultRowHeight="15" x14ac:dyDescent="0.25"/>
  <cols>
    <col min="1" max="1" width="25.28515625" style="348" customWidth="1"/>
    <col min="2" max="2" width="25.7109375" style="348" hidden="1" customWidth="1"/>
    <col min="3" max="3" width="42.28515625" style="348" hidden="1" customWidth="1"/>
    <col min="4" max="4" width="17.28515625" style="348" hidden="1" customWidth="1"/>
    <col min="5" max="34" width="5" style="348" hidden="1" customWidth="1"/>
    <col min="35" max="68" width="11.42578125" style="348" bestFit="1" customWidth="1"/>
    <col min="69" max="69" width="11.42578125" style="350" bestFit="1" customWidth="1"/>
    <col min="70" max="70" width="5" style="348" bestFit="1" customWidth="1"/>
    <col min="71" max="79" width="8.85546875" style="348" customWidth="1"/>
    <col min="80" max="16384" width="8.85546875" style="348"/>
  </cols>
  <sheetData>
    <row r="1" spans="1:70" x14ac:dyDescent="0.25">
      <c r="A1" s="348" t="s">
        <v>970</v>
      </c>
      <c r="B1" s="348" t="s">
        <v>971</v>
      </c>
    </row>
    <row r="2" spans="1:70" x14ac:dyDescent="0.25">
      <c r="A2" s="348" t="s">
        <v>972</v>
      </c>
      <c r="B2" s="349">
        <v>46120</v>
      </c>
    </row>
    <row r="4" spans="1:70" x14ac:dyDescent="0.25">
      <c r="A4" s="348" t="s">
        <v>973</v>
      </c>
      <c r="B4" s="348" t="s">
        <v>974</v>
      </c>
      <c r="C4" s="348" t="s">
        <v>975</v>
      </c>
      <c r="D4" s="348" t="s">
        <v>976</v>
      </c>
      <c r="E4" s="348" t="s">
        <v>977</v>
      </c>
      <c r="F4" s="348" t="s">
        <v>978</v>
      </c>
      <c r="G4" s="348" t="s">
        <v>979</v>
      </c>
      <c r="H4" s="348" t="s">
        <v>980</v>
      </c>
      <c r="I4" s="348" t="s">
        <v>981</v>
      </c>
      <c r="J4" s="348" t="s">
        <v>982</v>
      </c>
      <c r="K4" s="348" t="s">
        <v>983</v>
      </c>
      <c r="L4" s="348" t="s">
        <v>984</v>
      </c>
      <c r="M4" s="348" t="s">
        <v>985</v>
      </c>
      <c r="N4" s="348" t="s">
        <v>986</v>
      </c>
      <c r="O4" s="348" t="s">
        <v>987</v>
      </c>
      <c r="P4" s="348" t="s">
        <v>988</v>
      </c>
      <c r="Q4" s="348" t="s">
        <v>989</v>
      </c>
      <c r="R4" s="348" t="s">
        <v>990</v>
      </c>
      <c r="S4" s="348" t="s">
        <v>991</v>
      </c>
      <c r="T4" s="348" t="s">
        <v>992</v>
      </c>
      <c r="U4" s="348" t="s">
        <v>993</v>
      </c>
      <c r="V4" s="348" t="s">
        <v>994</v>
      </c>
      <c r="W4" s="348" t="s">
        <v>995</v>
      </c>
      <c r="X4" s="348" t="s">
        <v>996</v>
      </c>
      <c r="Y4" s="348" t="s">
        <v>997</v>
      </c>
      <c r="Z4" s="348" t="s">
        <v>998</v>
      </c>
      <c r="AA4" s="348" t="s">
        <v>999</v>
      </c>
      <c r="AB4" s="348" t="s">
        <v>1000</v>
      </c>
      <c r="AC4" s="348" t="s">
        <v>1001</v>
      </c>
      <c r="AD4" s="348" t="s">
        <v>1002</v>
      </c>
      <c r="AE4" s="348" t="s">
        <v>1003</v>
      </c>
      <c r="AF4" s="348" t="s">
        <v>1004</v>
      </c>
      <c r="AG4" s="348" t="s">
        <v>1005</v>
      </c>
      <c r="AH4" s="348" t="s">
        <v>1006</v>
      </c>
      <c r="AI4" s="348" t="s">
        <v>1007</v>
      </c>
      <c r="AJ4" s="348" t="s">
        <v>1008</v>
      </c>
      <c r="AK4" s="348" t="s">
        <v>1009</v>
      </c>
      <c r="AL4" s="348" t="s">
        <v>1010</v>
      </c>
      <c r="AM4" s="348" t="s">
        <v>1011</v>
      </c>
      <c r="AN4" s="348" t="s">
        <v>1012</v>
      </c>
      <c r="AO4" s="348" t="s">
        <v>1013</v>
      </c>
      <c r="AP4" s="348" t="s">
        <v>1014</v>
      </c>
      <c r="AQ4" s="348" t="s">
        <v>1015</v>
      </c>
      <c r="AR4" s="348" t="s">
        <v>1016</v>
      </c>
      <c r="AS4" s="348" t="s">
        <v>1017</v>
      </c>
      <c r="AT4" s="348" t="s">
        <v>1018</v>
      </c>
      <c r="AU4" s="348" t="s">
        <v>1019</v>
      </c>
      <c r="AV4" s="348" t="s">
        <v>1020</v>
      </c>
      <c r="AW4" s="348" t="s">
        <v>1021</v>
      </c>
      <c r="AX4" s="348" t="s">
        <v>1022</v>
      </c>
      <c r="AY4" s="348" t="s">
        <v>1023</v>
      </c>
      <c r="AZ4" s="348" t="s">
        <v>1024</v>
      </c>
      <c r="BA4" s="348" t="s">
        <v>1025</v>
      </c>
      <c r="BB4" s="348" t="s">
        <v>1026</v>
      </c>
      <c r="BC4" s="348" t="s">
        <v>1027</v>
      </c>
      <c r="BD4" s="348" t="s">
        <v>1028</v>
      </c>
      <c r="BE4" s="348" t="s">
        <v>1029</v>
      </c>
      <c r="BF4" s="348" t="s">
        <v>1030</v>
      </c>
      <c r="BG4" s="348" t="s">
        <v>1031</v>
      </c>
      <c r="BH4" s="348" t="s">
        <v>1032</v>
      </c>
      <c r="BI4" s="348" t="s">
        <v>1033</v>
      </c>
      <c r="BJ4" s="348" t="s">
        <v>1034</v>
      </c>
      <c r="BK4" s="348" t="s">
        <v>1035</v>
      </c>
      <c r="BL4" s="348" t="s">
        <v>1036</v>
      </c>
      <c r="BM4" s="348" t="s">
        <v>1037</v>
      </c>
      <c r="BN4" s="348" t="s">
        <v>1038</v>
      </c>
      <c r="BO4" s="348" t="s">
        <v>1039</v>
      </c>
      <c r="BP4" s="348" t="s">
        <v>1040</v>
      </c>
      <c r="BQ4" s="350" t="s">
        <v>1041</v>
      </c>
      <c r="BR4" s="348" t="s">
        <v>1577</v>
      </c>
    </row>
    <row r="5" spans="1:70" x14ac:dyDescent="0.25">
      <c r="A5" s="348" t="s">
        <v>1042</v>
      </c>
      <c r="B5" s="348" t="s">
        <v>1043</v>
      </c>
      <c r="C5" s="348" t="s">
        <v>1578</v>
      </c>
      <c r="D5" s="348" t="s">
        <v>1579</v>
      </c>
      <c r="AI5" s="348">
        <v>33063.001587731567</v>
      </c>
      <c r="AJ5" s="348">
        <v>33993.207531344393</v>
      </c>
      <c r="AK5" s="348">
        <v>34371.162915051427</v>
      </c>
      <c r="AL5" s="348">
        <v>34540.335984878002</v>
      </c>
      <c r="AM5" s="348">
        <v>35490.721450046927</v>
      </c>
      <c r="AN5" s="348">
        <v>35386.860289205622</v>
      </c>
      <c r="AO5" s="348">
        <v>34419.431549713438</v>
      </c>
      <c r="AP5" s="348">
        <v>35444.578743759157</v>
      </c>
      <c r="AQ5" s="348">
        <v>35271.907090628752</v>
      </c>
      <c r="AR5" s="348">
        <v>35227.476576789988</v>
      </c>
      <c r="AS5" s="348">
        <v>37524.034601873747</v>
      </c>
      <c r="AT5" s="348">
        <v>38729.458823777888</v>
      </c>
      <c r="AU5" s="348">
        <v>38098.904832915832</v>
      </c>
      <c r="AV5" s="348">
        <v>38086.012376290942</v>
      </c>
      <c r="AW5" s="348">
        <v>40000.562518353181</v>
      </c>
      <c r="AX5" s="348">
        <v>38828.21663429989</v>
      </c>
      <c r="AY5" s="348">
        <v>38566.802675909777</v>
      </c>
      <c r="AZ5" s="348">
        <v>39462.585154751483</v>
      </c>
      <c r="BA5" s="348">
        <v>39881.587973388741</v>
      </c>
      <c r="BB5" s="348">
        <v>34986.148462277219</v>
      </c>
      <c r="BC5" s="348">
        <v>33951.624618274458</v>
      </c>
      <c r="BD5" s="348">
        <v>34837.940286998637</v>
      </c>
      <c r="BE5" s="348">
        <v>33972.340108256569</v>
      </c>
      <c r="BF5" s="348">
        <v>35621.784854640922</v>
      </c>
      <c r="BG5" s="348">
        <v>35746.863067976759</v>
      </c>
      <c r="BH5" s="348">
        <v>36660.631080838073</v>
      </c>
      <c r="BI5" s="348">
        <v>36832.904024297888</v>
      </c>
      <c r="BJ5" s="348">
        <v>38116.831099249852</v>
      </c>
      <c r="BK5" s="348">
        <v>39278.829727143777</v>
      </c>
      <c r="BL5" s="348">
        <v>39652.632070093918</v>
      </c>
      <c r="BM5" s="348">
        <v>30347.637185141681</v>
      </c>
      <c r="BN5" s="348">
        <v>35104.786803537441</v>
      </c>
      <c r="BO5" s="348">
        <v>38979.835824541238</v>
      </c>
      <c r="BP5" s="348">
        <v>41964.771190851483</v>
      </c>
      <c r="BQ5" s="350">
        <v>44558.928759417649</v>
      </c>
    </row>
    <row r="6" spans="1:70" x14ac:dyDescent="0.25">
      <c r="A6" s="348" t="s">
        <v>1046</v>
      </c>
      <c r="B6" s="348" t="s">
        <v>1047</v>
      </c>
      <c r="C6" s="348" t="s">
        <v>1578</v>
      </c>
      <c r="D6" s="348" t="s">
        <v>1579</v>
      </c>
      <c r="AI6" s="348">
        <v>3519.3175448124989</v>
      </c>
      <c r="AJ6" s="348">
        <v>3424.5002540335372</v>
      </c>
      <c r="AK6" s="348">
        <v>3251.6478056892252</v>
      </c>
      <c r="AL6" s="348">
        <v>3127.2935723296041</v>
      </c>
      <c r="AM6" s="348">
        <v>3099.3124397635552</v>
      </c>
      <c r="AN6" s="348">
        <v>3154.7909000239611</v>
      </c>
      <c r="AO6" s="348">
        <v>3246.825864997279</v>
      </c>
      <c r="AP6" s="348">
        <v>3291.2565650196461</v>
      </c>
      <c r="AQ6" s="348">
        <v>3269.0699511785911</v>
      </c>
      <c r="AR6" s="348">
        <v>3267.9627482306892</v>
      </c>
      <c r="AS6" s="348">
        <v>3281.922313558207</v>
      </c>
      <c r="AT6" s="348">
        <v>3313.421929073475</v>
      </c>
      <c r="AU6" s="348">
        <v>3350.1410646917861</v>
      </c>
      <c r="AV6" s="348">
        <v>3357.2448619419802</v>
      </c>
      <c r="AW6" s="348">
        <v>3457.1202221650492</v>
      </c>
      <c r="AX6" s="348">
        <v>3577.5858965779771</v>
      </c>
      <c r="AY6" s="348">
        <v>3718.0224132413159</v>
      </c>
      <c r="AZ6" s="348">
        <v>3866.7239528714722</v>
      </c>
      <c r="BA6" s="348">
        <v>3934.0842372865059</v>
      </c>
      <c r="BB6" s="348">
        <v>3869.99812557719</v>
      </c>
      <c r="BC6" s="348">
        <v>3976.0109891845791</v>
      </c>
      <c r="BD6" s="348">
        <v>4042.8424717578669</v>
      </c>
      <c r="BE6" s="348">
        <v>4061.6416352585852</v>
      </c>
      <c r="BF6" s="348">
        <v>4125.1825626303489</v>
      </c>
      <c r="BG6" s="348">
        <v>4185.2384110422936</v>
      </c>
      <c r="BH6" s="348">
        <v>4206.2529527043753</v>
      </c>
      <c r="BI6" s="348">
        <v>4202.2364158470718</v>
      </c>
      <c r="BJ6" s="348">
        <v>4214.3970852439761</v>
      </c>
      <c r="BK6" s="348">
        <v>4220.9125016884946</v>
      </c>
      <c r="BL6" s="348">
        <v>4195.8654178034412</v>
      </c>
      <c r="BM6" s="348">
        <v>3978.931394500954</v>
      </c>
      <c r="BN6" s="348">
        <v>4056.1130170012848</v>
      </c>
      <c r="BO6" s="348">
        <v>4106.5019069321934</v>
      </c>
      <c r="BP6" s="348">
        <v>4083.993002635073</v>
      </c>
      <c r="BQ6" s="350">
        <v>4106.434140350475</v>
      </c>
    </row>
    <row r="7" spans="1:70" x14ac:dyDescent="0.25">
      <c r="A7" s="348" t="s">
        <v>1048</v>
      </c>
      <c r="B7" s="348" t="s">
        <v>1049</v>
      </c>
      <c r="C7" s="348" t="s">
        <v>1578</v>
      </c>
      <c r="D7" s="348" t="s">
        <v>1579</v>
      </c>
      <c r="AS7" s="348">
        <v>1617.8264749496909</v>
      </c>
      <c r="AT7" s="348">
        <v>1454.110781955588</v>
      </c>
      <c r="AU7" s="348">
        <v>1774.3087428734109</v>
      </c>
      <c r="AV7" s="348">
        <v>1815.928199795861</v>
      </c>
      <c r="AW7" s="348">
        <v>1776.918207121875</v>
      </c>
      <c r="AX7" s="348">
        <v>1908.114782345873</v>
      </c>
      <c r="AY7" s="348">
        <v>1929.723897093719</v>
      </c>
      <c r="AZ7" s="348">
        <v>2155.3530678441339</v>
      </c>
      <c r="BA7" s="348">
        <v>2191.5043555906159</v>
      </c>
      <c r="BB7" s="348">
        <v>2565.0220858409912</v>
      </c>
      <c r="BC7" s="348">
        <v>2848.5860611149542</v>
      </c>
      <c r="BD7" s="348">
        <v>2757.0525874772529</v>
      </c>
      <c r="BE7" s="348">
        <v>2985.3191445284492</v>
      </c>
      <c r="BF7" s="348">
        <v>3046.5799311712831</v>
      </c>
      <c r="BG7" s="348">
        <v>3017.942544246961</v>
      </c>
      <c r="BH7" s="348">
        <v>2967.6920671530029</v>
      </c>
      <c r="BI7" s="348">
        <v>2958.7853992307951</v>
      </c>
      <c r="BJ7" s="348">
        <v>2952.998915989087</v>
      </c>
      <c r="BK7" s="348">
        <v>2902.3921128554612</v>
      </c>
      <c r="BL7" s="348">
        <v>2927.2451435353018</v>
      </c>
      <c r="BM7" s="348">
        <v>2769.68574507111</v>
      </c>
      <c r="BN7" s="348">
        <v>2144.1665700281878</v>
      </c>
      <c r="BO7" s="348">
        <v>1981.710168105611</v>
      </c>
      <c r="BP7" s="348">
        <v>1983.8126199290871</v>
      </c>
    </row>
    <row r="8" spans="1:70" x14ac:dyDescent="0.25">
      <c r="A8" s="348" t="s">
        <v>1050</v>
      </c>
      <c r="B8" s="348" t="s">
        <v>1051</v>
      </c>
      <c r="C8" s="348" t="s">
        <v>1578</v>
      </c>
      <c r="D8" s="348" t="s">
        <v>1579</v>
      </c>
      <c r="AI8" s="348">
        <v>4159.7321017395971</v>
      </c>
      <c r="AJ8" s="348">
        <v>4095.4715299922518</v>
      </c>
      <c r="AK8" s="348">
        <v>4084.131428735986</v>
      </c>
      <c r="AL8" s="348">
        <v>3922.475631674909</v>
      </c>
      <c r="AM8" s="348">
        <v>3806.7566137109411</v>
      </c>
      <c r="AN8" s="348">
        <v>3769.0663279524988</v>
      </c>
      <c r="AO8" s="348">
        <v>3836.3777170552212</v>
      </c>
      <c r="AP8" s="348">
        <v>3890.140323513308</v>
      </c>
      <c r="AQ8" s="348">
        <v>3917.453753537844</v>
      </c>
      <c r="AR8" s="348">
        <v>3869.0558780466358</v>
      </c>
      <c r="AS8" s="348">
        <v>3910.0623649042768</v>
      </c>
      <c r="AT8" s="348">
        <v>4004.9577778176758</v>
      </c>
      <c r="AU8" s="348">
        <v>4293.8235058677628</v>
      </c>
      <c r="AV8" s="348">
        <v>4417.3690094368894</v>
      </c>
      <c r="AW8" s="348">
        <v>4642.0267480612174</v>
      </c>
      <c r="AX8" s="348">
        <v>4775.6034337863784</v>
      </c>
      <c r="AY8" s="348">
        <v>4892.6919387929347</v>
      </c>
      <c r="AZ8" s="348">
        <v>5016.7706265053348</v>
      </c>
      <c r="BA8" s="348">
        <v>5181.8092768246997</v>
      </c>
      <c r="BB8" s="348">
        <v>5355.4402271377694</v>
      </c>
      <c r="BC8" s="348">
        <v>5575.8352710513946</v>
      </c>
      <c r="BD8" s="348">
        <v>5691.7051383969356</v>
      </c>
      <c r="BE8" s="348">
        <v>5816.2757154030141</v>
      </c>
      <c r="BF8" s="348">
        <v>6001.870157895336</v>
      </c>
      <c r="BG8" s="348">
        <v>6174.7033157307633</v>
      </c>
      <c r="BH8" s="348">
        <v>6185.2492330694349</v>
      </c>
      <c r="BI8" s="348">
        <v>6026.1602034352854</v>
      </c>
      <c r="BJ8" s="348">
        <v>5999.7447797538916</v>
      </c>
      <c r="BK8" s="348">
        <v>6016.3122172004587</v>
      </c>
      <c r="BL8" s="348">
        <v>6059.6060238084256</v>
      </c>
      <c r="BM8" s="348">
        <v>5687.8499877423337</v>
      </c>
      <c r="BN8" s="348">
        <v>5690.9677432430744</v>
      </c>
      <c r="BO8" s="348">
        <v>5806.1728900610078</v>
      </c>
      <c r="BP8" s="348">
        <v>5874.9510798372949</v>
      </c>
      <c r="BQ8" s="350">
        <v>5996.3957355567063</v>
      </c>
    </row>
    <row r="9" spans="1:70" x14ac:dyDescent="0.25">
      <c r="A9" s="348" t="s">
        <v>1052</v>
      </c>
      <c r="B9" s="348" t="s">
        <v>1053</v>
      </c>
      <c r="C9" s="348" t="s">
        <v>1578</v>
      </c>
      <c r="D9" s="348" t="s">
        <v>1579</v>
      </c>
      <c r="AI9" s="348">
        <v>8368.7228786556552</v>
      </c>
      <c r="AJ9" s="348">
        <v>8172.5053908090631</v>
      </c>
      <c r="AK9" s="348">
        <v>7447.4942268413897</v>
      </c>
      <c r="AL9" s="348">
        <v>5483.2775112636546</v>
      </c>
      <c r="AM9" s="348">
        <v>5379.4753387249148</v>
      </c>
      <c r="AN9" s="348">
        <v>5983.1842169111642</v>
      </c>
      <c r="AO9" s="348">
        <v>6567.677782598993</v>
      </c>
      <c r="AP9" s="348">
        <v>6810.2162221222607</v>
      </c>
      <c r="AQ9" s="348">
        <v>6895.0260053771117</v>
      </c>
      <c r="AR9" s="348">
        <v>6817.0571355000839</v>
      </c>
      <c r="AS9" s="348">
        <v>6796.4063395801331</v>
      </c>
      <c r="AT9" s="348">
        <v>6848.6832551449797</v>
      </c>
      <c r="AU9" s="348">
        <v>7523.8129148804182</v>
      </c>
      <c r="AV9" s="348">
        <v>7518.8894831450498</v>
      </c>
      <c r="AW9" s="348">
        <v>8081.7570795267229</v>
      </c>
      <c r="AX9" s="348">
        <v>8895.3766046103628</v>
      </c>
      <c r="AY9" s="348">
        <v>9588.8223886096221</v>
      </c>
      <c r="AZ9" s="348">
        <v>10437.589989717881</v>
      </c>
      <c r="BA9" s="348">
        <v>11134.70471836662</v>
      </c>
      <c r="BB9" s="348">
        <v>10933.271218798871</v>
      </c>
      <c r="BC9" s="348">
        <v>11077.13019194049</v>
      </c>
      <c r="BD9" s="348">
        <v>11037.638877857709</v>
      </c>
      <c r="BE9" s="348">
        <v>11519.99338633642</v>
      </c>
      <c r="BF9" s="348">
        <v>11626.18772184845</v>
      </c>
      <c r="BG9" s="348">
        <v>11721.66441563397</v>
      </c>
      <c r="BH9" s="348">
        <v>11392.905934493159</v>
      </c>
      <c r="BI9" s="348">
        <v>10805.712253366701</v>
      </c>
      <c r="BJ9" s="348">
        <v>10414.23588429868</v>
      </c>
      <c r="BK9" s="348">
        <v>10000.944377250889</v>
      </c>
      <c r="BL9" s="348">
        <v>9648.0110376717785</v>
      </c>
      <c r="BM9" s="348">
        <v>8960.3379724238894</v>
      </c>
      <c r="BN9" s="348">
        <v>8862.2813331452089</v>
      </c>
      <c r="BO9" s="348">
        <v>8950.142592551425</v>
      </c>
      <c r="BP9" s="348">
        <v>8788.2610643963526</v>
      </c>
      <c r="BQ9" s="350">
        <v>8901.8873661156249</v>
      </c>
    </row>
    <row r="10" spans="1:70" x14ac:dyDescent="0.25">
      <c r="A10" s="348" t="s">
        <v>1054</v>
      </c>
      <c r="B10" s="348" t="s">
        <v>1055</v>
      </c>
      <c r="C10" s="348" t="s">
        <v>1578</v>
      </c>
      <c r="D10" s="348" t="s">
        <v>1579</v>
      </c>
      <c r="AI10" s="348">
        <v>5560.8569956640886</v>
      </c>
      <c r="AJ10" s="348">
        <v>4027.9055107853092</v>
      </c>
      <c r="AK10" s="348">
        <v>3761.1554057654098</v>
      </c>
      <c r="AL10" s="348">
        <v>4145.9196983449419</v>
      </c>
      <c r="AM10" s="348">
        <v>4517.7988138411501</v>
      </c>
      <c r="AN10" s="348">
        <v>5151.3973248442253</v>
      </c>
      <c r="AO10" s="348">
        <v>5563.7931508201127</v>
      </c>
      <c r="AP10" s="348">
        <v>4943.0039987111813</v>
      </c>
      <c r="AQ10" s="348">
        <v>5387.568229589182</v>
      </c>
      <c r="AR10" s="348">
        <v>6086.0086356137426</v>
      </c>
      <c r="AS10" s="348">
        <v>6582.0163879086904</v>
      </c>
      <c r="AT10" s="348">
        <v>7232.9905495526673</v>
      </c>
      <c r="AU10" s="348">
        <v>7590.4900013763599</v>
      </c>
      <c r="AV10" s="348">
        <v>8025.2813131489547</v>
      </c>
      <c r="AW10" s="348">
        <v>8483.2939955302791</v>
      </c>
      <c r="AX10" s="348">
        <v>8964.3179970286274</v>
      </c>
      <c r="AY10" s="348">
        <v>9564.0292033683891</v>
      </c>
      <c r="AZ10" s="348">
        <v>10262.96679620485</v>
      </c>
      <c r="BA10" s="348">
        <v>11056.351767790729</v>
      </c>
      <c r="BB10" s="348">
        <v>11430.622033608921</v>
      </c>
      <c r="BC10" s="348">
        <v>11829.05329179231</v>
      </c>
      <c r="BD10" s="348">
        <v>12153.11405788079</v>
      </c>
      <c r="BE10" s="348">
        <v>12463.5700560026</v>
      </c>
      <c r="BF10" s="348">
        <v>12873.483204464919</v>
      </c>
      <c r="BG10" s="348">
        <v>13366.559525648931</v>
      </c>
      <c r="BH10" s="348">
        <v>13876.81917653004</v>
      </c>
      <c r="BI10" s="348">
        <v>14643.489287706299</v>
      </c>
      <c r="BJ10" s="348">
        <v>15359.461153057069</v>
      </c>
      <c r="BK10" s="348">
        <v>16170.99049327799</v>
      </c>
      <c r="BL10" s="348">
        <v>16761.19252617257</v>
      </c>
      <c r="BM10" s="348">
        <v>16457.787224588221</v>
      </c>
      <c r="BN10" s="348">
        <v>18212.870246668619</v>
      </c>
      <c r="BO10" s="348">
        <v>19388.873133174351</v>
      </c>
      <c r="BP10" s="348">
        <v>20481.03583982262</v>
      </c>
      <c r="BQ10" s="350">
        <v>21641.073322392109</v>
      </c>
    </row>
    <row r="11" spans="1:70" x14ac:dyDescent="0.25">
      <c r="A11" s="348" t="s">
        <v>1056</v>
      </c>
      <c r="B11" s="348" t="s">
        <v>1057</v>
      </c>
      <c r="C11" s="348" t="s">
        <v>1578</v>
      </c>
      <c r="D11" s="348" t="s">
        <v>1579</v>
      </c>
      <c r="AI11" s="348">
        <v>50036.300775756114</v>
      </c>
      <c r="AJ11" s="348">
        <v>47624.966857354171</v>
      </c>
      <c r="AK11" s="348">
        <v>45246.533071009981</v>
      </c>
      <c r="AL11" s="348">
        <v>42605.659583245062</v>
      </c>
      <c r="AM11" s="348">
        <v>42716.365635399983</v>
      </c>
      <c r="AN11" s="348">
        <v>44375.024723815928</v>
      </c>
      <c r="AO11" s="348">
        <v>46386.091202248528</v>
      </c>
      <c r="AP11" s="348">
        <v>50032.352912512819</v>
      </c>
      <c r="AQ11" s="348">
        <v>51092.222235221823</v>
      </c>
      <c r="AR11" s="348">
        <v>52921.04526098456</v>
      </c>
      <c r="AS11" s="348">
        <v>54809.144167942301</v>
      </c>
      <c r="AT11" s="348">
        <v>59109.013680637792</v>
      </c>
      <c r="AU11" s="348">
        <v>61188.637085147428</v>
      </c>
      <c r="AV11" s="348">
        <v>63656.195833218422</v>
      </c>
      <c r="AW11" s="348">
        <v>64353.485811353072</v>
      </c>
      <c r="AX11" s="348">
        <v>65114.805366302127</v>
      </c>
      <c r="AY11" s="348">
        <v>66390.293726491</v>
      </c>
      <c r="AZ11" s="348">
        <v>65534.116855517117</v>
      </c>
      <c r="BA11" s="348">
        <v>60691.605153063683</v>
      </c>
      <c r="BB11" s="348">
        <v>57203.970888373129</v>
      </c>
      <c r="BC11" s="348">
        <v>58285.057775698071</v>
      </c>
      <c r="BD11" s="348">
        <v>60470.46623770443</v>
      </c>
      <c r="BE11" s="348">
        <v>58172.132392947417</v>
      </c>
      <c r="BF11" s="348">
        <v>57332.158561136552</v>
      </c>
      <c r="BG11" s="348">
        <v>59929.244467050114</v>
      </c>
      <c r="BH11" s="348">
        <v>62105.154238967487</v>
      </c>
      <c r="BI11" s="348">
        <v>64402.809236946763</v>
      </c>
      <c r="BJ11" s="348">
        <v>63239.65777119108</v>
      </c>
      <c r="BK11" s="348">
        <v>63048.598557283367</v>
      </c>
      <c r="BL11" s="348">
        <v>63215.899791912983</v>
      </c>
      <c r="BM11" s="348">
        <v>55488.490299109508</v>
      </c>
      <c r="BN11" s="348">
        <v>59332.202910012718</v>
      </c>
      <c r="BO11" s="348">
        <v>63913.38350791049</v>
      </c>
      <c r="BP11" s="348">
        <v>64631.29639092712</v>
      </c>
      <c r="BQ11" s="350">
        <v>65928.307197100352</v>
      </c>
    </row>
    <row r="12" spans="1:70" x14ac:dyDescent="0.25">
      <c r="A12" s="348" t="s">
        <v>1058</v>
      </c>
      <c r="B12" s="348" t="s">
        <v>1059</v>
      </c>
      <c r="C12" s="348" t="s">
        <v>1578</v>
      </c>
      <c r="D12" s="348" t="s">
        <v>1579</v>
      </c>
      <c r="AI12" s="348">
        <v>11329.85813180753</v>
      </c>
      <c r="AJ12" s="348">
        <v>10900.168931644401</v>
      </c>
      <c r="AK12" s="348">
        <v>11300.378251978131</v>
      </c>
      <c r="AL12" s="348">
        <v>11345.826026816099</v>
      </c>
      <c r="AM12" s="348">
        <v>11379.01461695248</v>
      </c>
      <c r="AN12" s="348">
        <v>11410.58723134852</v>
      </c>
      <c r="AO12" s="348">
        <v>11697.793018776531</v>
      </c>
      <c r="AP12" s="348">
        <v>12027.92530904987</v>
      </c>
      <c r="AQ12" s="348">
        <v>12380.281677456091</v>
      </c>
      <c r="AR12" s="348">
        <v>12464.55431638039</v>
      </c>
      <c r="AS12" s="348">
        <v>12917.034241881731</v>
      </c>
      <c r="AT12" s="348">
        <v>12895.21352241557</v>
      </c>
      <c r="AU12" s="348">
        <v>12743.06947811315</v>
      </c>
      <c r="AV12" s="348">
        <v>12871.70319545715</v>
      </c>
      <c r="AW12" s="348">
        <v>13703.85132550516</v>
      </c>
      <c r="AX12" s="348">
        <v>14096.69780984627</v>
      </c>
      <c r="AY12" s="348">
        <v>14584.20365640502</v>
      </c>
      <c r="AZ12" s="348">
        <v>14885.400831288511</v>
      </c>
      <c r="BA12" s="348">
        <v>15342.624351125191</v>
      </c>
      <c r="BB12" s="348">
        <v>15154.795046656531</v>
      </c>
      <c r="BC12" s="348">
        <v>15570.139810078959</v>
      </c>
      <c r="BD12" s="348">
        <v>15896.53974551172</v>
      </c>
      <c r="BE12" s="348">
        <v>16141.59729756321</v>
      </c>
      <c r="BF12" s="348">
        <v>16084.05407466436</v>
      </c>
      <c r="BG12" s="348">
        <v>16145.889846454391</v>
      </c>
      <c r="BH12" s="348">
        <v>16371.0585517114</v>
      </c>
      <c r="BI12" s="348">
        <v>16606.24699020245</v>
      </c>
      <c r="BJ12" s="348">
        <v>16542.57602341098</v>
      </c>
      <c r="BK12" s="348">
        <v>16723.819361980219</v>
      </c>
      <c r="BL12" s="348">
        <v>16782.382332277029</v>
      </c>
      <c r="BM12" s="348">
        <v>15739.007645376019</v>
      </c>
      <c r="BN12" s="348">
        <v>16164.65191373464</v>
      </c>
      <c r="BO12" s="348">
        <v>16905.490274958309</v>
      </c>
      <c r="BP12" s="348">
        <v>16802.323089891299</v>
      </c>
      <c r="BQ12" s="350">
        <v>16744.20059179965</v>
      </c>
    </row>
    <row r="13" spans="1:70" x14ac:dyDescent="0.25">
      <c r="A13" s="348" t="s">
        <v>1060</v>
      </c>
      <c r="B13" s="348" t="s">
        <v>1061</v>
      </c>
      <c r="C13" s="348" t="s">
        <v>1578</v>
      </c>
      <c r="D13" s="348" t="s">
        <v>1579</v>
      </c>
      <c r="AI13" s="348">
        <v>111377.0468901829</v>
      </c>
      <c r="AJ13" s="348">
        <v>106266.19369358011</v>
      </c>
      <c r="AK13" s="348">
        <v>104206.7548907633</v>
      </c>
      <c r="AL13" s="348">
        <v>100422.6315220375</v>
      </c>
      <c r="AM13" s="348">
        <v>102456.1047200733</v>
      </c>
      <c r="AN13" s="348">
        <v>104527.92304577021</v>
      </c>
      <c r="AO13" s="348">
        <v>103653.4730608869</v>
      </c>
      <c r="AP13" s="348">
        <v>103392.4399579771</v>
      </c>
      <c r="AQ13" s="348">
        <v>96088.492531735697</v>
      </c>
      <c r="AR13" s="348">
        <v>92047.594582348931</v>
      </c>
      <c r="AS13" s="348">
        <v>95390.701364231631</v>
      </c>
      <c r="AT13" s="348">
        <v>90750.346932938643</v>
      </c>
      <c r="AU13" s="348">
        <v>87479.24488971151</v>
      </c>
      <c r="AV13" s="348">
        <v>89828.555395832009</v>
      </c>
      <c r="AW13" s="348">
        <v>93166.144976772222</v>
      </c>
      <c r="AX13" s="348">
        <v>92750.914860428878</v>
      </c>
      <c r="AY13" s="348">
        <v>94872.539198550148</v>
      </c>
      <c r="AZ13" s="348">
        <v>87180.605904865777</v>
      </c>
      <c r="BA13" s="348">
        <v>80285.185202870518</v>
      </c>
      <c r="BB13" s="348">
        <v>71488.990960362164</v>
      </c>
      <c r="BC13" s="348">
        <v>70913.77803950799</v>
      </c>
      <c r="BD13" s="348">
        <v>73190.397379207468</v>
      </c>
      <c r="BE13" s="348">
        <v>73644.05321432573</v>
      </c>
      <c r="BF13" s="348">
        <v>74237.221447849573</v>
      </c>
      <c r="BG13" s="348">
        <v>74145.109370646227</v>
      </c>
      <c r="BH13" s="348">
        <v>75238.553991347726</v>
      </c>
      <c r="BI13" s="348">
        <v>75671.056437859588</v>
      </c>
      <c r="BJ13" s="348">
        <v>72529.057105017375</v>
      </c>
      <c r="BK13" s="348">
        <v>72671.065234975118</v>
      </c>
      <c r="BL13" s="348">
        <v>72822.969940695024</v>
      </c>
      <c r="BM13" s="348">
        <v>66808.647756019054</v>
      </c>
      <c r="BN13" s="348">
        <v>68580.148542348281</v>
      </c>
      <c r="BO13" s="348">
        <v>70075.630005337152</v>
      </c>
      <c r="BP13" s="348">
        <v>70239.855285507176</v>
      </c>
      <c r="BQ13" s="350">
        <v>69701.80479835454</v>
      </c>
    </row>
    <row r="14" spans="1:70" x14ac:dyDescent="0.25">
      <c r="A14" s="348" t="s">
        <v>1062</v>
      </c>
      <c r="B14" s="348" t="s">
        <v>1063</v>
      </c>
      <c r="C14" s="348" t="s">
        <v>1578</v>
      </c>
      <c r="D14" s="348" t="s">
        <v>1579</v>
      </c>
      <c r="AI14" s="348">
        <v>17007.284431719068</v>
      </c>
      <c r="AJ14" s="348">
        <v>18295.609199681159</v>
      </c>
      <c r="AK14" s="348">
        <v>19476.284060647678</v>
      </c>
      <c r="AL14" s="348">
        <v>20791.34514795036</v>
      </c>
      <c r="AM14" s="348">
        <v>21711.842788090958</v>
      </c>
      <c r="AN14" s="348">
        <v>20819.499947990291</v>
      </c>
      <c r="AO14" s="348">
        <v>21695.59495153715</v>
      </c>
      <c r="AP14" s="348">
        <v>23172.15833983423</v>
      </c>
      <c r="AQ14" s="348">
        <v>23783.101718544862</v>
      </c>
      <c r="AR14" s="348">
        <v>22714.511130270141</v>
      </c>
      <c r="AS14" s="348">
        <v>22281.381429995748</v>
      </c>
      <c r="AT14" s="348">
        <v>21066.458129043251</v>
      </c>
      <c r="AU14" s="348">
        <v>18571.702047127419</v>
      </c>
      <c r="AV14" s="348">
        <v>20005.13851134646</v>
      </c>
      <c r="AW14" s="348">
        <v>21591.449396516979</v>
      </c>
      <c r="AX14" s="348">
        <v>23262.407579281578</v>
      </c>
      <c r="AY14" s="348">
        <v>24877.249392229551</v>
      </c>
      <c r="AZ14" s="348">
        <v>26850.66459327707</v>
      </c>
      <c r="BA14" s="348">
        <v>27658.485344683129</v>
      </c>
      <c r="BB14" s="348">
        <v>25747.19768099947</v>
      </c>
      <c r="BC14" s="348">
        <v>28056.257021234182</v>
      </c>
      <c r="BD14" s="348">
        <v>29425.759387608399</v>
      </c>
      <c r="BE14" s="348">
        <v>28825.966686536081</v>
      </c>
      <c r="BF14" s="348">
        <v>29227.66018184373</v>
      </c>
      <c r="BG14" s="348">
        <v>28200.815257131831</v>
      </c>
      <c r="BH14" s="348">
        <v>28669.206133679611</v>
      </c>
      <c r="BI14" s="348">
        <v>27802.105720149761</v>
      </c>
      <c r="BJ14" s="348">
        <v>28334.904184742001</v>
      </c>
      <c r="BK14" s="348">
        <v>27367.11509410798</v>
      </c>
      <c r="BL14" s="348">
        <v>26629.552941950049</v>
      </c>
      <c r="BM14" s="348">
        <v>23877.09314048554</v>
      </c>
      <c r="BN14" s="348">
        <v>26300.27426117504</v>
      </c>
      <c r="BO14" s="348">
        <v>27825.027349256699</v>
      </c>
      <c r="BP14" s="348">
        <v>27230.396849668188</v>
      </c>
      <c r="BQ14" s="350">
        <v>26771.965765057081</v>
      </c>
    </row>
    <row r="15" spans="1:70" x14ac:dyDescent="0.25">
      <c r="A15" s="348" t="s">
        <v>1064</v>
      </c>
      <c r="B15" s="348" t="s">
        <v>1065</v>
      </c>
      <c r="C15" s="348" t="s">
        <v>1578</v>
      </c>
      <c r="D15" s="348" t="s">
        <v>1579</v>
      </c>
      <c r="AI15" s="348">
        <v>6137.6004578676057</v>
      </c>
      <c r="AJ15" s="348">
        <v>5326.7528555823556</v>
      </c>
      <c r="AK15" s="348">
        <v>3136.724282605262</v>
      </c>
      <c r="AL15" s="348">
        <v>2958.8803718564682</v>
      </c>
      <c r="AM15" s="348">
        <v>3200.8964946856859</v>
      </c>
      <c r="AN15" s="348">
        <v>3480.7559365250982</v>
      </c>
      <c r="AO15" s="348">
        <v>3717.3357652276218</v>
      </c>
      <c r="AP15" s="348">
        <v>3879.179380096783</v>
      </c>
      <c r="AQ15" s="348">
        <v>4211.5127677879682</v>
      </c>
      <c r="AR15" s="348">
        <v>4406.9670671861786</v>
      </c>
      <c r="AS15" s="348">
        <v>4589.0082503997692</v>
      </c>
      <c r="AT15" s="348">
        <v>5044.1164782646783</v>
      </c>
      <c r="AU15" s="348">
        <v>5731.3534660921268</v>
      </c>
      <c r="AV15" s="348">
        <v>6569.2602344063134</v>
      </c>
      <c r="AW15" s="348">
        <v>7299.4000185886553</v>
      </c>
      <c r="AX15" s="348">
        <v>8362.9008403711923</v>
      </c>
      <c r="AY15" s="348">
        <v>9525.2314677977847</v>
      </c>
      <c r="AZ15" s="348">
        <v>10898.84837956342</v>
      </c>
      <c r="BA15" s="348">
        <v>11727.482127294899</v>
      </c>
      <c r="BB15" s="348">
        <v>10143.23507968671</v>
      </c>
      <c r="BC15" s="348">
        <v>10438.564190416901</v>
      </c>
      <c r="BD15" s="348">
        <v>10990.177099035011</v>
      </c>
      <c r="BE15" s="348">
        <v>11796.274117799439</v>
      </c>
      <c r="BF15" s="348">
        <v>12194.018952384289</v>
      </c>
      <c r="BG15" s="348">
        <v>12667.375733024919</v>
      </c>
      <c r="BH15" s="348">
        <v>13112.760090291529</v>
      </c>
      <c r="BI15" s="348">
        <v>13192.994073173129</v>
      </c>
      <c r="BJ15" s="348">
        <v>14243.874900379489</v>
      </c>
      <c r="BK15" s="348">
        <v>15037.045242071201</v>
      </c>
      <c r="BL15" s="348">
        <v>16215.360796509411</v>
      </c>
      <c r="BM15" s="348">
        <v>15052.93597911361</v>
      </c>
      <c r="BN15" s="348">
        <v>15921.705281964019</v>
      </c>
      <c r="BO15" s="348">
        <v>17886.17838771678</v>
      </c>
      <c r="BP15" s="348">
        <v>19402.751091557839</v>
      </c>
      <c r="BQ15" s="350">
        <v>20078.78489848438</v>
      </c>
    </row>
    <row r="16" spans="1:70" x14ac:dyDescent="0.25">
      <c r="A16" s="348" t="s">
        <v>1066</v>
      </c>
      <c r="B16" s="348" t="s">
        <v>1067</v>
      </c>
      <c r="C16" s="348" t="s">
        <v>1578</v>
      </c>
      <c r="D16" s="348" t="s">
        <v>1579</v>
      </c>
    </row>
    <row r="17" spans="1:69" x14ac:dyDescent="0.25">
      <c r="A17" s="348" t="s">
        <v>1068</v>
      </c>
      <c r="B17" s="348" t="s">
        <v>1069</v>
      </c>
      <c r="C17" s="348" t="s">
        <v>1578</v>
      </c>
      <c r="D17" s="348" t="s">
        <v>1579</v>
      </c>
      <c r="AI17" s="348">
        <v>21074.576436089959</v>
      </c>
      <c r="AJ17" s="348">
        <v>21424.291187146129</v>
      </c>
      <c r="AK17" s="348">
        <v>21330.27319185275</v>
      </c>
      <c r="AL17" s="348">
        <v>22051.43732042611</v>
      </c>
      <c r="AM17" s="348">
        <v>23081.663912352851</v>
      </c>
      <c r="AN17" s="348">
        <v>21639.602064085419</v>
      </c>
      <c r="AO17" s="348">
        <v>22597.31450681603</v>
      </c>
      <c r="AP17" s="348">
        <v>23350.30938651695</v>
      </c>
      <c r="AQ17" s="348">
        <v>23996.11440413665</v>
      </c>
      <c r="AR17" s="348">
        <v>24462.203402241179</v>
      </c>
      <c r="AS17" s="348">
        <v>25547.612027367861</v>
      </c>
      <c r="AT17" s="348">
        <v>24014.775459351069</v>
      </c>
      <c r="AU17" s="348">
        <v>23958.16381420707</v>
      </c>
      <c r="AV17" s="348">
        <v>25136.001691807011</v>
      </c>
      <c r="AW17" s="348">
        <v>26303.617904660521</v>
      </c>
      <c r="AX17" s="348">
        <v>27692.634871178019</v>
      </c>
      <c r="AY17" s="348">
        <v>30827.34167549156</v>
      </c>
      <c r="AZ17" s="348">
        <v>33245.267860676548</v>
      </c>
      <c r="BA17" s="348">
        <v>32756.306783975331</v>
      </c>
      <c r="BB17" s="348">
        <v>28405.690092952351</v>
      </c>
      <c r="BC17" s="348">
        <v>25826.608638323509</v>
      </c>
      <c r="BD17" s="348">
        <v>25023.917448817861</v>
      </c>
      <c r="BE17" s="348">
        <v>25592.90661217349</v>
      </c>
      <c r="BF17" s="348">
        <v>25206.8458285339</v>
      </c>
      <c r="BG17" s="348">
        <v>25557.524912471548</v>
      </c>
      <c r="BH17" s="348">
        <v>25734.151644417121</v>
      </c>
      <c r="BI17" s="348">
        <v>26627.714538940039</v>
      </c>
      <c r="BJ17" s="348">
        <v>27199.195240226181</v>
      </c>
      <c r="BK17" s="348">
        <v>28878.60676754708</v>
      </c>
      <c r="BL17" s="348">
        <v>29651.864152670511</v>
      </c>
      <c r="BM17" s="348">
        <v>23930.671499511482</v>
      </c>
      <c r="BN17" s="348">
        <v>25745.495806774619</v>
      </c>
      <c r="BO17" s="348">
        <v>27941.785147476239</v>
      </c>
      <c r="BP17" s="348">
        <v>28474.04441781807</v>
      </c>
      <c r="BQ17" s="350">
        <v>29371.63777858605</v>
      </c>
    </row>
    <row r="18" spans="1:69" x14ac:dyDescent="0.25">
      <c r="A18" s="348" t="s">
        <v>1070</v>
      </c>
      <c r="B18" s="348" t="s">
        <v>1071</v>
      </c>
      <c r="C18" s="348" t="s">
        <v>1578</v>
      </c>
      <c r="D18" s="348" t="s">
        <v>1579</v>
      </c>
      <c r="AI18" s="348">
        <v>36267.74105922343</v>
      </c>
      <c r="AJ18" s="348">
        <v>35670.667863730923</v>
      </c>
      <c r="AK18" s="348">
        <v>35426.284828900752</v>
      </c>
      <c r="AL18" s="348">
        <v>36533.146828345103</v>
      </c>
      <c r="AM18" s="348">
        <v>37622.65247729385</v>
      </c>
      <c r="AN18" s="348">
        <v>38653.336677865736</v>
      </c>
      <c r="AO18" s="348">
        <v>39663.161772816798</v>
      </c>
      <c r="AP18" s="348">
        <v>40773.56605165184</v>
      </c>
      <c r="AQ18" s="348">
        <v>42257.171812239467</v>
      </c>
      <c r="AR18" s="348">
        <v>43899.073794405012</v>
      </c>
      <c r="AS18" s="348">
        <v>45099.07520970836</v>
      </c>
      <c r="AT18" s="348">
        <v>45428.20008375794</v>
      </c>
      <c r="AU18" s="348">
        <v>46688.394776063258</v>
      </c>
      <c r="AV18" s="348">
        <v>47581.228534587943</v>
      </c>
      <c r="AW18" s="348">
        <v>49061.276150392478</v>
      </c>
      <c r="AX18" s="348">
        <v>49997.066495394109</v>
      </c>
      <c r="AY18" s="348">
        <v>50693.724864979828</v>
      </c>
      <c r="AZ18" s="348">
        <v>51663.240395388057</v>
      </c>
      <c r="BA18" s="348">
        <v>52473.381916077247</v>
      </c>
      <c r="BB18" s="348">
        <v>52407.911537858439</v>
      </c>
      <c r="BC18" s="348">
        <v>52739.268155613303</v>
      </c>
      <c r="BD18" s="348">
        <v>53257.047323760307</v>
      </c>
      <c r="BE18" s="348">
        <v>54403.883690243303</v>
      </c>
      <c r="BF18" s="348">
        <v>54895.005258898433</v>
      </c>
      <c r="BG18" s="348">
        <v>55489.068844146037</v>
      </c>
      <c r="BH18" s="348">
        <v>55879.995881710267</v>
      </c>
      <c r="BI18" s="348">
        <v>56529.951824687028</v>
      </c>
      <c r="BJ18" s="348">
        <v>56881.856985910388</v>
      </c>
      <c r="BK18" s="348">
        <v>57647.845506810503</v>
      </c>
      <c r="BL18" s="348">
        <v>58048.618842083139</v>
      </c>
      <c r="BM18" s="348">
        <v>57260.465053010841</v>
      </c>
      <c r="BN18" s="348">
        <v>58327.414684232477</v>
      </c>
      <c r="BO18" s="348">
        <v>60029.13291907325</v>
      </c>
      <c r="BP18" s="348">
        <v>60684.959620488291</v>
      </c>
      <c r="BQ18" s="350">
        <v>60303.981711624452</v>
      </c>
    </row>
    <row r="19" spans="1:69" x14ac:dyDescent="0.25">
      <c r="A19" s="348" t="s">
        <v>1072</v>
      </c>
      <c r="B19" s="348" t="s">
        <v>1073</v>
      </c>
      <c r="C19" s="348" t="s">
        <v>1578</v>
      </c>
      <c r="D19" s="348" t="s">
        <v>1579</v>
      </c>
      <c r="AI19" s="348">
        <v>43258.175106805487</v>
      </c>
      <c r="AJ19" s="348">
        <v>44302.421470471993</v>
      </c>
      <c r="AK19" s="348">
        <v>44734.853884980323</v>
      </c>
      <c r="AL19" s="348">
        <v>44601.206809138806</v>
      </c>
      <c r="AM19" s="348">
        <v>45497.138593099677</v>
      </c>
      <c r="AN19" s="348">
        <v>46639.532183901923</v>
      </c>
      <c r="AO19" s="348">
        <v>47608.631097816447</v>
      </c>
      <c r="AP19" s="348">
        <v>48575.158872100612</v>
      </c>
      <c r="AQ19" s="348">
        <v>50216.698689412427</v>
      </c>
      <c r="AR19" s="348">
        <v>52004.532752387408</v>
      </c>
      <c r="AS19" s="348">
        <v>53534.342105542237</v>
      </c>
      <c r="AT19" s="348">
        <v>54032.151561271217</v>
      </c>
      <c r="AU19" s="348">
        <v>54565.076985128733</v>
      </c>
      <c r="AV19" s="348">
        <v>54919.787251239613</v>
      </c>
      <c r="AW19" s="348">
        <v>55980.231714601337</v>
      </c>
      <c r="AX19" s="348">
        <v>56890.279443382919</v>
      </c>
      <c r="AY19" s="348">
        <v>58460.237078247439</v>
      </c>
      <c r="AZ19" s="348">
        <v>60470.909990671447</v>
      </c>
      <c r="BA19" s="348">
        <v>61157.987310568402</v>
      </c>
      <c r="BB19" s="348">
        <v>58810.442202087172</v>
      </c>
      <c r="BC19" s="348">
        <v>59730.551200563517</v>
      </c>
      <c r="BD19" s="348">
        <v>61272.25843977747</v>
      </c>
      <c r="BE19" s="348">
        <v>61376.720713105417</v>
      </c>
      <c r="BF19" s="348">
        <v>60863.054766696507</v>
      </c>
      <c r="BG19" s="348">
        <v>60845.659772981468</v>
      </c>
      <c r="BH19" s="348">
        <v>60951.68925105068</v>
      </c>
      <c r="BI19" s="348">
        <v>61572.712135306268</v>
      </c>
      <c r="BJ19" s="348">
        <v>62535.898317684281</v>
      </c>
      <c r="BK19" s="348">
        <v>63778.025705174638</v>
      </c>
      <c r="BL19" s="348">
        <v>64609.374295614027</v>
      </c>
      <c r="BM19" s="348">
        <v>60276.415345914058</v>
      </c>
      <c r="BN19" s="348">
        <v>62968.942231189198</v>
      </c>
      <c r="BO19" s="348">
        <v>65694.551328725414</v>
      </c>
      <c r="BP19" s="348">
        <v>64536.29818414335</v>
      </c>
      <c r="BQ19" s="350">
        <v>63788.07867847896</v>
      </c>
    </row>
    <row r="20" spans="1:69" x14ac:dyDescent="0.25">
      <c r="A20" s="348" t="s">
        <v>1074</v>
      </c>
      <c r="B20" s="348" t="s">
        <v>1075</v>
      </c>
      <c r="C20" s="348" t="s">
        <v>1578</v>
      </c>
      <c r="D20" s="348" t="s">
        <v>1579</v>
      </c>
      <c r="AI20" s="348">
        <v>10776.06770180859</v>
      </c>
      <c r="AJ20" s="348">
        <v>10559.211936152709</v>
      </c>
      <c r="AK20" s="348">
        <v>8050.2162419519354</v>
      </c>
      <c r="AL20" s="348">
        <v>6097.4862231683392</v>
      </c>
      <c r="AM20" s="348">
        <v>4830.6994028762556</v>
      </c>
      <c r="AN20" s="348">
        <v>4211.7211434963556</v>
      </c>
      <c r="AO20" s="348">
        <v>4223.5229711304028</v>
      </c>
      <c r="AP20" s="348">
        <v>4425.5882352872022</v>
      </c>
      <c r="AQ20" s="348">
        <v>4822.1601856451989</v>
      </c>
      <c r="AR20" s="348">
        <v>5133.7481203256921</v>
      </c>
      <c r="AS20" s="348">
        <v>5656.9298937868698</v>
      </c>
      <c r="AT20" s="348">
        <v>6168.9851205974892</v>
      </c>
      <c r="AU20" s="348">
        <v>6701.0817444420672</v>
      </c>
      <c r="AV20" s="348">
        <v>7329.4060181894329</v>
      </c>
      <c r="AW20" s="348">
        <v>7937.8594791001997</v>
      </c>
      <c r="AX20" s="348">
        <v>10054.10033894009</v>
      </c>
      <c r="AY20" s="348">
        <v>13371.658521453441</v>
      </c>
      <c r="AZ20" s="348">
        <v>16587.365724022809</v>
      </c>
      <c r="BA20" s="348">
        <v>17963.020812683841</v>
      </c>
      <c r="BB20" s="348">
        <v>19242.390007723119</v>
      </c>
      <c r="BC20" s="348">
        <v>19925.390066213749</v>
      </c>
      <c r="BD20" s="348">
        <v>19358.07781003448</v>
      </c>
      <c r="BE20" s="348">
        <v>19523.37371613564</v>
      </c>
      <c r="BF20" s="348">
        <v>20398.6462250349</v>
      </c>
      <c r="BG20" s="348">
        <v>20709.201611232042</v>
      </c>
      <c r="BH20" s="348">
        <v>20678.753957237481</v>
      </c>
      <c r="BI20" s="348">
        <v>19822.410594394129</v>
      </c>
      <c r="BJ20" s="348">
        <v>19659.00485627677</v>
      </c>
      <c r="BK20" s="348">
        <v>19781.85090584369</v>
      </c>
      <c r="BL20" s="348">
        <v>20101.49187514704</v>
      </c>
      <c r="BM20" s="348">
        <v>19126.096851125989</v>
      </c>
      <c r="BN20" s="348">
        <v>20111.375695210882</v>
      </c>
      <c r="BO20" s="348">
        <v>21051.24422916121</v>
      </c>
      <c r="BP20" s="348">
        <v>21310.738691502229</v>
      </c>
      <c r="BQ20" s="350">
        <v>22072.14911571765</v>
      </c>
    </row>
    <row r="21" spans="1:69" x14ac:dyDescent="0.25">
      <c r="A21" s="348" t="s">
        <v>1076</v>
      </c>
      <c r="B21" s="348" t="s">
        <v>1077</v>
      </c>
      <c r="C21" s="348" t="s">
        <v>1578</v>
      </c>
      <c r="D21" s="348" t="s">
        <v>1579</v>
      </c>
      <c r="AI21" s="348">
        <v>1460.276458783321</v>
      </c>
      <c r="AJ21" s="348">
        <v>1501.8459320135039</v>
      </c>
      <c r="AK21" s="348">
        <v>1476.9943550280409</v>
      </c>
      <c r="AL21" s="348">
        <v>1429.121295492009</v>
      </c>
      <c r="AM21" s="348">
        <v>1365.4834826288479</v>
      </c>
      <c r="AN21" s="348">
        <v>1184.2840262089001</v>
      </c>
      <c r="AO21" s="348">
        <v>1088.7892781828341</v>
      </c>
      <c r="AP21" s="348">
        <v>1071.5594334934899</v>
      </c>
      <c r="AQ21" s="348">
        <v>1101.220518197809</v>
      </c>
      <c r="AR21" s="348">
        <v>1064.287560954016</v>
      </c>
      <c r="AS21" s="348">
        <v>1033.471881770419</v>
      </c>
      <c r="AT21" s="348">
        <v>1028.618493158225</v>
      </c>
      <c r="AU21" s="348">
        <v>1044.480274500301</v>
      </c>
      <c r="AV21" s="348">
        <v>999.61579122193643</v>
      </c>
      <c r="AW21" s="348">
        <v>1009.589169297281</v>
      </c>
      <c r="AX21" s="348">
        <v>981.53321098684455</v>
      </c>
      <c r="AY21" s="348">
        <v>998.06945851999592</v>
      </c>
      <c r="AZ21" s="348">
        <v>994.96359092100795</v>
      </c>
      <c r="BA21" s="348">
        <v>1001.617513119468</v>
      </c>
      <c r="BB21" s="348">
        <v>988.19632868896019</v>
      </c>
      <c r="BC21" s="348">
        <v>991.03889770498631</v>
      </c>
      <c r="BD21" s="348">
        <v>994.69123124501823</v>
      </c>
      <c r="BE21" s="348">
        <v>1002.274528052178</v>
      </c>
      <c r="BF21" s="348">
        <v>1014.523100791198</v>
      </c>
      <c r="BG21" s="348">
        <v>1022.291536272733</v>
      </c>
      <c r="BH21" s="348">
        <v>995.31906845002311</v>
      </c>
      <c r="BI21" s="348">
        <v>1009.635967963786</v>
      </c>
      <c r="BJ21" s="348">
        <v>1023.970406267567</v>
      </c>
      <c r="BK21" s="348">
        <v>1046.59511246023</v>
      </c>
      <c r="BL21" s="348">
        <v>1057.950059991673</v>
      </c>
      <c r="BM21" s="348">
        <v>1030.770264193711</v>
      </c>
      <c r="BN21" s="348">
        <v>1035.5385738493781</v>
      </c>
      <c r="BO21" s="348">
        <v>1031.254122431752</v>
      </c>
      <c r="BP21" s="348">
        <v>1036.167121962379</v>
      </c>
      <c r="BQ21" s="350">
        <v>1051.2593133927501</v>
      </c>
    </row>
    <row r="22" spans="1:69" x14ac:dyDescent="0.25">
      <c r="A22" s="348" t="s">
        <v>1078</v>
      </c>
      <c r="B22" s="348" t="s">
        <v>1079</v>
      </c>
      <c r="C22" s="348" t="s">
        <v>1578</v>
      </c>
      <c r="D22" s="348" t="s">
        <v>1579</v>
      </c>
      <c r="AI22" s="348">
        <v>41640.058357213216</v>
      </c>
      <c r="AJ22" s="348">
        <v>42246.076049684969</v>
      </c>
      <c r="AK22" s="348">
        <v>42719.048613424507</v>
      </c>
      <c r="AL22" s="348">
        <v>42143.196061204973</v>
      </c>
      <c r="AM22" s="348">
        <v>43369.275944430818</v>
      </c>
      <c r="AN22" s="348">
        <v>44310.62786882744</v>
      </c>
      <c r="AO22" s="348">
        <v>44808.524358034978</v>
      </c>
      <c r="AP22" s="348">
        <v>46396.002128399283</v>
      </c>
      <c r="AQ22" s="348">
        <v>47205.309852735263</v>
      </c>
      <c r="AR22" s="348">
        <v>48765.76685719956</v>
      </c>
      <c r="AS22" s="348">
        <v>50455.73389206719</v>
      </c>
      <c r="AT22" s="348">
        <v>50835.396991606132</v>
      </c>
      <c r="AU22" s="348">
        <v>51471.853255093221</v>
      </c>
      <c r="AV22" s="348">
        <v>51788.843964197258</v>
      </c>
      <c r="AW22" s="348">
        <v>53406.691862520071</v>
      </c>
      <c r="AX22" s="348">
        <v>54346.893421928587</v>
      </c>
      <c r="AY22" s="348">
        <v>55367.622746790708</v>
      </c>
      <c r="AZ22" s="348">
        <v>56983.461217006159</v>
      </c>
      <c r="BA22" s="348">
        <v>56787.736625741381</v>
      </c>
      <c r="BB22" s="348">
        <v>55258.707101966618</v>
      </c>
      <c r="BC22" s="348">
        <v>56240.203093623917</v>
      </c>
      <c r="BD22" s="348">
        <v>56585.302500067737</v>
      </c>
      <c r="BE22" s="348">
        <v>56356.825129213503</v>
      </c>
      <c r="BF22" s="348">
        <v>56263.175267966821</v>
      </c>
      <c r="BG22" s="348">
        <v>57002.909218520421</v>
      </c>
      <c r="BH22" s="348">
        <v>57509.024572870207</v>
      </c>
      <c r="BI22" s="348">
        <v>57901.497690314813</v>
      </c>
      <c r="BJ22" s="348">
        <v>58529.330295753432</v>
      </c>
      <c r="BK22" s="348">
        <v>59357.689688439372</v>
      </c>
      <c r="BL22" s="348">
        <v>60479.976995546618</v>
      </c>
      <c r="BM22" s="348">
        <v>57333.542413792173</v>
      </c>
      <c r="BN22" s="348">
        <v>60669.213774653123</v>
      </c>
      <c r="BO22" s="348">
        <v>62561.781045323631</v>
      </c>
      <c r="BP22" s="348">
        <v>63095.401728128942</v>
      </c>
      <c r="BQ22" s="350">
        <v>63347.785880923497</v>
      </c>
    </row>
    <row r="23" spans="1:69" x14ac:dyDescent="0.25">
      <c r="A23" s="348" t="s">
        <v>1080</v>
      </c>
      <c r="B23" s="348" t="s">
        <v>1081</v>
      </c>
      <c r="C23" s="348" t="s">
        <v>1578</v>
      </c>
      <c r="D23" s="348" t="s">
        <v>1579</v>
      </c>
      <c r="AI23" s="348">
        <v>2207.0679642835671</v>
      </c>
      <c r="AJ23" s="348">
        <v>2230.4605466453718</v>
      </c>
      <c r="AK23" s="348">
        <v>2226.5666600662548</v>
      </c>
      <c r="AL23" s="348">
        <v>2254.2456542889258</v>
      </c>
      <c r="AM23" s="348">
        <v>2215.3661682193801</v>
      </c>
      <c r="AN23" s="348">
        <v>2300.1412210745898</v>
      </c>
      <c r="AO23" s="348">
        <v>2337.6303077127868</v>
      </c>
      <c r="AP23" s="348">
        <v>2399.7859312735582</v>
      </c>
      <c r="AQ23" s="348">
        <v>2419.100143385479</v>
      </c>
      <c r="AR23" s="348">
        <v>2470.68504400549</v>
      </c>
      <c r="AS23" s="348">
        <v>2536.168858670967</v>
      </c>
      <c r="AT23" s="348">
        <v>2591.0648522028791</v>
      </c>
      <c r="AU23" s="348">
        <v>2630.180610296271</v>
      </c>
      <c r="AV23" s="348">
        <v>2639.0437011464151</v>
      </c>
      <c r="AW23" s="348">
        <v>2672.8440435715752</v>
      </c>
      <c r="AX23" s="348">
        <v>2632.4725145432849</v>
      </c>
      <c r="AY23" s="348">
        <v>2652.218419671588</v>
      </c>
      <c r="AZ23" s="348">
        <v>2729.137413903517</v>
      </c>
      <c r="BA23" s="348">
        <v>2777.6197403176539</v>
      </c>
      <c r="BB23" s="348">
        <v>2758.0724315064831</v>
      </c>
      <c r="BC23" s="348">
        <v>2733.5739964115078</v>
      </c>
      <c r="BD23" s="348">
        <v>2732.0124964795682</v>
      </c>
      <c r="BE23" s="348">
        <v>2779.7264808532018</v>
      </c>
      <c r="BF23" s="348">
        <v>2893.046701535196</v>
      </c>
      <c r="BG23" s="348">
        <v>2987.382363261529</v>
      </c>
      <c r="BH23" s="348">
        <v>2952.0021833870519</v>
      </c>
      <c r="BI23" s="348">
        <v>2962.6638157226462</v>
      </c>
      <c r="BJ23" s="348">
        <v>3041.7792998498931</v>
      </c>
      <c r="BK23" s="348">
        <v>3155.4510650627021</v>
      </c>
      <c r="BL23" s="348">
        <v>3281.104700514647</v>
      </c>
      <c r="BM23" s="348">
        <v>3317.8597222556969</v>
      </c>
      <c r="BN23" s="348">
        <v>3464.2886286745002</v>
      </c>
      <c r="BO23" s="348">
        <v>3588.3251993814711</v>
      </c>
      <c r="BP23" s="348">
        <v>3721.2125481480789</v>
      </c>
      <c r="BQ23" s="350">
        <v>3901.325884943923</v>
      </c>
    </row>
    <row r="24" spans="1:69" x14ac:dyDescent="0.25">
      <c r="A24" s="348" t="s">
        <v>1082</v>
      </c>
      <c r="B24" s="348" t="s">
        <v>1083</v>
      </c>
      <c r="C24" s="348" t="s">
        <v>1578</v>
      </c>
      <c r="D24" s="348" t="s">
        <v>1579</v>
      </c>
      <c r="AI24" s="348">
        <v>1107.855904549655</v>
      </c>
      <c r="AJ24" s="348">
        <v>1178.0770463906249</v>
      </c>
      <c r="AK24" s="348">
        <v>1152.0447609509611</v>
      </c>
      <c r="AL24" s="348">
        <v>1162.64923453351</v>
      </c>
      <c r="AM24" s="348">
        <v>1148.6072137039539</v>
      </c>
      <c r="AN24" s="348">
        <v>1183.5286100808371</v>
      </c>
      <c r="AO24" s="348">
        <v>1280.696085338885</v>
      </c>
      <c r="AP24" s="348">
        <v>1326.94230829963</v>
      </c>
      <c r="AQ24" s="348">
        <v>1385.093106790948</v>
      </c>
      <c r="AR24" s="348">
        <v>1444.566901704143</v>
      </c>
      <c r="AS24" s="348">
        <v>1428.574006170963</v>
      </c>
      <c r="AT24" s="348">
        <v>1477.2849184652489</v>
      </c>
      <c r="AU24" s="348">
        <v>1494.6780126958281</v>
      </c>
      <c r="AV24" s="348">
        <v>1561.8331018491481</v>
      </c>
      <c r="AW24" s="348">
        <v>1581.2562093329391</v>
      </c>
      <c r="AX24" s="348">
        <v>1664.9954318002269</v>
      </c>
      <c r="AY24" s="348">
        <v>1714.7603490450899</v>
      </c>
      <c r="AZ24" s="348">
        <v>1731.9304633507741</v>
      </c>
      <c r="BA24" s="348">
        <v>1779.327109115711</v>
      </c>
      <c r="BB24" s="348">
        <v>1779.3230562797251</v>
      </c>
      <c r="BC24" s="348">
        <v>1873.97146230828</v>
      </c>
      <c r="BD24" s="348">
        <v>1939.8665998940589</v>
      </c>
      <c r="BE24" s="348">
        <v>2003.6646118745</v>
      </c>
      <c r="BF24" s="348">
        <v>2057.0639319852949</v>
      </c>
      <c r="BG24" s="348">
        <v>2083.1984469830368</v>
      </c>
      <c r="BH24" s="348">
        <v>2101.7026619202738</v>
      </c>
      <c r="BI24" s="348">
        <v>2162.7257897781392</v>
      </c>
      <c r="BJ24" s="348">
        <v>2232.2878149094431</v>
      </c>
      <c r="BK24" s="348">
        <v>2316.3943207904449</v>
      </c>
      <c r="BL24" s="348">
        <v>2391.536268444836</v>
      </c>
      <c r="BM24" s="348">
        <v>2380.9317182657392</v>
      </c>
      <c r="BN24" s="348">
        <v>2486.4309314776169</v>
      </c>
      <c r="BO24" s="348">
        <v>2469.199569412594</v>
      </c>
      <c r="BP24" s="348">
        <v>2486.2066981287089</v>
      </c>
      <c r="BQ24" s="350">
        <v>2547.6723285220919</v>
      </c>
    </row>
    <row r="25" spans="1:69" x14ac:dyDescent="0.25">
      <c r="A25" s="348" t="s">
        <v>1084</v>
      </c>
      <c r="B25" s="348" t="s">
        <v>1085</v>
      </c>
      <c r="C25" s="348" t="s">
        <v>1578</v>
      </c>
      <c r="D25" s="348" t="s">
        <v>1579</v>
      </c>
      <c r="AI25" s="348">
        <v>2069.7823010067218</v>
      </c>
      <c r="AJ25" s="348">
        <v>2101.383660356581</v>
      </c>
      <c r="AK25" s="348">
        <v>2174.382328669431</v>
      </c>
      <c r="AL25" s="348">
        <v>2234.8101219224959</v>
      </c>
      <c r="AM25" s="348">
        <v>2279.0943530294389</v>
      </c>
      <c r="AN25" s="348">
        <v>2351.7038794690311</v>
      </c>
      <c r="AO25" s="348">
        <v>2413.5429820150471</v>
      </c>
      <c r="AP25" s="348">
        <v>2475.5957460248892</v>
      </c>
      <c r="AQ25" s="348">
        <v>2555.0611921828231</v>
      </c>
      <c r="AR25" s="348">
        <v>2624.0655379763789</v>
      </c>
      <c r="AS25" s="348">
        <v>2712.935122157251</v>
      </c>
      <c r="AT25" s="348">
        <v>2803.5547195094632</v>
      </c>
      <c r="AU25" s="348">
        <v>2866.4345432871542</v>
      </c>
      <c r="AV25" s="348">
        <v>2958.915031156333</v>
      </c>
      <c r="AW25" s="348">
        <v>3071.83778764611</v>
      </c>
      <c r="AX25" s="348">
        <v>3231.6137069289111</v>
      </c>
      <c r="AY25" s="348">
        <v>3407.427350215904</v>
      </c>
      <c r="AZ25" s="348">
        <v>3608.915438193992</v>
      </c>
      <c r="BA25" s="348">
        <v>3787.9382761855031</v>
      </c>
      <c r="BB25" s="348">
        <v>3942.1363120720339</v>
      </c>
      <c r="BC25" s="348">
        <v>4125.4639016320161</v>
      </c>
      <c r="BD25" s="348">
        <v>4352.4264335932503</v>
      </c>
      <c r="BE25" s="348">
        <v>4592.048409198117</v>
      </c>
      <c r="BF25" s="348">
        <v>4822.7262137826592</v>
      </c>
      <c r="BG25" s="348">
        <v>5068.6396567274114</v>
      </c>
      <c r="BH25" s="348">
        <v>5352.7113329956564</v>
      </c>
      <c r="BI25" s="348">
        <v>5682.5355349430629</v>
      </c>
      <c r="BJ25" s="348">
        <v>6005.7071878104834</v>
      </c>
      <c r="BK25" s="348">
        <v>6392.5933402409046</v>
      </c>
      <c r="BL25" s="348">
        <v>6838.3261160824331</v>
      </c>
      <c r="BM25" s="348">
        <v>7015.1979279705611</v>
      </c>
      <c r="BN25" s="348">
        <v>7441.0691396125412</v>
      </c>
      <c r="BO25" s="348">
        <v>7888.1638909830444</v>
      </c>
      <c r="BP25" s="348">
        <v>8242.3979897724221</v>
      </c>
      <c r="BQ25" s="350">
        <v>8486.7849566051682</v>
      </c>
    </row>
    <row r="26" spans="1:69" x14ac:dyDescent="0.25">
      <c r="A26" s="348" t="s">
        <v>1086</v>
      </c>
      <c r="B26" s="348" t="s">
        <v>1087</v>
      </c>
      <c r="C26" s="348" t="s">
        <v>1578</v>
      </c>
      <c r="D26" s="348" t="s">
        <v>1579</v>
      </c>
      <c r="AI26" s="348">
        <v>14954.96129866029</v>
      </c>
      <c r="AJ26" s="348">
        <v>13828.24421681228</v>
      </c>
      <c r="AK26" s="348">
        <v>12961.0385307712</v>
      </c>
      <c r="AL26" s="348">
        <v>12871.45007321567</v>
      </c>
      <c r="AM26" s="348">
        <v>13150.034442267241</v>
      </c>
      <c r="AN26" s="348">
        <v>13591.41056392057</v>
      </c>
      <c r="AO26" s="348">
        <v>14372.83108700843</v>
      </c>
      <c r="AP26" s="348">
        <v>12419.43072425054</v>
      </c>
      <c r="AQ26" s="348">
        <v>12976.32104592322</v>
      </c>
      <c r="AR26" s="348">
        <v>11953.64772515153</v>
      </c>
      <c r="AS26" s="348">
        <v>12563.888098866781</v>
      </c>
      <c r="AT26" s="348">
        <v>13306.559573916789</v>
      </c>
      <c r="AU26" s="348">
        <v>14397.06091772081</v>
      </c>
      <c r="AV26" s="348">
        <v>15271.547288244399</v>
      </c>
      <c r="AW26" s="348">
        <v>16389.028241911681</v>
      </c>
      <c r="AX26" s="348">
        <v>17678.10749432139</v>
      </c>
      <c r="AY26" s="348">
        <v>19024.622369123179</v>
      </c>
      <c r="AZ26" s="348">
        <v>20440.337531866549</v>
      </c>
      <c r="BA26" s="348">
        <v>21846.04540728722</v>
      </c>
      <c r="BB26" s="348">
        <v>21251.305432620011</v>
      </c>
      <c r="BC26" s="348">
        <v>21724.376272686339</v>
      </c>
      <c r="BD26" s="348">
        <v>22321.125367915731</v>
      </c>
      <c r="BE26" s="348">
        <v>22618.904049070239</v>
      </c>
      <c r="BF26" s="348">
        <v>22954.491874308911</v>
      </c>
      <c r="BG26" s="348">
        <v>23455.58040231339</v>
      </c>
      <c r="BH26" s="348">
        <v>24562.750842738002</v>
      </c>
      <c r="BI26" s="348">
        <v>25636.850863413161</v>
      </c>
      <c r="BJ26" s="348">
        <v>26691.868696312271</v>
      </c>
      <c r="BK26" s="348">
        <v>27691.008923762329</v>
      </c>
      <c r="BL26" s="348">
        <v>29150.042292676349</v>
      </c>
      <c r="BM26" s="348">
        <v>28521.32513267687</v>
      </c>
      <c r="BN26" s="348">
        <v>30959.111845980711</v>
      </c>
      <c r="BO26" s="348">
        <v>32433.79374970046</v>
      </c>
      <c r="BP26" s="348">
        <v>33073.817963131427</v>
      </c>
      <c r="BQ26" s="350">
        <v>34221.529461703183</v>
      </c>
    </row>
    <row r="27" spans="1:69" x14ac:dyDescent="0.25">
      <c r="A27" s="348" t="s">
        <v>1088</v>
      </c>
      <c r="B27" s="348" t="s">
        <v>1089</v>
      </c>
      <c r="C27" s="348" t="s">
        <v>1578</v>
      </c>
      <c r="D27" s="348" t="s">
        <v>1579</v>
      </c>
      <c r="AI27" s="348">
        <v>41856.544507719977</v>
      </c>
      <c r="AJ27" s="348">
        <v>47644.02347168819</v>
      </c>
      <c r="AK27" s="348">
        <v>49511.94740196268</v>
      </c>
      <c r="AL27" s="348">
        <v>54433.137508497093</v>
      </c>
      <c r="AM27" s="348">
        <v>52886.578902732908</v>
      </c>
      <c r="AN27" s="348">
        <v>53537.682894817699</v>
      </c>
      <c r="AO27" s="348">
        <v>54289.438039030938</v>
      </c>
      <c r="AP27" s="348">
        <v>54512.855105688846</v>
      </c>
      <c r="AQ27" s="348">
        <v>55638.693586068373</v>
      </c>
      <c r="AR27" s="348">
        <v>56522.226189982262</v>
      </c>
      <c r="AS27" s="348">
        <v>57968.995608213481</v>
      </c>
      <c r="AT27" s="348">
        <v>57280.698670749363</v>
      </c>
      <c r="AU27" s="348">
        <v>55096.65715507789</v>
      </c>
      <c r="AV27" s="348">
        <v>54431.876355965782</v>
      </c>
      <c r="AW27" s="348">
        <v>54045.092888858017</v>
      </c>
      <c r="AX27" s="348">
        <v>53478.266241550307</v>
      </c>
      <c r="AY27" s="348">
        <v>52691.932336685102</v>
      </c>
      <c r="AZ27" s="348">
        <v>52731.792167261818</v>
      </c>
      <c r="BA27" s="348">
        <v>52765.389945554591</v>
      </c>
      <c r="BB27" s="348">
        <v>50665.75074892195</v>
      </c>
      <c r="BC27" s="348">
        <v>50704.847967981921</v>
      </c>
      <c r="BD27" s="348">
        <v>53132.328416261102</v>
      </c>
      <c r="BE27" s="348">
        <v>54516.840659478738</v>
      </c>
      <c r="BF27" s="348">
        <v>55376.40051478942</v>
      </c>
      <c r="BG27" s="348">
        <v>55065.818947212952</v>
      </c>
      <c r="BH27" s="348">
        <v>54149.913152472058</v>
      </c>
      <c r="BI27" s="348">
        <v>54107.075223642321</v>
      </c>
      <c r="BJ27" s="348">
        <v>53859.774958960057</v>
      </c>
      <c r="BK27" s="348">
        <v>54893.072441136777</v>
      </c>
      <c r="BL27" s="348">
        <v>56749.962837061219</v>
      </c>
      <c r="BM27" s="348">
        <v>53814.245259235817</v>
      </c>
      <c r="BN27" s="348">
        <v>54954.675789553228</v>
      </c>
      <c r="BO27" s="348">
        <v>57572.997981017957</v>
      </c>
      <c r="BP27" s="348">
        <v>57819.905183124232</v>
      </c>
      <c r="BQ27" s="350">
        <v>58891.830486073661</v>
      </c>
    </row>
    <row r="28" spans="1:69" x14ac:dyDescent="0.25">
      <c r="A28" s="348" t="s">
        <v>1090</v>
      </c>
      <c r="B28" s="348" t="s">
        <v>1091</v>
      </c>
      <c r="C28" s="348" t="s">
        <v>1578</v>
      </c>
      <c r="D28" s="348" t="s">
        <v>1579</v>
      </c>
      <c r="AI28" s="348">
        <v>33072.159612538169</v>
      </c>
      <c r="AJ28" s="348">
        <v>31148.90526228254</v>
      </c>
      <c r="AK28" s="348">
        <v>29412.880498591861</v>
      </c>
      <c r="AL28" s="348">
        <v>28955.351058902092</v>
      </c>
      <c r="AM28" s="348">
        <v>29346.360483707929</v>
      </c>
      <c r="AN28" s="348">
        <v>30128.193555724622</v>
      </c>
      <c r="AO28" s="348">
        <v>30907.82080357564</v>
      </c>
      <c r="AP28" s="348">
        <v>30839.024795249072</v>
      </c>
      <c r="AQ28" s="348">
        <v>31836.526490133128</v>
      </c>
      <c r="AR28" s="348">
        <v>33657.804588873973</v>
      </c>
      <c r="AS28" s="348">
        <v>34597.162114527397</v>
      </c>
      <c r="AT28" s="348">
        <v>35072.365899046068</v>
      </c>
      <c r="AU28" s="348">
        <v>35610.67864256465</v>
      </c>
      <c r="AV28" s="348">
        <v>34740.763553538069</v>
      </c>
      <c r="AW28" s="348">
        <v>34617.805113745868</v>
      </c>
      <c r="AX28" s="348">
        <v>35365.466398021883</v>
      </c>
      <c r="AY28" s="348">
        <v>35789.132213189841</v>
      </c>
      <c r="AZ28" s="348">
        <v>35797.118972072967</v>
      </c>
      <c r="BA28" s="348">
        <v>34498.035139917323</v>
      </c>
      <c r="BB28" s="348">
        <v>32630.26306597899</v>
      </c>
      <c r="BC28" s="348">
        <v>32711.459245938309</v>
      </c>
      <c r="BD28" s="348">
        <v>32535.662513913521</v>
      </c>
      <c r="BE28" s="348">
        <v>33667.554709891061</v>
      </c>
      <c r="BF28" s="348">
        <v>32402.91635031081</v>
      </c>
      <c r="BG28" s="348">
        <v>32712.635666481081</v>
      </c>
      <c r="BH28" s="348">
        <v>32777.584941074158</v>
      </c>
      <c r="BI28" s="348">
        <v>32172.336515297571</v>
      </c>
      <c r="BJ28" s="348">
        <v>33050.035012861117</v>
      </c>
      <c r="BK28" s="348">
        <v>33650.216435093527</v>
      </c>
      <c r="BL28" s="348">
        <v>33202.490210506847</v>
      </c>
      <c r="BM28" s="348">
        <v>26452.695760929029</v>
      </c>
      <c r="BN28" s="348">
        <v>31064.682216619422</v>
      </c>
      <c r="BO28" s="348">
        <v>34342.928531656922</v>
      </c>
      <c r="BP28" s="348">
        <v>35221.26969323129</v>
      </c>
      <c r="BQ28" s="350">
        <v>36244.050012324442</v>
      </c>
    </row>
    <row r="29" spans="1:69" x14ac:dyDescent="0.25">
      <c r="A29" s="348" t="s">
        <v>1092</v>
      </c>
      <c r="B29" s="348" t="s">
        <v>1093</v>
      </c>
      <c r="C29" s="348" t="s">
        <v>1578</v>
      </c>
      <c r="D29" s="348" t="s">
        <v>1579</v>
      </c>
      <c r="AI29" s="348">
        <v>2413.9482398766199</v>
      </c>
      <c r="AJ29" s="348">
        <v>2183.53511432798</v>
      </c>
      <c r="AK29" s="348">
        <v>2150.9196683052119</v>
      </c>
      <c r="AL29" s="348">
        <v>2281.8992805059302</v>
      </c>
      <c r="AM29" s="348">
        <v>2657.8139874318222</v>
      </c>
      <c r="AN29" s="348">
        <v>3090.391067610245</v>
      </c>
      <c r="AO29" s="348">
        <v>4569.0016220731241</v>
      </c>
      <c r="AP29" s="348">
        <v>6020.9852239816228</v>
      </c>
      <c r="AQ29" s="348">
        <v>6899.3256550590031</v>
      </c>
      <c r="AR29" s="348">
        <v>7481.3350139543363</v>
      </c>
      <c r="AS29" s="348">
        <v>7830.534330783431</v>
      </c>
      <c r="AT29" s="348">
        <v>7982.5519573809388</v>
      </c>
      <c r="AU29" s="348">
        <v>8366.7262526820086</v>
      </c>
      <c r="AV29" s="348">
        <v>8709.9928359346632</v>
      </c>
      <c r="AW29" s="348">
        <v>9344.8689118420371</v>
      </c>
      <c r="AX29" s="348">
        <v>9814.5103415883113</v>
      </c>
      <c r="AY29" s="348">
        <v>10430.455250057919</v>
      </c>
      <c r="AZ29" s="348">
        <v>11178.72784118281</v>
      </c>
      <c r="BA29" s="348">
        <v>11983.769659648469</v>
      </c>
      <c r="BB29" s="348">
        <v>11826.699180205071</v>
      </c>
      <c r="BC29" s="348">
        <v>12142.91205221159</v>
      </c>
      <c r="BD29" s="348">
        <v>12487.700842830131</v>
      </c>
      <c r="BE29" s="348">
        <v>12626.978687583931</v>
      </c>
      <c r="BF29" s="348">
        <v>13135.7719791089</v>
      </c>
      <c r="BG29" s="348">
        <v>13458.90839021122</v>
      </c>
      <c r="BH29" s="348">
        <v>14220.14897445522</v>
      </c>
      <c r="BI29" s="348">
        <v>14873.702791713071</v>
      </c>
      <c r="BJ29" s="348">
        <v>15554.723248178851</v>
      </c>
      <c r="BK29" s="348">
        <v>16349.06751376612</v>
      </c>
      <c r="BL29" s="348">
        <v>17029.367818455899</v>
      </c>
      <c r="BM29" s="348">
        <v>16747.104841752542</v>
      </c>
      <c r="BN29" s="348">
        <v>18286.737332423309</v>
      </c>
      <c r="BO29" s="348">
        <v>19298.197105644791</v>
      </c>
      <c r="BP29" s="348">
        <v>19805.00027747306</v>
      </c>
      <c r="BQ29" s="350">
        <v>20527.693552715798</v>
      </c>
    </row>
    <row r="30" spans="1:69" x14ac:dyDescent="0.25">
      <c r="A30" s="348" t="s">
        <v>1094</v>
      </c>
      <c r="B30" s="348" t="s">
        <v>1095</v>
      </c>
      <c r="C30" s="348" t="s">
        <v>1578</v>
      </c>
      <c r="D30" s="348" t="s">
        <v>1579</v>
      </c>
      <c r="AI30" s="348">
        <v>12351.63571100648</v>
      </c>
      <c r="AJ30" s="348">
        <v>12197.787788763389</v>
      </c>
      <c r="AK30" s="348">
        <v>11002.60176261362</v>
      </c>
      <c r="AL30" s="348">
        <v>10143.984011844461</v>
      </c>
      <c r="AM30" s="348">
        <v>8967.7307297183143</v>
      </c>
      <c r="AN30" s="348">
        <v>8061.196041126087</v>
      </c>
      <c r="AO30" s="348">
        <v>8314.8565668502542</v>
      </c>
      <c r="AP30" s="348">
        <v>9301.3271751986667</v>
      </c>
      <c r="AQ30" s="348">
        <v>10128.156046956259</v>
      </c>
      <c r="AR30" s="348">
        <v>10519.74891454422</v>
      </c>
      <c r="AS30" s="348">
        <v>11182.45483393934</v>
      </c>
      <c r="AT30" s="348">
        <v>11771.08720038606</v>
      </c>
      <c r="AU30" s="348">
        <v>12443.93225759393</v>
      </c>
      <c r="AV30" s="348">
        <v>13413.926550485379</v>
      </c>
      <c r="AW30" s="348">
        <v>15052.11821609467</v>
      </c>
      <c r="AX30" s="348">
        <v>16579.87316838339</v>
      </c>
      <c r="AY30" s="348">
        <v>18349.871906063359</v>
      </c>
      <c r="AZ30" s="348">
        <v>20019.611167672829</v>
      </c>
      <c r="BA30" s="348">
        <v>22137.94729283149</v>
      </c>
      <c r="BB30" s="348">
        <v>22236.838769113579</v>
      </c>
      <c r="BC30" s="348">
        <v>24012.61330402131</v>
      </c>
      <c r="BD30" s="348">
        <v>25404.756608241161</v>
      </c>
      <c r="BE30" s="348">
        <v>25879.13194007011</v>
      </c>
      <c r="BF30" s="348">
        <v>26147.62535846452</v>
      </c>
      <c r="BG30" s="348">
        <v>26564.434724654751</v>
      </c>
      <c r="BH30" s="348">
        <v>25513.213295831651</v>
      </c>
      <c r="BI30" s="348">
        <v>24846.830152935861</v>
      </c>
      <c r="BJ30" s="348">
        <v>25503.980984520669</v>
      </c>
      <c r="BK30" s="348">
        <v>26363.46297785364</v>
      </c>
      <c r="BL30" s="348">
        <v>26798.82063980764</v>
      </c>
      <c r="BM30" s="348">
        <v>26731.49538699221</v>
      </c>
      <c r="BN30" s="348">
        <v>27611.180113515711</v>
      </c>
      <c r="BO30" s="348">
        <v>26537.508308167438</v>
      </c>
      <c r="BP30" s="348">
        <v>27782.438013996729</v>
      </c>
      <c r="BQ30" s="350">
        <v>29040.972579042489</v>
      </c>
    </row>
    <row r="31" spans="1:69" x14ac:dyDescent="0.25">
      <c r="A31" s="348" t="s">
        <v>1096</v>
      </c>
      <c r="B31" s="348" t="s">
        <v>1097</v>
      </c>
      <c r="C31" s="348" t="s">
        <v>1578</v>
      </c>
      <c r="D31" s="348" t="s">
        <v>1579</v>
      </c>
      <c r="AI31" s="348">
        <v>8251.6176253947069</v>
      </c>
      <c r="AJ31" s="348">
        <v>9028.0734383756171</v>
      </c>
      <c r="AK31" s="348">
        <v>9967.7777928355281</v>
      </c>
      <c r="AL31" s="348">
        <v>10366.85905988067</v>
      </c>
      <c r="AM31" s="348">
        <v>10146.399675520261</v>
      </c>
      <c r="AN31" s="348">
        <v>9967.8468808864254</v>
      </c>
      <c r="AO31" s="348">
        <v>9782.6441602965133</v>
      </c>
      <c r="AP31" s="348">
        <v>9862.2663454687554</v>
      </c>
      <c r="AQ31" s="348">
        <v>9894.599197850257</v>
      </c>
      <c r="AR31" s="348">
        <v>10460.634610279531</v>
      </c>
      <c r="AS31" s="348">
        <v>11363.686878161499</v>
      </c>
      <c r="AT31" s="348">
        <v>11567.0265720608</v>
      </c>
      <c r="AU31" s="348">
        <v>11828.186574406711</v>
      </c>
      <c r="AV31" s="348">
        <v>12589.26793782061</v>
      </c>
      <c r="AW31" s="348">
        <v>12807.16587743844</v>
      </c>
      <c r="AX31" s="348">
        <v>12714.969739083101</v>
      </c>
      <c r="AY31" s="348">
        <v>12912.530023377431</v>
      </c>
      <c r="AZ31" s="348">
        <v>12973.206721474609</v>
      </c>
      <c r="BA31" s="348">
        <v>12415.681130046431</v>
      </c>
      <c r="BB31" s="348">
        <v>12033.909681658761</v>
      </c>
      <c r="BC31" s="348">
        <v>11913.66359590605</v>
      </c>
      <c r="BD31" s="348">
        <v>11641.77173757032</v>
      </c>
      <c r="BE31" s="348">
        <v>11843.415340421179</v>
      </c>
      <c r="BF31" s="348">
        <v>12064.797259405959</v>
      </c>
      <c r="BG31" s="348">
        <v>12272.295789544631</v>
      </c>
      <c r="BH31" s="348">
        <v>12348.79449783111</v>
      </c>
      <c r="BI31" s="348">
        <v>12063.060037409299</v>
      </c>
      <c r="BJ31" s="348">
        <v>11572.30079314612</v>
      </c>
      <c r="BK31" s="348">
        <v>11451.89794138773</v>
      </c>
      <c r="BL31" s="348">
        <v>11765.97486611762</v>
      </c>
      <c r="BM31" s="348">
        <v>10045.14041637455</v>
      </c>
      <c r="BN31" s="348">
        <v>11716.326781865549</v>
      </c>
      <c r="BO31" s="348">
        <v>12565.36458295762</v>
      </c>
      <c r="BP31" s="348">
        <v>12371.008654534769</v>
      </c>
      <c r="BQ31" s="350">
        <v>12621.40819618969</v>
      </c>
    </row>
    <row r="32" spans="1:69" x14ac:dyDescent="0.25">
      <c r="A32" s="348" t="s">
        <v>1098</v>
      </c>
      <c r="B32" s="348" t="s">
        <v>1099</v>
      </c>
      <c r="C32" s="348" t="s">
        <v>1578</v>
      </c>
      <c r="D32" s="348" t="s">
        <v>1579</v>
      </c>
      <c r="AI32" s="348">
        <v>79747.482502984058</v>
      </c>
      <c r="AJ32" s="348">
        <v>76365.043054065492</v>
      </c>
      <c r="AK32" s="348">
        <v>75766.697104644481</v>
      </c>
      <c r="AL32" s="348">
        <v>77503.464423179626</v>
      </c>
      <c r="AM32" s="348">
        <v>77470.297692894703</v>
      </c>
      <c r="AN32" s="348">
        <v>80427.240621209959</v>
      </c>
      <c r="AO32" s="348">
        <v>82122.782614032752</v>
      </c>
      <c r="AP32" s="348">
        <v>85380.834832611697</v>
      </c>
      <c r="AQ32" s="348">
        <v>88034.813238588307</v>
      </c>
      <c r="AR32" s="348">
        <v>90290.562491312579</v>
      </c>
      <c r="AS32" s="348">
        <v>98019.931472750017</v>
      </c>
      <c r="AT32" s="348">
        <v>104560.83978349699</v>
      </c>
      <c r="AU32" s="348">
        <v>102559.769384967</v>
      </c>
      <c r="AV32" s="348">
        <v>105642.976098631</v>
      </c>
      <c r="AW32" s="348">
        <v>107803.1993580769</v>
      </c>
      <c r="AX32" s="348">
        <v>109335.38593148541</v>
      </c>
      <c r="AY32" s="348">
        <v>115170.899920201</v>
      </c>
      <c r="AZ32" s="348">
        <v>118691.0700255446</v>
      </c>
      <c r="BA32" s="348">
        <v>115942.7271734698</v>
      </c>
      <c r="BB32" s="348">
        <v>108962.8169464188</v>
      </c>
      <c r="BC32" s="348">
        <v>105968.8751042126</v>
      </c>
      <c r="BD32" s="348">
        <v>101989.9272959739</v>
      </c>
      <c r="BE32" s="348">
        <v>96711.073970332262</v>
      </c>
      <c r="BF32" s="348">
        <v>96549.787480758285</v>
      </c>
      <c r="BG32" s="348">
        <v>93042.273305103328</v>
      </c>
      <c r="BH32" s="348">
        <v>93859.876949462079</v>
      </c>
      <c r="BI32" s="348">
        <v>93265.067536463815</v>
      </c>
      <c r="BJ32" s="348">
        <v>96437.191438851034</v>
      </c>
      <c r="BK32" s="348">
        <v>95639.226731058356</v>
      </c>
      <c r="BL32" s="348">
        <v>95519.920686168567</v>
      </c>
      <c r="BM32" s="348">
        <v>88618.083068225678</v>
      </c>
      <c r="BN32" s="348">
        <v>92319.671486121879</v>
      </c>
      <c r="BO32" s="348">
        <v>98145.168938388902</v>
      </c>
      <c r="BP32" s="348">
        <v>103052.3483678585</v>
      </c>
      <c r="BQ32" s="350">
        <v>109311.9369412986</v>
      </c>
    </row>
    <row r="33" spans="1:69" x14ac:dyDescent="0.25">
      <c r="A33" s="348" t="s">
        <v>1100</v>
      </c>
      <c r="B33" s="348" t="s">
        <v>1101</v>
      </c>
      <c r="C33" s="348" t="s">
        <v>1578</v>
      </c>
      <c r="D33" s="348" t="s">
        <v>1579</v>
      </c>
      <c r="AI33" s="348">
        <v>6247.1044661540291</v>
      </c>
      <c r="AJ33" s="348">
        <v>6440.4857162921026</v>
      </c>
      <c r="AK33" s="348">
        <v>6414.3286680284318</v>
      </c>
      <c r="AL33" s="348">
        <v>6556.8164030509361</v>
      </c>
      <c r="AM33" s="348">
        <v>6731.2848743195009</v>
      </c>
      <c r="AN33" s="348">
        <v>6914.3418954093067</v>
      </c>
      <c r="AO33" s="348">
        <v>7083.6131310709106</v>
      </c>
      <c r="AP33" s="348">
        <v>7301.5093571519592</v>
      </c>
      <c r="AQ33" s="348">
        <v>7534.5165621566566</v>
      </c>
      <c r="AR33" s="348">
        <v>7435.7254446296593</v>
      </c>
      <c r="AS33" s="348">
        <v>7492.433818154992</v>
      </c>
      <c r="AT33" s="348">
        <v>7491.1525776713643</v>
      </c>
      <c r="AU33" s="348">
        <v>7550.0155443906287</v>
      </c>
      <c r="AV33" s="348">
        <v>7625.9051593702734</v>
      </c>
      <c r="AW33" s="348">
        <v>7811.5968410194782</v>
      </c>
      <c r="AX33" s="348">
        <v>8020.6356877679382</v>
      </c>
      <c r="AY33" s="348">
        <v>8263.3189689554183</v>
      </c>
      <c r="AZ33" s="348">
        <v>8493.9484839740271</v>
      </c>
      <c r="BA33" s="348">
        <v>8865.2724678316299</v>
      </c>
      <c r="BB33" s="348">
        <v>9011.5562996295339</v>
      </c>
      <c r="BC33" s="348">
        <v>9230.3980811593356</v>
      </c>
      <c r="BD33" s="348">
        <v>9554.4450252939569</v>
      </c>
      <c r="BE33" s="348">
        <v>9884.461634203346</v>
      </c>
      <c r="BF33" s="348">
        <v>10391.38337535995</v>
      </c>
      <c r="BG33" s="348">
        <v>10790.84728994139</v>
      </c>
      <c r="BH33" s="348">
        <v>11144.64157272069</v>
      </c>
      <c r="BI33" s="348">
        <v>11448.02180322463</v>
      </c>
      <c r="BJ33" s="348">
        <v>11755.255619588521</v>
      </c>
      <c r="BK33" s="348">
        <v>11920.313507964511</v>
      </c>
      <c r="BL33" s="348">
        <v>11930.91591459184</v>
      </c>
      <c r="BM33" s="348">
        <v>10285.659075022229</v>
      </c>
      <c r="BN33" s="348">
        <v>11202.440983670709</v>
      </c>
      <c r="BO33" s="348">
        <v>11487.71487991944</v>
      </c>
      <c r="BP33" s="348">
        <v>11616.157559515919</v>
      </c>
      <c r="BQ33" s="350">
        <v>11329.151806153601</v>
      </c>
    </row>
    <row r="34" spans="1:69" x14ac:dyDescent="0.25">
      <c r="A34" s="348" t="s">
        <v>1102</v>
      </c>
      <c r="B34" s="348" t="s">
        <v>1103</v>
      </c>
      <c r="C34" s="348" t="s">
        <v>1578</v>
      </c>
      <c r="D34" s="348" t="s">
        <v>1579</v>
      </c>
      <c r="AI34" s="348">
        <v>12633.28845596049</v>
      </c>
      <c r="AJ34" s="348">
        <v>12546.56050045447</v>
      </c>
      <c r="AK34" s="348">
        <v>12271.978847618801</v>
      </c>
      <c r="AL34" s="348">
        <v>12669.428720825201</v>
      </c>
      <c r="AM34" s="348">
        <v>13202.930801306349</v>
      </c>
      <c r="AN34" s="348">
        <v>13550.43937372431</v>
      </c>
      <c r="AO34" s="348">
        <v>13641.629599753691</v>
      </c>
      <c r="AP34" s="348">
        <v>13896.624990134511</v>
      </c>
      <c r="AQ34" s="348">
        <v>13737.70264348463</v>
      </c>
      <c r="AR34" s="348">
        <v>13602.413706942551</v>
      </c>
      <c r="AS34" s="348">
        <v>14005.34718707205</v>
      </c>
      <c r="AT34" s="348">
        <v>14016.131377356351</v>
      </c>
      <c r="AU34" s="348">
        <v>14265.904876851841</v>
      </c>
      <c r="AV34" s="348">
        <v>14259.36640882855</v>
      </c>
      <c r="AW34" s="348">
        <v>14911.26096077203</v>
      </c>
      <c r="AX34" s="348">
        <v>15221.01382819173</v>
      </c>
      <c r="AY34" s="348">
        <v>15657.4795714009</v>
      </c>
      <c r="AZ34" s="348">
        <v>16440.583739804639</v>
      </c>
      <c r="BA34" s="348">
        <v>17113.367982277221</v>
      </c>
      <c r="BB34" s="348">
        <v>16939.440780904741</v>
      </c>
      <c r="BC34" s="348">
        <v>18062.15811022402</v>
      </c>
      <c r="BD34" s="348">
        <v>18627.810452793328</v>
      </c>
      <c r="BE34" s="348">
        <v>18832.219552435588</v>
      </c>
      <c r="BF34" s="348">
        <v>19241.505981452519</v>
      </c>
      <c r="BG34" s="348">
        <v>19183.17274452226</v>
      </c>
      <c r="BH34" s="348">
        <v>18357.069061542072</v>
      </c>
      <c r="BI34" s="348">
        <v>17620.927243440339</v>
      </c>
      <c r="BJ34" s="348">
        <v>17724.47995778151</v>
      </c>
      <c r="BK34" s="348">
        <v>17917.74921229254</v>
      </c>
      <c r="BL34" s="348">
        <v>18018.620914949948</v>
      </c>
      <c r="BM34" s="348">
        <v>17327.51572481426</v>
      </c>
      <c r="BN34" s="348">
        <v>18075.706004875679</v>
      </c>
      <c r="BO34" s="348">
        <v>18554.046182851878</v>
      </c>
      <c r="BP34" s="348">
        <v>19079.81221322529</v>
      </c>
      <c r="BQ34" s="350">
        <v>19652.365499170359</v>
      </c>
    </row>
    <row r="35" spans="1:69" x14ac:dyDescent="0.25">
      <c r="A35" s="348" t="s">
        <v>1104</v>
      </c>
      <c r="B35" s="348" t="s">
        <v>1105</v>
      </c>
      <c r="C35" s="348" t="s">
        <v>1578</v>
      </c>
      <c r="D35" s="348" t="s">
        <v>1579</v>
      </c>
      <c r="AI35" s="348">
        <v>19613.248054767351</v>
      </c>
      <c r="AJ35" s="348">
        <v>18790.868541121959</v>
      </c>
      <c r="AK35" s="348">
        <v>17660.323273941602</v>
      </c>
      <c r="AL35" s="348">
        <v>17748.554523439099</v>
      </c>
      <c r="AM35" s="348">
        <v>18064.40073396757</v>
      </c>
      <c r="AN35" s="348">
        <v>18398.750740029711</v>
      </c>
      <c r="AO35" s="348">
        <v>19112.502998454082</v>
      </c>
      <c r="AP35" s="348">
        <v>20010.21583459208</v>
      </c>
      <c r="AQ35" s="348">
        <v>20752.80959159759</v>
      </c>
      <c r="AR35" s="348">
        <v>20815.835387487328</v>
      </c>
      <c r="AS35" s="348">
        <v>21779.220300686819</v>
      </c>
      <c r="AT35" s="348">
        <v>21234.708034435949</v>
      </c>
      <c r="AU35" s="348">
        <v>21262.308925084351</v>
      </c>
      <c r="AV35" s="348">
        <v>21591.791593180689</v>
      </c>
      <c r="AW35" s="348">
        <v>21771.90140071783</v>
      </c>
      <c r="AX35" s="348">
        <v>22514.483943993971</v>
      </c>
      <c r="AY35" s="348">
        <v>23766.60701311109</v>
      </c>
      <c r="AZ35" s="348">
        <v>24145.753990726989</v>
      </c>
      <c r="BA35" s="348">
        <v>24171.651799574549</v>
      </c>
      <c r="BB35" s="348">
        <v>22840.884100276311</v>
      </c>
      <c r="BC35" s="348">
        <v>22243.457967070539</v>
      </c>
      <c r="BD35" s="348">
        <v>22102.481700439701</v>
      </c>
      <c r="BE35" s="348">
        <v>21286.331893213552</v>
      </c>
      <c r="BF35" s="348">
        <v>20854.567634171821</v>
      </c>
      <c r="BG35" s="348">
        <v>20959.96503721421</v>
      </c>
      <c r="BH35" s="348">
        <v>20666.96516093735</v>
      </c>
      <c r="BI35" s="348">
        <v>20930.633669267969</v>
      </c>
      <c r="BJ35" s="348">
        <v>21035.79335814514</v>
      </c>
      <c r="BK35" s="348">
        <v>20727.42163384123</v>
      </c>
      <c r="BL35" s="348">
        <v>20737.97768903519</v>
      </c>
      <c r="BM35" s="348">
        <v>17728.072924756871</v>
      </c>
      <c r="BN35" s="348">
        <v>17682.731453748311</v>
      </c>
      <c r="BO35" s="348">
        <v>20716.28513049661</v>
      </c>
      <c r="BP35" s="348">
        <v>21318.67247726256</v>
      </c>
      <c r="BQ35" s="350">
        <v>21837.725410205661</v>
      </c>
    </row>
    <row r="36" spans="1:69" x14ac:dyDescent="0.25">
      <c r="A36" s="348" t="s">
        <v>1106</v>
      </c>
      <c r="B36" s="348" t="s">
        <v>1107</v>
      </c>
      <c r="C36" s="348" t="s">
        <v>1578</v>
      </c>
      <c r="D36" s="348" t="s">
        <v>1579</v>
      </c>
      <c r="AI36" s="348">
        <v>118163.68336994039</v>
      </c>
      <c r="AJ36" s="348">
        <v>118220.6835953304</v>
      </c>
      <c r="AK36" s="348">
        <v>111457.22088351951</v>
      </c>
      <c r="AL36" s="348">
        <v>107899.1363392393</v>
      </c>
      <c r="AM36" s="348">
        <v>106239.2326943378</v>
      </c>
      <c r="AN36" s="348">
        <v>105043.8530976832</v>
      </c>
      <c r="AO36" s="348">
        <v>102522.1254181211</v>
      </c>
      <c r="AP36" s="348">
        <v>106503.4202707962</v>
      </c>
      <c r="AQ36" s="348">
        <v>97171.637255103095</v>
      </c>
      <c r="AR36" s="348">
        <v>99083.320528242213</v>
      </c>
      <c r="AS36" s="348">
        <v>100323.43991852819</v>
      </c>
      <c r="AT36" s="348">
        <v>99680.762677753693</v>
      </c>
      <c r="AU36" s="348">
        <v>101571.5837846658</v>
      </c>
      <c r="AV36" s="348">
        <v>103226.914446986</v>
      </c>
      <c r="AW36" s="348">
        <v>101497.75479865519</v>
      </c>
      <c r="AX36" s="348">
        <v>99795.685085452613</v>
      </c>
      <c r="AY36" s="348">
        <v>102248.5103005666</v>
      </c>
      <c r="AZ36" s="348">
        <v>96752.620409188487</v>
      </c>
      <c r="BA36" s="348">
        <v>91275.500091918162</v>
      </c>
      <c r="BB36" s="348">
        <v>87875.82835460444</v>
      </c>
      <c r="BC36" s="348">
        <v>88586.513368392407</v>
      </c>
      <c r="BD36" s="348">
        <v>90279.663404212348</v>
      </c>
      <c r="BE36" s="348">
        <v>89718.463604998193</v>
      </c>
      <c r="BF36" s="348">
        <v>86606.65189101985</v>
      </c>
      <c r="BG36" s="348">
        <v>83310.615181953312</v>
      </c>
      <c r="BH36" s="348">
        <v>81910.188295949265</v>
      </c>
      <c r="BI36" s="348">
        <v>78880.622850176762</v>
      </c>
      <c r="BJ36" s="348">
        <v>78966.864314234583</v>
      </c>
      <c r="BK36" s="348">
        <v>78099.05078025609</v>
      </c>
      <c r="BL36" s="348">
        <v>80228.1598170527</v>
      </c>
      <c r="BM36" s="348">
        <v>80280.898064067675</v>
      </c>
      <c r="BN36" s="348">
        <v>78248.797127611004</v>
      </c>
      <c r="BO36" s="348">
        <v>76357.829114996028</v>
      </c>
      <c r="BP36" s="348">
        <v>76616.701488498089</v>
      </c>
      <c r="BQ36" s="350">
        <v>79071.733380144506</v>
      </c>
    </row>
    <row r="37" spans="1:69" x14ac:dyDescent="0.25">
      <c r="A37" s="348" t="s">
        <v>1108</v>
      </c>
      <c r="B37" s="348" t="s">
        <v>1109</v>
      </c>
      <c r="C37" s="348" t="s">
        <v>1578</v>
      </c>
      <c r="D37" s="348" t="s">
        <v>1579</v>
      </c>
      <c r="AI37" s="348">
        <v>3411.3837599175981</v>
      </c>
      <c r="AJ37" s="348">
        <v>3338.0094182659859</v>
      </c>
      <c r="AK37" s="348">
        <v>3624.5978150013639</v>
      </c>
      <c r="AL37" s="348">
        <v>3850.5512874209958</v>
      </c>
      <c r="AM37" s="348">
        <v>4042.4941776924888</v>
      </c>
      <c r="AN37" s="348">
        <v>4379.8704666777821</v>
      </c>
      <c r="AO37" s="348">
        <v>4616.9197919843946</v>
      </c>
      <c r="AP37" s="348">
        <v>4778.705117317324</v>
      </c>
      <c r="AQ37" s="348">
        <v>4965.8764603168138</v>
      </c>
      <c r="AR37" s="348">
        <v>5241.3666379073684</v>
      </c>
      <c r="AS37" s="348">
        <v>5287.5743472168406</v>
      </c>
      <c r="AT37" s="348">
        <v>5545.6305511083974</v>
      </c>
      <c r="AU37" s="348">
        <v>5991.2549757177476</v>
      </c>
      <c r="AV37" s="348">
        <v>6323.5411950972966</v>
      </c>
      <c r="AW37" s="348">
        <v>6517.9968329021558</v>
      </c>
      <c r="AX37" s="348">
        <v>6850.8044160933368</v>
      </c>
      <c r="AY37" s="348">
        <v>7140.8560914837644</v>
      </c>
      <c r="AZ37" s="348">
        <v>8195.0707447791174</v>
      </c>
      <c r="BA37" s="348">
        <v>8470.034716228547</v>
      </c>
      <c r="BB37" s="348">
        <v>9019.1186127239744</v>
      </c>
      <c r="BC37" s="348">
        <v>9985.2845548365458</v>
      </c>
      <c r="BD37" s="348">
        <v>10714.68656637095</v>
      </c>
      <c r="BE37" s="348">
        <v>11143.94453545877</v>
      </c>
      <c r="BF37" s="348">
        <v>11212.479426698001</v>
      </c>
      <c r="BG37" s="348">
        <v>11744.518912482499</v>
      </c>
      <c r="BH37" s="348">
        <v>12400.298323739071</v>
      </c>
      <c r="BI37" s="348">
        <v>13320.97590368825</v>
      </c>
      <c r="BJ37" s="348">
        <v>13482.342528035761</v>
      </c>
      <c r="BK37" s="348">
        <v>13854.85439771577</v>
      </c>
      <c r="BL37" s="348">
        <v>14555.188404584531</v>
      </c>
      <c r="BM37" s="348">
        <v>12979.93694858239</v>
      </c>
      <c r="BN37" s="348">
        <v>13458.812666742981</v>
      </c>
      <c r="BO37" s="348">
        <v>14061.31202745876</v>
      </c>
      <c r="BP37" s="348">
        <v>14610.295911953581</v>
      </c>
    </row>
    <row r="38" spans="1:69" x14ac:dyDescent="0.25">
      <c r="A38" s="348" t="s">
        <v>1110</v>
      </c>
      <c r="B38" s="348" t="s">
        <v>1111</v>
      </c>
      <c r="C38" s="348" t="s">
        <v>1578</v>
      </c>
      <c r="D38" s="348" t="s">
        <v>1579</v>
      </c>
      <c r="AI38" s="348">
        <v>10520.91839784048</v>
      </c>
      <c r="AJ38" s="348">
        <v>11001.801358812751</v>
      </c>
      <c r="AK38" s="348">
        <v>11008.681021418441</v>
      </c>
      <c r="AL38" s="348">
        <v>10902.951277494651</v>
      </c>
      <c r="AM38" s="348">
        <v>10989.670055105689</v>
      </c>
      <c r="AN38" s="348">
        <v>11457.6994362472</v>
      </c>
      <c r="AO38" s="348">
        <v>11832.938778237891</v>
      </c>
      <c r="AP38" s="348">
        <v>12526.352236393001</v>
      </c>
      <c r="AQ38" s="348">
        <v>12306.250477232959</v>
      </c>
      <c r="AR38" s="348">
        <v>13207.447346512021</v>
      </c>
      <c r="AS38" s="348">
        <v>13185.8171514278</v>
      </c>
      <c r="AT38" s="348">
        <v>12949.640310465549</v>
      </c>
      <c r="AU38" s="348">
        <v>13479.69607199231</v>
      </c>
      <c r="AV38" s="348">
        <v>13857.258826473721</v>
      </c>
      <c r="AW38" s="348">
        <v>13984.841511264111</v>
      </c>
      <c r="AX38" s="348">
        <v>14361.9576327759</v>
      </c>
      <c r="AY38" s="348">
        <v>15275.582881111661</v>
      </c>
      <c r="AZ38" s="348">
        <v>15850.23434962309</v>
      </c>
      <c r="BA38" s="348">
        <v>16040.315323609781</v>
      </c>
      <c r="BB38" s="348">
        <v>13489.950916829641</v>
      </c>
      <c r="BC38" s="348">
        <v>14545.01980744265</v>
      </c>
      <c r="BD38" s="348">
        <v>15236.71888435222</v>
      </c>
      <c r="BE38" s="348">
        <v>14957.61891429318</v>
      </c>
      <c r="BF38" s="348">
        <v>16369.425297145401</v>
      </c>
      <c r="BG38" s="348">
        <v>17052.192410536059</v>
      </c>
      <c r="BH38" s="348">
        <v>15994.96430421008</v>
      </c>
      <c r="BI38" s="348">
        <v>16905.588740873049</v>
      </c>
      <c r="BJ38" s="348">
        <v>17352.895845145351</v>
      </c>
      <c r="BK38" s="348">
        <v>17825.018569213011</v>
      </c>
      <c r="BL38" s="348">
        <v>18106.01054711243</v>
      </c>
      <c r="BM38" s="348">
        <v>16289.39135826454</v>
      </c>
      <c r="BN38" s="348">
        <v>17960.625444743731</v>
      </c>
      <c r="BO38" s="348">
        <v>18647.37345888319</v>
      </c>
      <c r="BP38" s="348">
        <v>18932.480271233409</v>
      </c>
      <c r="BQ38" s="350">
        <v>18068.505071428321</v>
      </c>
    </row>
    <row r="39" spans="1:69" x14ac:dyDescent="0.25">
      <c r="A39" s="348" t="s">
        <v>1112</v>
      </c>
      <c r="B39" s="348" t="s">
        <v>1113</v>
      </c>
      <c r="C39" s="348" t="s">
        <v>1578</v>
      </c>
      <c r="D39" s="348" t="s">
        <v>1579</v>
      </c>
      <c r="AI39" s="348">
        <v>1481.2525509425841</v>
      </c>
      <c r="AJ39" s="348">
        <v>1427.69018313539</v>
      </c>
      <c r="AK39" s="348">
        <v>1294.202547257675</v>
      </c>
      <c r="AL39" s="348">
        <v>1257.8284033824009</v>
      </c>
      <c r="AM39" s="348">
        <v>1278.9150914506281</v>
      </c>
      <c r="AN39" s="348">
        <v>1334.1032298178361</v>
      </c>
      <c r="AO39" s="348">
        <v>1247.9687525828019</v>
      </c>
      <c r="AP39" s="348">
        <v>1278.488260627812</v>
      </c>
      <c r="AQ39" s="348">
        <v>1302.7514283078169</v>
      </c>
      <c r="AR39" s="348">
        <v>1313.2357090208809</v>
      </c>
      <c r="AS39" s="348">
        <v>1245.813995635986</v>
      </c>
      <c r="AT39" s="348">
        <v>1272.8571075850509</v>
      </c>
      <c r="AU39" s="348">
        <v>1290.3831491712631</v>
      </c>
      <c r="AV39" s="348">
        <v>1191.873152006197</v>
      </c>
      <c r="AW39" s="348">
        <v>1236.285347121657</v>
      </c>
      <c r="AX39" s="348">
        <v>1219.593944567398</v>
      </c>
      <c r="AY39" s="348">
        <v>1251.8708217133531</v>
      </c>
      <c r="AZ39" s="348">
        <v>1284.552835906657</v>
      </c>
      <c r="BA39" s="348">
        <v>1283.272826310596</v>
      </c>
      <c r="BB39" s="348">
        <v>1402.681647708011</v>
      </c>
      <c r="BC39" s="348">
        <v>1479.41367757692</v>
      </c>
      <c r="BD39" s="348">
        <v>1517.1483909101109</v>
      </c>
      <c r="BE39" s="348">
        <v>1577.98053252253</v>
      </c>
      <c r="BF39" s="348">
        <v>996.89635592391244</v>
      </c>
      <c r="BG39" s="348">
        <v>1001.855980534957</v>
      </c>
      <c r="BH39" s="348">
        <v>1043.921716971573</v>
      </c>
      <c r="BI39" s="348">
        <v>1073.9447770373911</v>
      </c>
      <c r="BJ39" s="348">
        <v>1103.866093187238</v>
      </c>
      <c r="BK39" s="348">
        <v>1125.7009174822799</v>
      </c>
      <c r="BL39" s="348">
        <v>1145.0956365775189</v>
      </c>
      <c r="BM39" s="348">
        <v>1136.570529937575</v>
      </c>
      <c r="BN39" s="348">
        <v>1128.552379964586</v>
      </c>
      <c r="BO39" s="348">
        <v>1136.8017110704459</v>
      </c>
      <c r="BP39" s="348">
        <v>1132.676433698038</v>
      </c>
      <c r="BQ39" s="350">
        <v>1111.219416388828</v>
      </c>
    </row>
    <row r="40" spans="1:69" x14ac:dyDescent="0.25">
      <c r="A40" s="348" t="s">
        <v>1114</v>
      </c>
      <c r="B40" s="348" t="s">
        <v>1115</v>
      </c>
      <c r="C40" s="348" t="s">
        <v>1578</v>
      </c>
      <c r="D40" s="348" t="s">
        <v>1579</v>
      </c>
      <c r="AI40" s="348">
        <v>40475.112391425908</v>
      </c>
      <c r="AJ40" s="348">
        <v>39139.312285229171</v>
      </c>
      <c r="AK40" s="348">
        <v>39023.182197815033</v>
      </c>
      <c r="AL40" s="348">
        <v>39622.479061750862</v>
      </c>
      <c r="AM40" s="348">
        <v>40952.135932529673</v>
      </c>
      <c r="AN40" s="348">
        <v>41617.723323877908</v>
      </c>
      <c r="AO40" s="348">
        <v>41880.552098942768</v>
      </c>
      <c r="AP40" s="348">
        <v>43241.240706188662</v>
      </c>
      <c r="AQ40" s="348">
        <v>44553.282730369698</v>
      </c>
      <c r="AR40" s="348">
        <v>46464.545784155933</v>
      </c>
      <c r="AS40" s="348">
        <v>48399.305538935943</v>
      </c>
      <c r="AT40" s="348">
        <v>48774.167553413827</v>
      </c>
      <c r="AU40" s="348">
        <v>49695.006690986738</v>
      </c>
      <c r="AV40" s="348">
        <v>50139.786234700732</v>
      </c>
      <c r="AW40" s="348">
        <v>51210.679611873529</v>
      </c>
      <c r="AX40" s="348">
        <v>52356.557803853379</v>
      </c>
      <c r="AY40" s="348">
        <v>53195.781842154967</v>
      </c>
      <c r="AZ40" s="348">
        <v>53761.862029811251</v>
      </c>
      <c r="BA40" s="348">
        <v>53711.679206497472</v>
      </c>
      <c r="BB40" s="348">
        <v>51552.422383789519</v>
      </c>
      <c r="BC40" s="348">
        <v>52558.440814216767</v>
      </c>
      <c r="BD40" s="348">
        <v>53681.129670056922</v>
      </c>
      <c r="BE40" s="348">
        <v>54034.803475198831</v>
      </c>
      <c r="BF40" s="348">
        <v>54712.178423981022</v>
      </c>
      <c r="BG40" s="348">
        <v>55723.483540415917</v>
      </c>
      <c r="BH40" s="348">
        <v>55660.867527261427</v>
      </c>
      <c r="BI40" s="348">
        <v>55606.154919194742</v>
      </c>
      <c r="BJ40" s="348">
        <v>56612.328536744833</v>
      </c>
      <c r="BK40" s="348">
        <v>57337.490909999113</v>
      </c>
      <c r="BL40" s="348">
        <v>57583.845798092021</v>
      </c>
      <c r="BM40" s="348">
        <v>54092.87903177963</v>
      </c>
      <c r="BN40" s="348">
        <v>56995.117678135117</v>
      </c>
      <c r="BO40" s="348">
        <v>58321.061183462363</v>
      </c>
      <c r="BP40" s="348">
        <v>57517.443158743183</v>
      </c>
      <c r="BQ40" s="350">
        <v>56706.82380319776</v>
      </c>
    </row>
    <row r="41" spans="1:69" x14ac:dyDescent="0.25">
      <c r="A41" s="348" t="s">
        <v>1116</v>
      </c>
      <c r="B41" s="348" t="s">
        <v>1117</v>
      </c>
      <c r="C41" s="348" t="s">
        <v>1578</v>
      </c>
      <c r="D41" s="348" t="s">
        <v>1579</v>
      </c>
      <c r="AI41" s="348">
        <v>17293.754225273449</v>
      </c>
      <c r="AJ41" s="348">
        <v>15451.934058147839</v>
      </c>
      <c r="AK41" s="348">
        <v>14722.85386404507</v>
      </c>
      <c r="AL41" s="348">
        <v>14768.81697205753</v>
      </c>
      <c r="AM41" s="348">
        <v>15311.130077101499</v>
      </c>
      <c r="AN41" s="348">
        <v>16209.428249617549</v>
      </c>
      <c r="AO41" s="348">
        <v>16972.492442011109</v>
      </c>
      <c r="AP41" s="348">
        <v>17271.960468284331</v>
      </c>
      <c r="AQ41" s="348">
        <v>17726.906990531279</v>
      </c>
      <c r="AR41" s="348">
        <v>18053.547738179848</v>
      </c>
      <c r="AS41" s="348">
        <v>18867.105554768219</v>
      </c>
      <c r="AT41" s="348">
        <v>19591.2335941249</v>
      </c>
      <c r="AU41" s="348">
        <v>20437.753136533851</v>
      </c>
      <c r="AV41" s="348">
        <v>21307.643671106569</v>
      </c>
      <c r="AW41" s="348">
        <v>22666.08597745507</v>
      </c>
      <c r="AX41" s="348">
        <v>23837.3866148425</v>
      </c>
      <c r="AY41" s="348">
        <v>25490.83349365709</v>
      </c>
      <c r="AZ41" s="348">
        <v>27204.98977016599</v>
      </c>
      <c r="BA41" s="348">
        <v>28468.596415397751</v>
      </c>
      <c r="BB41" s="348">
        <v>27511.740279563492</v>
      </c>
      <c r="BC41" s="348">
        <v>27958.157255814851</v>
      </c>
      <c r="BD41" s="348">
        <v>29053.141041162078</v>
      </c>
      <c r="BE41" s="348">
        <v>29385.841107223769</v>
      </c>
      <c r="BF41" s="348">
        <v>29678.349327162879</v>
      </c>
      <c r="BG41" s="348">
        <v>30741.187529597759</v>
      </c>
      <c r="BH41" s="348">
        <v>32054.2619067409</v>
      </c>
      <c r="BI41" s="348">
        <v>33063.423580635717</v>
      </c>
      <c r="BJ41" s="348">
        <v>34898.893346806413</v>
      </c>
      <c r="BK41" s="348">
        <v>36731.398944930283</v>
      </c>
      <c r="BL41" s="348">
        <v>38302.292460828598</v>
      </c>
      <c r="BM41" s="348">
        <v>37280.285845859224</v>
      </c>
      <c r="BN41" s="348">
        <v>40122.470864072202</v>
      </c>
      <c r="BO41" s="348">
        <v>41834.725405381221</v>
      </c>
      <c r="BP41" s="348">
        <v>42109.679726414877</v>
      </c>
      <c r="BQ41" s="350">
        <v>43029.383330725374</v>
      </c>
    </row>
    <row r="42" spans="1:69" x14ac:dyDescent="0.25">
      <c r="A42" s="348" t="s">
        <v>1118</v>
      </c>
      <c r="B42" s="348" t="s">
        <v>1119</v>
      </c>
      <c r="C42" s="348" t="s">
        <v>1578</v>
      </c>
      <c r="D42" s="348" t="s">
        <v>1579</v>
      </c>
      <c r="AI42" s="348">
        <v>64010.758554403183</v>
      </c>
      <c r="AJ42" s="348">
        <v>62636.774106725592</v>
      </c>
      <c r="AK42" s="348">
        <v>61922.890844433306</v>
      </c>
      <c r="AL42" s="348">
        <v>61284.204258775797</v>
      </c>
      <c r="AM42" s="348">
        <v>61569.596540561353</v>
      </c>
      <c r="AN42" s="348">
        <v>61453.629702066617</v>
      </c>
      <c r="AO42" s="348">
        <v>61471.168963339267</v>
      </c>
      <c r="AP42" s="348">
        <v>62709.987117184122</v>
      </c>
      <c r="AQ42" s="348">
        <v>64418.385759283803</v>
      </c>
      <c r="AR42" s="348">
        <v>65177.882200507367</v>
      </c>
      <c r="AS42" s="348">
        <v>67378.39014728769</v>
      </c>
      <c r="AT42" s="348">
        <v>68008.344185285547</v>
      </c>
      <c r="AU42" s="348">
        <v>67446.404431026764</v>
      </c>
      <c r="AV42" s="348">
        <v>66926.167976442986</v>
      </c>
      <c r="AW42" s="348">
        <v>68263.44113908174</v>
      </c>
      <c r="AX42" s="348">
        <v>69692.595482749297</v>
      </c>
      <c r="AY42" s="348">
        <v>72077.859847030806</v>
      </c>
      <c r="AZ42" s="348">
        <v>74234.301099193122</v>
      </c>
      <c r="BA42" s="348">
        <v>75355.202488789029</v>
      </c>
      <c r="BB42" s="348">
        <v>72709.813829340826</v>
      </c>
      <c r="BC42" s="348">
        <v>74290.261962927849</v>
      </c>
      <c r="BD42" s="348">
        <v>74800.888635353316</v>
      </c>
      <c r="BE42" s="348">
        <v>74883.615892424903</v>
      </c>
      <c r="BF42" s="348">
        <v>75354.15505008836</v>
      </c>
      <c r="BG42" s="348">
        <v>76189.601844396893</v>
      </c>
      <c r="BH42" s="348">
        <v>76566.077254214775</v>
      </c>
      <c r="BI42" s="348">
        <v>77301.212430485743</v>
      </c>
      <c r="BJ42" s="348">
        <v>77626.90273769405</v>
      </c>
      <c r="BK42" s="348">
        <v>79261.35636412882</v>
      </c>
      <c r="BL42" s="348">
        <v>79596.702946509817</v>
      </c>
      <c r="BM42" s="348">
        <v>77324.887093400728</v>
      </c>
      <c r="BN42" s="348">
        <v>81001.411120611752</v>
      </c>
      <c r="BO42" s="348">
        <v>82777.293582075959</v>
      </c>
      <c r="BP42" s="348">
        <v>82295.299334656767</v>
      </c>
      <c r="BQ42" s="350">
        <v>82286.180189648774</v>
      </c>
    </row>
    <row r="43" spans="1:69" x14ac:dyDescent="0.25">
      <c r="A43" s="348" t="s">
        <v>1120</v>
      </c>
      <c r="B43" s="348" t="s">
        <v>1121</v>
      </c>
      <c r="C43" s="348" t="s">
        <v>1578</v>
      </c>
      <c r="D43" s="348" t="s">
        <v>1579</v>
      </c>
    </row>
    <row r="44" spans="1:69" x14ac:dyDescent="0.25">
      <c r="A44" s="348" t="s">
        <v>1122</v>
      </c>
      <c r="B44" s="348" t="s">
        <v>1123</v>
      </c>
      <c r="C44" s="348" t="s">
        <v>1578</v>
      </c>
      <c r="D44" s="348" t="s">
        <v>1579</v>
      </c>
      <c r="AI44" s="348">
        <v>10952.655754174581</v>
      </c>
      <c r="AJ44" s="348">
        <v>11607.530403426859</v>
      </c>
      <c r="AK44" s="348">
        <v>12735.601333340641</v>
      </c>
      <c r="AL44" s="348">
        <v>13377.305321353821</v>
      </c>
      <c r="AM44" s="348">
        <v>13846.348164071829</v>
      </c>
      <c r="AN44" s="348">
        <v>14908.034797454889</v>
      </c>
      <c r="AO44" s="348">
        <v>15744.7380005491</v>
      </c>
      <c r="AP44" s="348">
        <v>16683.90590312982</v>
      </c>
      <c r="AQ44" s="348">
        <v>17156.9718740639</v>
      </c>
      <c r="AR44" s="348">
        <v>16896.124471578551</v>
      </c>
      <c r="AS44" s="348">
        <v>17525.27172734787</v>
      </c>
      <c r="AT44" s="348">
        <v>17870.30083327114</v>
      </c>
      <c r="AU44" s="348">
        <v>18240.201560285721</v>
      </c>
      <c r="AV44" s="348">
        <v>18902.87087408056</v>
      </c>
      <c r="AW44" s="348">
        <v>19961.983579423279</v>
      </c>
      <c r="AX44" s="348">
        <v>20918.527576068129</v>
      </c>
      <c r="AY44" s="348">
        <v>21968.537535585419</v>
      </c>
      <c r="AZ44" s="348">
        <v>22878.883442878901</v>
      </c>
      <c r="BA44" s="348">
        <v>23509.781693144061</v>
      </c>
      <c r="BB44" s="348">
        <v>23013.58178938142</v>
      </c>
      <c r="BC44" s="348">
        <v>24116.769471561351</v>
      </c>
      <c r="BD44" s="348">
        <v>25366.269024982539</v>
      </c>
      <c r="BE44" s="348">
        <v>26670.49713384021</v>
      </c>
      <c r="BF44" s="348">
        <v>27291.357652595751</v>
      </c>
      <c r="BG44" s="348">
        <v>27505.04955241576</v>
      </c>
      <c r="BH44" s="348">
        <v>27811.37451586172</v>
      </c>
      <c r="BI44" s="348">
        <v>27958.728499668221</v>
      </c>
      <c r="BJ44" s="348">
        <v>27892.994686282698</v>
      </c>
      <c r="BK44" s="348">
        <v>28492.661145651549</v>
      </c>
      <c r="BL44" s="348">
        <v>28218.534387908061</v>
      </c>
      <c r="BM44" s="348">
        <v>26248.561643282472</v>
      </c>
      <c r="BN44" s="348">
        <v>29089.850459727979</v>
      </c>
      <c r="BO44" s="348">
        <v>29569.47755279372</v>
      </c>
      <c r="BP44" s="348">
        <v>29563.678024365949</v>
      </c>
      <c r="BQ44" s="350">
        <v>30182.787122471371</v>
      </c>
    </row>
    <row r="45" spans="1:69" x14ac:dyDescent="0.25">
      <c r="A45" s="348" t="s">
        <v>1124</v>
      </c>
      <c r="B45" s="348" t="s">
        <v>1125</v>
      </c>
      <c r="C45" s="348" t="s">
        <v>1578</v>
      </c>
      <c r="D45" s="348" t="s">
        <v>1579</v>
      </c>
      <c r="AI45" s="348">
        <v>1666.9277409057499</v>
      </c>
      <c r="AJ45" s="348">
        <v>1798.2761052865319</v>
      </c>
      <c r="AK45" s="348">
        <v>2030.3863699933211</v>
      </c>
      <c r="AL45" s="348">
        <v>2286.759744441822</v>
      </c>
      <c r="AM45" s="348">
        <v>2556.640572180967</v>
      </c>
      <c r="AN45" s="348">
        <v>2808.0340308961072</v>
      </c>
      <c r="AO45" s="348">
        <v>3055.969779197454</v>
      </c>
      <c r="AP45" s="348">
        <v>3305.7906108213051</v>
      </c>
      <c r="AQ45" s="348">
        <v>3533.5658702150622</v>
      </c>
      <c r="AR45" s="348">
        <v>3774.137663626409</v>
      </c>
      <c r="AS45" s="348">
        <v>4066.036270198591</v>
      </c>
      <c r="AT45" s="348">
        <v>4372.1570557993409</v>
      </c>
      <c r="AU45" s="348">
        <v>4744.3985507979442</v>
      </c>
      <c r="AV45" s="348">
        <v>5192.0060460858713</v>
      </c>
      <c r="AW45" s="348">
        <v>5684.1687305098139</v>
      </c>
      <c r="AX45" s="348">
        <v>6298.323184745158</v>
      </c>
      <c r="AY45" s="348">
        <v>7057.0999333164609</v>
      </c>
      <c r="AZ45" s="348">
        <v>8013.7156830224749</v>
      </c>
      <c r="BA45" s="348">
        <v>8743.744912321883</v>
      </c>
      <c r="BB45" s="348">
        <v>9518.4321473720393</v>
      </c>
      <c r="BC45" s="348">
        <v>10476.312363045099</v>
      </c>
      <c r="BD45" s="348">
        <v>11405.017284561731</v>
      </c>
      <c r="BE45" s="348">
        <v>12217.8543175465</v>
      </c>
      <c r="BF45" s="348">
        <v>13080.82881626676</v>
      </c>
      <c r="BG45" s="348">
        <v>13968.581485523961</v>
      </c>
      <c r="BH45" s="348">
        <v>14856.78076044614</v>
      </c>
      <c r="BI45" s="348">
        <v>15772.76475986956</v>
      </c>
      <c r="BJ45" s="348">
        <v>16757.973631866189</v>
      </c>
      <c r="BK45" s="348">
        <v>17806.790234972472</v>
      </c>
      <c r="BL45" s="348">
        <v>18820.513103364621</v>
      </c>
      <c r="BM45" s="348">
        <v>19215.15417034653</v>
      </c>
      <c r="BN45" s="348">
        <v>20843.297834737648</v>
      </c>
      <c r="BO45" s="348">
        <v>21499.382283442668</v>
      </c>
      <c r="BP45" s="348">
        <v>22687.075872394249</v>
      </c>
      <c r="BQ45" s="350">
        <v>23845.61972172591</v>
      </c>
    </row>
    <row r="46" spans="1:69" x14ac:dyDescent="0.25">
      <c r="A46" s="348" t="s">
        <v>1126</v>
      </c>
      <c r="B46" s="348" t="s">
        <v>1127</v>
      </c>
      <c r="C46" s="348" t="s">
        <v>1578</v>
      </c>
      <c r="D46" s="348" t="s">
        <v>1579</v>
      </c>
      <c r="AI46" s="348">
        <v>5255.509626384006</v>
      </c>
      <c r="AJ46" s="348">
        <v>5052.8516705138654</v>
      </c>
      <c r="AK46" s="348">
        <v>4843.2934925635263</v>
      </c>
      <c r="AL46" s="348">
        <v>4645.4675087180522</v>
      </c>
      <c r="AM46" s="348">
        <v>4502.4595340441501</v>
      </c>
      <c r="AN46" s="348">
        <v>4638.7573248250201</v>
      </c>
      <c r="AO46" s="348">
        <v>4807.4242817802551</v>
      </c>
      <c r="AP46" s="348">
        <v>5072.5970380266699</v>
      </c>
      <c r="AQ46" s="348">
        <v>5093.131694385288</v>
      </c>
      <c r="AR46" s="348">
        <v>4987.3570853026513</v>
      </c>
      <c r="AS46" s="348">
        <v>4838.3402372993814</v>
      </c>
      <c r="AT46" s="348">
        <v>4609.144693953026</v>
      </c>
      <c r="AU46" s="348">
        <v>4368.9280883727934</v>
      </c>
      <c r="AV46" s="348">
        <v>4060.0003803842678</v>
      </c>
      <c r="AW46" s="348">
        <v>4088.9451732847192</v>
      </c>
      <c r="AX46" s="348">
        <v>4032.2458802984638</v>
      </c>
      <c r="AY46" s="348">
        <v>4049.2603296249622</v>
      </c>
      <c r="AZ46" s="348">
        <v>3999.690956822084</v>
      </c>
      <c r="BA46" s="348">
        <v>4096.7234691893109</v>
      </c>
      <c r="BB46" s="348">
        <v>4151.0536087498176</v>
      </c>
      <c r="BC46" s="348">
        <v>4338.652483941416</v>
      </c>
      <c r="BD46" s="348">
        <v>4017.4078204020761</v>
      </c>
      <c r="BE46" s="348">
        <v>4234.180555933187</v>
      </c>
      <c r="BF46" s="348">
        <v>4597.186352398664</v>
      </c>
      <c r="BG46" s="348">
        <v>4907.5745029451627</v>
      </c>
      <c r="BH46" s="348">
        <v>5110.8624080988138</v>
      </c>
      <c r="BI46" s="348">
        <v>5320.8464623985519</v>
      </c>
      <c r="BJ46" s="348">
        <v>5556.1136632289827</v>
      </c>
      <c r="BK46" s="348">
        <v>5670.2000535668776</v>
      </c>
      <c r="BL46" s="348">
        <v>5894.8787467415314</v>
      </c>
      <c r="BM46" s="348">
        <v>5787.8153330901787</v>
      </c>
      <c r="BN46" s="348">
        <v>6045.2048049087944</v>
      </c>
      <c r="BO46" s="348">
        <v>6272.2639575941494</v>
      </c>
      <c r="BP46" s="348">
        <v>6520.8988646003063</v>
      </c>
      <c r="BQ46" s="350">
        <v>6747.0379677738792</v>
      </c>
    </row>
    <row r="47" spans="1:69" x14ac:dyDescent="0.25">
      <c r="A47" s="348" t="s">
        <v>1128</v>
      </c>
      <c r="B47" s="348" t="s">
        <v>1129</v>
      </c>
      <c r="C47" s="348" t="s">
        <v>1578</v>
      </c>
      <c r="D47" s="348" t="s">
        <v>1579</v>
      </c>
      <c r="AI47" s="348">
        <v>4517.6188777961816</v>
      </c>
      <c r="AJ47" s="348">
        <v>4220.6529738708414</v>
      </c>
      <c r="AK47" s="348">
        <v>3974.277595011964</v>
      </c>
      <c r="AL47" s="348">
        <v>3556.3185442459221</v>
      </c>
      <c r="AM47" s="348">
        <v>3522.7488528574931</v>
      </c>
      <c r="AN47" s="348">
        <v>3526.5436751033908</v>
      </c>
      <c r="AO47" s="348">
        <v>3577.5920413787071</v>
      </c>
      <c r="AP47" s="348">
        <v>3641.707504632775</v>
      </c>
      <c r="AQ47" s="348">
        <v>3714.1321260423601</v>
      </c>
      <c r="AR47" s="348">
        <v>3780.0621728219071</v>
      </c>
      <c r="AS47" s="348">
        <v>3822.9442535892581</v>
      </c>
      <c r="AT47" s="348">
        <v>3884.8730481271418</v>
      </c>
      <c r="AU47" s="348">
        <v>3951.4193623213218</v>
      </c>
      <c r="AV47" s="348">
        <v>4054.7813324651661</v>
      </c>
      <c r="AW47" s="348">
        <v>4222.9663868988546</v>
      </c>
      <c r="AX47" s="348">
        <v>4199.7227096936194</v>
      </c>
      <c r="AY47" s="348">
        <v>4241.5174472282069</v>
      </c>
      <c r="AZ47" s="348">
        <v>4302.6192630846981</v>
      </c>
      <c r="BA47" s="348">
        <v>4300.2664035246416</v>
      </c>
      <c r="BB47" s="348">
        <v>4286.5771816615597</v>
      </c>
      <c r="BC47" s="348">
        <v>4286.5830294737807</v>
      </c>
      <c r="BD47" s="348">
        <v>4307.8519555852718</v>
      </c>
      <c r="BE47" s="348">
        <v>4382.1112079735494</v>
      </c>
      <c r="BF47" s="348">
        <v>4473.5723189643404</v>
      </c>
      <c r="BG47" s="348">
        <v>4588.4864949902994</v>
      </c>
      <c r="BH47" s="348">
        <v>4698.6667784358669</v>
      </c>
      <c r="BI47" s="348">
        <v>4767.1318614895335</v>
      </c>
      <c r="BJ47" s="348">
        <v>4797.9754418554367</v>
      </c>
      <c r="BK47" s="348">
        <v>4851.4800394996064</v>
      </c>
      <c r="BL47" s="348">
        <v>4882.3556002889618</v>
      </c>
      <c r="BM47" s="348">
        <v>4763.4819438806553</v>
      </c>
      <c r="BN47" s="348">
        <v>4793.5562820019559</v>
      </c>
      <c r="BO47" s="348">
        <v>4843.6503820291646</v>
      </c>
      <c r="BP47" s="348">
        <v>4875.2512076800494</v>
      </c>
      <c r="BQ47" s="350">
        <v>4916.9335401949374</v>
      </c>
    </row>
    <row r="48" spans="1:69" x14ac:dyDescent="0.25">
      <c r="A48" s="348" t="s">
        <v>1130</v>
      </c>
      <c r="B48" s="348" t="s">
        <v>1131</v>
      </c>
      <c r="C48" s="348" t="s">
        <v>1578</v>
      </c>
      <c r="D48" s="348" t="s">
        <v>1579</v>
      </c>
      <c r="AI48" s="348">
        <v>2403.970250162401</v>
      </c>
      <c r="AJ48" s="348">
        <v>2129.448920379506</v>
      </c>
      <c r="AK48" s="348">
        <v>1842.5484850691989</v>
      </c>
      <c r="AL48" s="348">
        <v>1538.3969069622899</v>
      </c>
      <c r="AM48" s="348">
        <v>1410.0565537536099</v>
      </c>
      <c r="AN48" s="348">
        <v>1362.1877957229051</v>
      </c>
      <c r="AO48" s="348">
        <v>1322.5801196155251</v>
      </c>
      <c r="AP48" s="348">
        <v>1228.3907684680289</v>
      </c>
      <c r="AQ48" s="348">
        <v>1176.0504979648861</v>
      </c>
      <c r="AR48" s="348">
        <v>1088.650437253734</v>
      </c>
      <c r="AS48" s="348">
        <v>981.42208002649613</v>
      </c>
      <c r="AT48" s="348">
        <v>930.85782607450028</v>
      </c>
      <c r="AU48" s="348">
        <v>929.45280709219674</v>
      </c>
      <c r="AV48" s="348">
        <v>953.04464323797481</v>
      </c>
      <c r="AW48" s="348">
        <v>987.74692087767119</v>
      </c>
      <c r="AX48" s="348">
        <v>1016.633890766602</v>
      </c>
      <c r="AY48" s="348">
        <v>1036.1332961656269</v>
      </c>
      <c r="AZ48" s="348">
        <v>1091.004073345505</v>
      </c>
      <c r="BA48" s="348">
        <v>1136.9467210437981</v>
      </c>
      <c r="BB48" s="348">
        <v>1108.575069677951</v>
      </c>
      <c r="BC48" s="348">
        <v>1158.0142243965779</v>
      </c>
      <c r="BD48" s="348">
        <v>1205.739845654321</v>
      </c>
      <c r="BE48" s="348">
        <v>1267.238278140873</v>
      </c>
      <c r="BF48" s="348">
        <v>1342.7415611201609</v>
      </c>
      <c r="BG48" s="348">
        <v>1392.7584133467319</v>
      </c>
      <c r="BH48" s="348">
        <v>1433.21579814709</v>
      </c>
      <c r="BI48" s="348">
        <v>1388.8016321163309</v>
      </c>
      <c r="BJ48" s="348">
        <v>1395.7196176171169</v>
      </c>
      <c r="BK48" s="348">
        <v>1431.728526969297</v>
      </c>
      <c r="BL48" s="348">
        <v>1394.764614728932</v>
      </c>
      <c r="BM48" s="348">
        <v>1361.027910990083</v>
      </c>
      <c r="BN48" s="348">
        <v>1402.3856029522101</v>
      </c>
      <c r="BO48" s="348">
        <v>1484.3384188144919</v>
      </c>
      <c r="BP48" s="348">
        <v>1559.3380647585921</v>
      </c>
      <c r="BQ48" s="350">
        <v>1602.074979894996</v>
      </c>
    </row>
    <row r="49" spans="1:69" x14ac:dyDescent="0.25">
      <c r="A49" s="348" t="s">
        <v>1132</v>
      </c>
      <c r="B49" s="348" t="s">
        <v>1133</v>
      </c>
      <c r="C49" s="348" t="s">
        <v>1578</v>
      </c>
      <c r="D49" s="348" t="s">
        <v>1579</v>
      </c>
      <c r="AI49" s="348">
        <v>8699.5268387061478</v>
      </c>
      <c r="AJ49" s="348">
        <v>8658.1614528600549</v>
      </c>
      <c r="AK49" s="348">
        <v>8636.6371920992315</v>
      </c>
      <c r="AL49" s="348">
        <v>8302.6972683494114</v>
      </c>
      <c r="AM49" s="348">
        <v>7617.6075027481147</v>
      </c>
      <c r="AN49" s="348">
        <v>7701.3246853333594</v>
      </c>
      <c r="AO49" s="348">
        <v>7812.047799716408</v>
      </c>
      <c r="AP49" s="348">
        <v>7599.0481538858739</v>
      </c>
      <c r="AQ49" s="348">
        <v>7711.6321257604977</v>
      </c>
      <c r="AR49" s="348">
        <v>7312.326650716208</v>
      </c>
      <c r="AS49" s="348">
        <v>7570.5827929734232</v>
      </c>
      <c r="AT49" s="348">
        <v>7567.4391681710385</v>
      </c>
      <c r="AU49" s="348">
        <v>7729.388901418899</v>
      </c>
      <c r="AV49" s="348">
        <v>7577.4563045635241</v>
      </c>
      <c r="AW49" s="348">
        <v>7577.4459727415251</v>
      </c>
      <c r="AX49" s="348">
        <v>7876.1180665828497</v>
      </c>
      <c r="AY49" s="348">
        <v>8192.5797971902302</v>
      </c>
      <c r="AZ49" s="348">
        <v>7375.8245410014488</v>
      </c>
      <c r="BA49" s="348">
        <v>7587.2882616349198</v>
      </c>
      <c r="BB49" s="348">
        <v>8138.4503381882241</v>
      </c>
      <c r="BC49" s="348">
        <v>8583.661798342875</v>
      </c>
      <c r="BD49" s="348">
        <v>8492.4209839210343</v>
      </c>
      <c r="BE49" s="348">
        <v>9079.6865640089072</v>
      </c>
      <c r="BF49" s="348">
        <v>8798.4938250631385</v>
      </c>
      <c r="BG49" s="348">
        <v>9159.2566441404542</v>
      </c>
      <c r="BH49" s="348">
        <v>8977.706816414171</v>
      </c>
      <c r="BI49" s="348">
        <v>8001.8255194505027</v>
      </c>
      <c r="BJ49" s="348">
        <v>7372.7704673759881</v>
      </c>
      <c r="BK49" s="348">
        <v>7029.3365156625696</v>
      </c>
      <c r="BL49" s="348">
        <v>6939.3691339746583</v>
      </c>
      <c r="BM49" s="348">
        <v>6350.5091340972176</v>
      </c>
      <c r="BN49" s="348">
        <v>6263.2116129263632</v>
      </c>
      <c r="BO49" s="348">
        <v>6205.1050414034034</v>
      </c>
      <c r="BP49" s="348">
        <v>6172.2877665068272</v>
      </c>
      <c r="BQ49" s="350">
        <v>6181.4707163596686</v>
      </c>
    </row>
    <row r="50" spans="1:69" x14ac:dyDescent="0.25">
      <c r="A50" s="348" t="s">
        <v>1134</v>
      </c>
      <c r="B50" s="348" t="s">
        <v>1135</v>
      </c>
      <c r="C50" s="348" t="s">
        <v>1578</v>
      </c>
      <c r="D50" s="348" t="s">
        <v>1579</v>
      </c>
      <c r="AI50" s="348">
        <v>9998.8106968446282</v>
      </c>
      <c r="AJ50" s="348">
        <v>9996.0978604328029</v>
      </c>
      <c r="AK50" s="348">
        <v>10196.43297074683</v>
      </c>
      <c r="AL50" s="348">
        <v>10533.11495617342</v>
      </c>
      <c r="AM50" s="348">
        <v>10927.938949160711</v>
      </c>
      <c r="AN50" s="348">
        <v>11279.000457934681</v>
      </c>
      <c r="AO50" s="348">
        <v>11303.13088591861</v>
      </c>
      <c r="AP50" s="348">
        <v>11483.505012590669</v>
      </c>
      <c r="AQ50" s="348">
        <v>11343.87991157328</v>
      </c>
      <c r="AR50" s="348">
        <v>10679.7092686089</v>
      </c>
      <c r="AS50" s="348">
        <v>10813.49422500105</v>
      </c>
      <c r="AT50" s="348">
        <v>10823.450487880729</v>
      </c>
      <c r="AU50" s="348">
        <v>10925.14856020823</v>
      </c>
      <c r="AV50" s="348">
        <v>11183.291181979341</v>
      </c>
      <c r="AW50" s="348">
        <v>11607.93849351049</v>
      </c>
      <c r="AX50" s="348">
        <v>11999.254959130451</v>
      </c>
      <c r="AY50" s="348">
        <v>12636.624657772411</v>
      </c>
      <c r="AZ50" s="348">
        <v>13318.303313816759</v>
      </c>
      <c r="BA50" s="348">
        <v>13591.060902856671</v>
      </c>
      <c r="BB50" s="348">
        <v>13586.75184309816</v>
      </c>
      <c r="BC50" s="348">
        <v>14037.06426686389</v>
      </c>
      <c r="BD50" s="348">
        <v>14852.369951306109</v>
      </c>
      <c r="BE50" s="348">
        <v>15279.47900080579</v>
      </c>
      <c r="BF50" s="348">
        <v>15912.24712932389</v>
      </c>
      <c r="BG50" s="348">
        <v>16480.363147416108</v>
      </c>
      <c r="BH50" s="348">
        <v>16821.380140063058</v>
      </c>
      <c r="BI50" s="348">
        <v>17003.244366485011</v>
      </c>
      <c r="BJ50" s="348">
        <v>16986.03341828422</v>
      </c>
      <c r="BK50" s="348">
        <v>17104.13135456782</v>
      </c>
      <c r="BL50" s="348">
        <v>17336.771603055058</v>
      </c>
      <c r="BM50" s="348">
        <v>15861.49992912953</v>
      </c>
      <c r="BN50" s="348">
        <v>17383.090172829528</v>
      </c>
      <c r="BO50" s="348">
        <v>18458.72094607036</v>
      </c>
      <c r="BP50" s="348">
        <v>18382.997680047531</v>
      </c>
      <c r="BQ50" s="350">
        <v>18477.214666453579</v>
      </c>
    </row>
    <row r="51" spans="1:69" x14ac:dyDescent="0.25">
      <c r="A51" s="348" t="s">
        <v>1136</v>
      </c>
      <c r="B51" s="348" t="s">
        <v>1137</v>
      </c>
      <c r="C51" s="348" t="s">
        <v>1578</v>
      </c>
      <c r="D51" s="348" t="s">
        <v>1579</v>
      </c>
      <c r="AI51" s="348">
        <v>3114.5617035553691</v>
      </c>
      <c r="AJ51" s="348">
        <v>2852.1767756821541</v>
      </c>
      <c r="AK51" s="348">
        <v>2999.1225076854298</v>
      </c>
      <c r="AL51" s="348">
        <v>3019.8837622068272</v>
      </c>
      <c r="AM51" s="348">
        <v>2848.618994026468</v>
      </c>
      <c r="AN51" s="348">
        <v>2957.4089829976692</v>
      </c>
      <c r="AO51" s="348">
        <v>2892.08263672469</v>
      </c>
      <c r="AP51" s="348">
        <v>2968.077247428942</v>
      </c>
      <c r="AQ51" s="348">
        <v>2918.1330044537649</v>
      </c>
      <c r="AR51" s="348">
        <v>2943.9200617256788</v>
      </c>
      <c r="AS51" s="348">
        <v>2858.8569212145721</v>
      </c>
      <c r="AT51" s="348">
        <v>2952.4423520582368</v>
      </c>
      <c r="AU51" s="348">
        <v>3023.5243438943371</v>
      </c>
      <c r="AV51" s="348">
        <v>3023.1898537914922</v>
      </c>
      <c r="AW51" s="348">
        <v>3058.3833842143408</v>
      </c>
      <c r="AX51" s="348">
        <v>3166.3626823958339</v>
      </c>
      <c r="AY51" s="348">
        <v>3048.6923665502841</v>
      </c>
      <c r="AZ51" s="348">
        <v>3012.547466868938</v>
      </c>
      <c r="BA51" s="348">
        <v>3070.369528924964</v>
      </c>
      <c r="BB51" s="348">
        <v>3107.4529702979821</v>
      </c>
      <c r="BC51" s="348">
        <v>3161.3748115256449</v>
      </c>
      <c r="BD51" s="348">
        <v>3227.2165358291932</v>
      </c>
      <c r="BE51" s="348">
        <v>3263.1631639271241</v>
      </c>
      <c r="BF51" s="348">
        <v>3337.5985971923769</v>
      </c>
      <c r="BG51" s="348">
        <v>3334.5751278096532</v>
      </c>
      <c r="BH51" s="348">
        <v>3302.3863512932221</v>
      </c>
      <c r="BI51" s="348">
        <v>3342.7667709288298</v>
      </c>
      <c r="BJ51" s="348">
        <v>3401.8523932257308</v>
      </c>
      <c r="BK51" s="348">
        <v>3457.586857987324</v>
      </c>
      <c r="BL51" s="348">
        <v>3451.4213933877231</v>
      </c>
      <c r="BM51" s="348">
        <v>3377.745640516383</v>
      </c>
      <c r="BN51" s="348">
        <v>3377.8851848258669</v>
      </c>
      <c r="BO51" s="348">
        <v>3399.2783077697618</v>
      </c>
      <c r="BP51" s="348">
        <v>3434.401773677233</v>
      </c>
      <c r="BQ51" s="350">
        <v>3482.5348603747811</v>
      </c>
    </row>
    <row r="52" spans="1:69" x14ac:dyDescent="0.25">
      <c r="A52" s="348" t="s">
        <v>1138</v>
      </c>
      <c r="B52" s="348" t="s">
        <v>1139</v>
      </c>
      <c r="C52" s="348" t="s">
        <v>1578</v>
      </c>
      <c r="D52" s="348" t="s">
        <v>1579</v>
      </c>
      <c r="AI52" s="348">
        <v>1848.758652355745</v>
      </c>
      <c r="AJ52" s="348">
        <v>1830.075996562108</v>
      </c>
      <c r="AK52" s="348">
        <v>1984.6806299883469</v>
      </c>
      <c r="AL52" s="348">
        <v>2111.6214081474832</v>
      </c>
      <c r="AM52" s="348">
        <v>2465.9939315017</v>
      </c>
      <c r="AN52" s="348">
        <v>2763.3973337185671</v>
      </c>
      <c r="AO52" s="348">
        <v>3022.8882521158462</v>
      </c>
      <c r="AP52" s="348">
        <v>3302.9740337535982</v>
      </c>
      <c r="AQ52" s="348">
        <v>3657.3811899377579</v>
      </c>
      <c r="AR52" s="348">
        <v>4006.4796471879899</v>
      </c>
      <c r="AS52" s="348">
        <v>4510.13573659758</v>
      </c>
      <c r="AT52" s="348">
        <v>4540.9073178051813</v>
      </c>
      <c r="AU52" s="348">
        <v>4710.241049122802</v>
      </c>
      <c r="AV52" s="348">
        <v>4841.2653987149979</v>
      </c>
      <c r="AW52" s="348">
        <v>5268.3031248570833</v>
      </c>
      <c r="AX52" s="348">
        <v>5565.7695120806902</v>
      </c>
      <c r="AY52" s="348">
        <v>5941.3821809151132</v>
      </c>
      <c r="AZ52" s="348">
        <v>6767.4067738034664</v>
      </c>
      <c r="BA52" s="348">
        <v>7169.1394415536706</v>
      </c>
      <c r="BB52" s="348">
        <v>6994.5740991365001</v>
      </c>
      <c r="BC52" s="348">
        <v>7072.1215020734162</v>
      </c>
      <c r="BD52" s="348">
        <v>7325.7844183469151</v>
      </c>
      <c r="BE52" s="348">
        <v>7397.8222070247439</v>
      </c>
      <c r="BF52" s="348">
        <v>7440.662426501136</v>
      </c>
      <c r="BG52" s="348">
        <v>7491.0219822824283</v>
      </c>
      <c r="BH52" s="348">
        <v>7560.1364920246879</v>
      </c>
      <c r="BI52" s="348">
        <v>7881.303362277843</v>
      </c>
      <c r="BJ52" s="348">
        <v>8234.5600031245922</v>
      </c>
      <c r="BK52" s="348">
        <v>8531.1296164654905</v>
      </c>
      <c r="BL52" s="348">
        <v>9111.6299317326939</v>
      </c>
      <c r="BM52" s="348">
        <v>7207.8685396204819</v>
      </c>
      <c r="BN52" s="348">
        <v>7685.419213936686</v>
      </c>
      <c r="BO52" s="348">
        <v>8850.1066918811957</v>
      </c>
      <c r="BP52" s="348">
        <v>9228.4604533113961</v>
      </c>
      <c r="BQ52" s="350">
        <v>9848.9527635093473</v>
      </c>
    </row>
    <row r="53" spans="1:69" x14ac:dyDescent="0.25">
      <c r="A53" s="348" t="s">
        <v>1140</v>
      </c>
      <c r="B53" s="348" t="s">
        <v>1141</v>
      </c>
      <c r="C53" s="348" t="s">
        <v>1578</v>
      </c>
      <c r="D53" s="348" t="s">
        <v>1579</v>
      </c>
      <c r="AI53" s="348">
        <v>10953.426204638939</v>
      </c>
      <c r="AJ53" s="348">
        <v>10920.099404531449</v>
      </c>
      <c r="AK53" s="348">
        <v>11626.83612742992</v>
      </c>
      <c r="AL53" s="348">
        <v>12144.44874807333</v>
      </c>
      <c r="AM53" s="348">
        <v>12385.45456607817</v>
      </c>
      <c r="AN53" s="348">
        <v>12593.225506163701</v>
      </c>
      <c r="AO53" s="348">
        <v>12467.62121603513</v>
      </c>
      <c r="AP53" s="348">
        <v>12856.58327254595</v>
      </c>
      <c r="AQ53" s="348">
        <v>13481.059479965141</v>
      </c>
      <c r="AR53" s="348">
        <v>13760.9236981946</v>
      </c>
      <c r="AS53" s="348">
        <v>14018.74250103859</v>
      </c>
      <c r="AT53" s="348">
        <v>14250.46274917391</v>
      </c>
      <c r="AU53" s="348">
        <v>14495.99251054566</v>
      </c>
      <c r="AV53" s="348">
        <v>14891.33982168884</v>
      </c>
      <c r="AW53" s="348">
        <v>15323.28922014694</v>
      </c>
      <c r="AX53" s="348">
        <v>15703.962472050591</v>
      </c>
      <c r="AY53" s="348">
        <v>16620.135643206431</v>
      </c>
      <c r="AZ53" s="348">
        <v>17743.62273823563</v>
      </c>
      <c r="BA53" s="348">
        <v>18334.01359886158</v>
      </c>
      <c r="BB53" s="348">
        <v>17932.614780727501</v>
      </c>
      <c r="BC53" s="348">
        <v>18660.919822278269</v>
      </c>
      <c r="BD53" s="348">
        <v>19254.914215309891</v>
      </c>
      <c r="BE53" s="348">
        <v>19960.793325303472</v>
      </c>
      <c r="BF53" s="348">
        <v>20232.267079944591</v>
      </c>
      <c r="BG53" s="348">
        <v>20724.92176934228</v>
      </c>
      <c r="BH53" s="348">
        <v>21254.7840932049</v>
      </c>
      <c r="BI53" s="348">
        <v>21925.600080399909</v>
      </c>
      <c r="BJ53" s="348">
        <v>22622.553450251751</v>
      </c>
      <c r="BK53" s="348">
        <v>23005.3121471794</v>
      </c>
      <c r="BL53" s="348">
        <v>23364.783127574021</v>
      </c>
      <c r="BM53" s="348">
        <v>22211.861392169769</v>
      </c>
      <c r="BN53" s="348">
        <v>23852.925302000171</v>
      </c>
      <c r="BO53" s="348">
        <v>24831.71934803417</v>
      </c>
      <c r="BP53" s="348">
        <v>25979.62861507167</v>
      </c>
      <c r="BQ53" s="350">
        <v>26973.436158071901</v>
      </c>
    </row>
    <row r="54" spans="1:69" x14ac:dyDescent="0.25">
      <c r="A54" s="348" t="s">
        <v>1142</v>
      </c>
      <c r="B54" s="348" t="s">
        <v>1143</v>
      </c>
      <c r="C54" s="348" t="s">
        <v>1578</v>
      </c>
      <c r="D54" s="348" t="s">
        <v>1579</v>
      </c>
      <c r="AI54" s="348">
        <v>13198.27549394477</v>
      </c>
      <c r="AJ54" s="348">
        <v>13263.75582045575</v>
      </c>
      <c r="AK54" s="348">
        <v>13642.151658439539</v>
      </c>
      <c r="AL54" s="348">
        <v>13564.23885676041</v>
      </c>
      <c r="AM54" s="348">
        <v>13929.602153666239</v>
      </c>
      <c r="AN54" s="348">
        <v>14217.402214832289</v>
      </c>
      <c r="AO54" s="348">
        <v>14792.932981055241</v>
      </c>
      <c r="AP54" s="348">
        <v>15414.66501038923</v>
      </c>
      <c r="AQ54" s="348">
        <v>16040.251697736639</v>
      </c>
      <c r="AR54" s="348">
        <v>16699.46278410923</v>
      </c>
      <c r="AS54" s="348">
        <v>17334.169640825901</v>
      </c>
      <c r="AT54" s="348">
        <v>17624.67757810995</v>
      </c>
      <c r="AU54" s="348">
        <v>18248.81947719448</v>
      </c>
      <c r="AV54" s="348">
        <v>19438.904533404359</v>
      </c>
      <c r="AW54" s="348">
        <v>20350.473215143829</v>
      </c>
      <c r="AX54" s="348">
        <v>21417.15853472556</v>
      </c>
      <c r="AY54" s="348">
        <v>23105.18288680982</v>
      </c>
      <c r="AZ54" s="348">
        <v>23936.20043544878</v>
      </c>
      <c r="BA54" s="348">
        <v>24319.20511961314</v>
      </c>
      <c r="BB54" s="348">
        <v>23485.347640260399</v>
      </c>
      <c r="BC54" s="348">
        <v>23877.495511153469</v>
      </c>
      <c r="BD54" s="348">
        <v>24001.22711226785</v>
      </c>
      <c r="BE54" s="348">
        <v>24894.424326369299</v>
      </c>
      <c r="BF54" s="348">
        <v>25222.72957124055</v>
      </c>
      <c r="BG54" s="348">
        <v>25714.353066209809</v>
      </c>
      <c r="BH54" s="348">
        <v>25478.636097546609</v>
      </c>
      <c r="BI54" s="348">
        <v>24416.139102542769</v>
      </c>
      <c r="BJ54" s="348">
        <v>23997.91542563511</v>
      </c>
      <c r="BK54" s="348">
        <v>24087.80153397108</v>
      </c>
      <c r="BL54" s="348">
        <v>24160.984071848499</v>
      </c>
      <c r="BM54" s="348">
        <v>22301.795805180369</v>
      </c>
      <c r="BN54" s="348">
        <v>23493.305437543131</v>
      </c>
      <c r="BO54" s="348">
        <v>27046.70676877179</v>
      </c>
      <c r="BP54" s="348">
        <v>29615.156202148901</v>
      </c>
      <c r="BQ54" s="350">
        <v>33979.674159929818</v>
      </c>
    </row>
    <row r="55" spans="1:69" x14ac:dyDescent="0.25">
      <c r="A55" s="348" t="s">
        <v>1144</v>
      </c>
      <c r="B55" s="348" t="s">
        <v>1145</v>
      </c>
      <c r="C55" s="348" t="s">
        <v>1578</v>
      </c>
      <c r="D55" s="348" t="s">
        <v>1579</v>
      </c>
    </row>
    <row r="56" spans="1:69" x14ac:dyDescent="0.25">
      <c r="A56" s="348" t="s">
        <v>1146</v>
      </c>
      <c r="B56" s="348" t="s">
        <v>1147</v>
      </c>
      <c r="C56" s="348" t="s">
        <v>1578</v>
      </c>
      <c r="D56" s="348" t="s">
        <v>1579</v>
      </c>
      <c r="AS56" s="348">
        <v>34307.124787057946</v>
      </c>
      <c r="AT56" s="348">
        <v>35339.064579344471</v>
      </c>
      <c r="AU56" s="348">
        <v>35435.997290934632</v>
      </c>
      <c r="AV56" s="348">
        <v>34812.79089240812</v>
      </c>
      <c r="AW56" s="348">
        <v>34288.739962273263</v>
      </c>
      <c r="AX56" s="348">
        <v>33651.504311895187</v>
      </c>
      <c r="AY56" s="348">
        <v>33334.856514073967</v>
      </c>
      <c r="AZ56" s="348">
        <v>33490.254889459837</v>
      </c>
      <c r="BA56" s="348">
        <v>33795.130844342682</v>
      </c>
      <c r="BB56" s="348">
        <v>33397.39712626308</v>
      </c>
      <c r="BC56" s="348">
        <v>33004.554021480959</v>
      </c>
      <c r="BD56" s="348">
        <v>32704.355635266649</v>
      </c>
      <c r="BE56" s="348">
        <v>32320.87695675766</v>
      </c>
      <c r="BF56" s="348">
        <v>31753.384552981039</v>
      </c>
      <c r="BG56" s="348">
        <v>31128.64703623901</v>
      </c>
      <c r="BH56" s="348">
        <v>30861.320529817782</v>
      </c>
      <c r="BI56" s="348">
        <v>30209.78826527917</v>
      </c>
      <c r="BJ56" s="348">
        <v>29729.10100797527</v>
      </c>
      <c r="BK56" s="348">
        <v>29256.815406641919</v>
      </c>
      <c r="BL56" s="348">
        <v>28659.655702325061</v>
      </c>
      <c r="BM56" s="348">
        <v>23669.77077330184</v>
      </c>
      <c r="BN56" s="348">
        <v>24905.76844532444</v>
      </c>
      <c r="BO56" s="348">
        <v>26734.645781191612</v>
      </c>
      <c r="BP56" s="348">
        <v>27617.920491904151</v>
      </c>
      <c r="BQ56" s="350">
        <v>28762.05818043097</v>
      </c>
    </row>
    <row r="57" spans="1:69" x14ac:dyDescent="0.25">
      <c r="A57" s="348" t="s">
        <v>1148</v>
      </c>
      <c r="B57" s="348" t="s">
        <v>1149</v>
      </c>
      <c r="C57" s="348" t="s">
        <v>1578</v>
      </c>
      <c r="D57" s="348" t="s">
        <v>1579</v>
      </c>
      <c r="AY57" s="348">
        <v>92213.076821099603</v>
      </c>
      <c r="AZ57" s="348">
        <v>92343.726000197814</v>
      </c>
      <c r="BA57" s="348">
        <v>89380.151480109576</v>
      </c>
      <c r="BB57" s="348">
        <v>80631.844594362468</v>
      </c>
      <c r="BC57" s="348">
        <v>76294.764130859374</v>
      </c>
      <c r="BD57" s="348">
        <v>75094.830808591738</v>
      </c>
      <c r="BE57" s="348">
        <v>73982.677669449215</v>
      </c>
      <c r="BF57" s="348">
        <v>72988.705577628265</v>
      </c>
      <c r="BG57" s="348">
        <v>73051.811415359771</v>
      </c>
      <c r="BH57" s="348">
        <v>73315.38485849883</v>
      </c>
      <c r="BI57" s="348">
        <v>73941.859053833672</v>
      </c>
      <c r="BJ57" s="348">
        <v>74599.680767326339</v>
      </c>
      <c r="BK57" s="348">
        <v>76124.550125403475</v>
      </c>
      <c r="BL57" s="348">
        <v>77476.841282240654</v>
      </c>
      <c r="BM57" s="348">
        <v>72183.135904589479</v>
      </c>
      <c r="BN57" s="348">
        <v>74160.491400019106</v>
      </c>
      <c r="BO57" s="348">
        <v>76818.800403291563</v>
      </c>
      <c r="BP57" s="348">
        <v>79675.856848180789</v>
      </c>
    </row>
    <row r="58" spans="1:69" x14ac:dyDescent="0.25">
      <c r="A58" s="348" t="s">
        <v>1150</v>
      </c>
      <c r="B58" s="348" t="s">
        <v>1151</v>
      </c>
      <c r="C58" s="348" t="s">
        <v>1578</v>
      </c>
      <c r="D58" s="348" t="s">
        <v>1579</v>
      </c>
      <c r="AI58" s="348">
        <v>27666.650390625</v>
      </c>
      <c r="AJ58" s="348">
        <v>27159.0390625</v>
      </c>
      <c r="AK58" s="348">
        <v>28931.935546875</v>
      </c>
      <c r="AL58" s="348">
        <v>28439.33203125</v>
      </c>
      <c r="AM58" s="348">
        <v>29500.74609375</v>
      </c>
      <c r="AN58" s="348">
        <v>31393.376953125</v>
      </c>
      <c r="AO58" s="348">
        <v>31282.73828125</v>
      </c>
      <c r="AP58" s="348">
        <v>31656.9609375</v>
      </c>
      <c r="AQ58" s="348">
        <v>33182.125</v>
      </c>
      <c r="AR58" s="348">
        <v>34452.8671875</v>
      </c>
      <c r="AS58" s="348">
        <v>36121.81640625</v>
      </c>
      <c r="AT58" s="348">
        <v>37146.99609375</v>
      </c>
      <c r="AU58" s="348">
        <v>38090.93359375</v>
      </c>
      <c r="AV58" s="348">
        <v>38617.97265625</v>
      </c>
      <c r="AW58" s="348">
        <v>40020.08984375</v>
      </c>
      <c r="AX58" s="348">
        <v>41362.265625</v>
      </c>
      <c r="AY58" s="348">
        <v>42595.37890625</v>
      </c>
      <c r="AZ58" s="348">
        <v>43823.94140625</v>
      </c>
      <c r="BA58" s="348">
        <v>44295.8125</v>
      </c>
      <c r="BB58" s="348">
        <v>42253.5625</v>
      </c>
      <c r="BC58" s="348">
        <v>42102.45703125</v>
      </c>
      <c r="BD58" s="348">
        <v>41212.859375</v>
      </c>
      <c r="BE58" s="348">
        <v>39190.3828125</v>
      </c>
      <c r="BF58" s="348">
        <v>36650.72265625</v>
      </c>
      <c r="BG58" s="348">
        <v>36105.05078125</v>
      </c>
      <c r="BH58" s="348">
        <v>37258.65234375</v>
      </c>
      <c r="BI58" s="348">
        <v>39501.015625</v>
      </c>
      <c r="BJ58" s="348">
        <v>41418.16015625</v>
      </c>
      <c r="BK58" s="348">
        <v>43510.2109375</v>
      </c>
      <c r="BL58" s="348">
        <v>45454.36328125</v>
      </c>
      <c r="BM58" s="348">
        <v>43402.5390625</v>
      </c>
      <c r="BN58" s="348">
        <v>47632.76953125</v>
      </c>
      <c r="BO58" s="348">
        <v>50623.796875</v>
      </c>
      <c r="BP58" s="348">
        <v>51453.7265625</v>
      </c>
      <c r="BQ58" s="350">
        <v>52635.58203125</v>
      </c>
    </row>
    <row r="59" spans="1:69" x14ac:dyDescent="0.25">
      <c r="A59" s="348" t="s">
        <v>1152</v>
      </c>
      <c r="B59" s="348" t="s">
        <v>1153</v>
      </c>
      <c r="C59" s="348" t="s">
        <v>1578</v>
      </c>
      <c r="D59" s="348" t="s">
        <v>1579</v>
      </c>
      <c r="AI59" s="348">
        <v>27918.13751905664</v>
      </c>
      <c r="AJ59" s="348">
        <v>24734.77020625463</v>
      </c>
      <c r="AK59" s="348">
        <v>24584.329962605061</v>
      </c>
      <c r="AL59" s="348">
        <v>24573.991487752952</v>
      </c>
      <c r="AM59" s="348">
        <v>25279.79179617286</v>
      </c>
      <c r="AN59" s="348">
        <v>26869.019714939808</v>
      </c>
      <c r="AO59" s="348">
        <v>28021.670458433589</v>
      </c>
      <c r="AP59" s="348">
        <v>27884.739758534321</v>
      </c>
      <c r="AQ59" s="348">
        <v>27801.438780140801</v>
      </c>
      <c r="AR59" s="348">
        <v>28213.45550059971</v>
      </c>
      <c r="AS59" s="348">
        <v>29427.407001151361</v>
      </c>
      <c r="AT59" s="348">
        <v>30399.873076428281</v>
      </c>
      <c r="AU59" s="348">
        <v>30919.549661870162</v>
      </c>
      <c r="AV59" s="348">
        <v>31949.296314503419</v>
      </c>
      <c r="AW59" s="348">
        <v>33452.340800061407</v>
      </c>
      <c r="AX59" s="348">
        <v>35535.747996151047</v>
      </c>
      <c r="AY59" s="348">
        <v>37786.878174090532</v>
      </c>
      <c r="AZ59" s="348">
        <v>39629.00613247275</v>
      </c>
      <c r="BA59" s="348">
        <v>40328.342663009542</v>
      </c>
      <c r="BB59" s="348">
        <v>38175.142277333383</v>
      </c>
      <c r="BC59" s="348">
        <v>39097.388621875572</v>
      </c>
      <c r="BD59" s="348">
        <v>39708.162628019549</v>
      </c>
      <c r="BE59" s="348">
        <v>39347.049295684599</v>
      </c>
      <c r="BF59" s="348">
        <v>39317.553569237651</v>
      </c>
      <c r="BG59" s="348">
        <v>40158.01642757353</v>
      </c>
      <c r="BH59" s="348">
        <v>42066.575980080139</v>
      </c>
      <c r="BI59" s="348">
        <v>43069.465974472711</v>
      </c>
      <c r="BJ59" s="348">
        <v>45177.522605363367</v>
      </c>
      <c r="BK59" s="348">
        <v>46301.082036028987</v>
      </c>
      <c r="BL59" s="348">
        <v>47763.616552025429</v>
      </c>
      <c r="BM59" s="348">
        <v>45119.93873091392</v>
      </c>
      <c r="BN59" s="348">
        <v>47796.0337408466</v>
      </c>
      <c r="BO59" s="348">
        <v>48390.661678674951</v>
      </c>
      <c r="BP59" s="348">
        <v>47558.410676331398</v>
      </c>
      <c r="BQ59" s="350">
        <v>47963.896848578181</v>
      </c>
    </row>
    <row r="60" spans="1:69" x14ac:dyDescent="0.25">
      <c r="A60" s="348" t="s">
        <v>1154</v>
      </c>
      <c r="B60" s="348" t="s">
        <v>1155</v>
      </c>
      <c r="C60" s="348" t="s">
        <v>1578</v>
      </c>
      <c r="D60" s="348" t="s">
        <v>1579</v>
      </c>
      <c r="AI60" s="348">
        <v>42287.652720578211</v>
      </c>
      <c r="AJ60" s="348">
        <v>44125.1442791519</v>
      </c>
      <c r="AK60" s="348">
        <v>44672.692046593591</v>
      </c>
      <c r="AL60" s="348">
        <v>43948.148979269863</v>
      </c>
      <c r="AM60" s="348">
        <v>44933.294263164418</v>
      </c>
      <c r="AN60" s="348">
        <v>45475.685911491753</v>
      </c>
      <c r="AO60" s="348">
        <v>45814.852307263907</v>
      </c>
      <c r="AP60" s="348">
        <v>46596.181067285252</v>
      </c>
      <c r="AQ60" s="348">
        <v>47565.4526830045</v>
      </c>
      <c r="AR60" s="348">
        <v>48547.004077303092</v>
      </c>
      <c r="AS60" s="348">
        <v>49875.87641720588</v>
      </c>
      <c r="AT60" s="348">
        <v>50606.711461645733</v>
      </c>
      <c r="AU60" s="348">
        <v>50406.380068344253</v>
      </c>
      <c r="AV60" s="348">
        <v>50111.57525913194</v>
      </c>
      <c r="AW60" s="348">
        <v>50704.921988739807</v>
      </c>
      <c r="AX60" s="348">
        <v>51182.959161571802</v>
      </c>
      <c r="AY60" s="348">
        <v>53222.040928222617</v>
      </c>
      <c r="AZ60" s="348">
        <v>54832.961032844607</v>
      </c>
      <c r="BA60" s="348">
        <v>55425.110925124463</v>
      </c>
      <c r="BB60" s="348">
        <v>52484.855005538833</v>
      </c>
      <c r="BC60" s="348">
        <v>54738.708300671133</v>
      </c>
      <c r="BD60" s="348">
        <v>57858.422260235493</v>
      </c>
      <c r="BE60" s="348">
        <v>58017.585578314727</v>
      </c>
      <c r="BF60" s="348">
        <v>58089.170853829623</v>
      </c>
      <c r="BG60" s="348">
        <v>59108.697728931453</v>
      </c>
      <c r="BH60" s="348">
        <v>59573.708953968577</v>
      </c>
      <c r="BI60" s="348">
        <v>60407.971370375453</v>
      </c>
      <c r="BJ60" s="348">
        <v>61866.487220527553</v>
      </c>
      <c r="BK60" s="348">
        <v>62381.347877224143</v>
      </c>
      <c r="BL60" s="348">
        <v>62849.374186591187</v>
      </c>
      <c r="BM60" s="348">
        <v>60203.28976026304</v>
      </c>
      <c r="BN60" s="348">
        <v>62530.765319923943</v>
      </c>
      <c r="BO60" s="348">
        <v>63676.087821808011</v>
      </c>
      <c r="BP60" s="348">
        <v>63039.371969643173</v>
      </c>
      <c r="BQ60" s="350">
        <v>62554.554723243557</v>
      </c>
    </row>
    <row r="61" spans="1:69" x14ac:dyDescent="0.25">
      <c r="A61" s="348" t="s">
        <v>1156</v>
      </c>
      <c r="B61" s="348" t="s">
        <v>1157</v>
      </c>
      <c r="C61" s="348" t="s">
        <v>1578</v>
      </c>
      <c r="D61" s="348" t="s">
        <v>1579</v>
      </c>
      <c r="BF61" s="348">
        <v>4469.0740993313484</v>
      </c>
      <c r="BG61" s="348">
        <v>4705.0492677218363</v>
      </c>
      <c r="BH61" s="348">
        <v>4961.8681860592042</v>
      </c>
      <c r="BI61" s="348">
        <v>5226.5002610660658</v>
      </c>
      <c r="BJ61" s="348">
        <v>5421.9564914961311</v>
      </c>
      <c r="BK61" s="348">
        <v>5590.5042660485278</v>
      </c>
      <c r="BL61" s="348">
        <v>5809.3045504134116</v>
      </c>
      <c r="BM61" s="348">
        <v>5791.4776767987732</v>
      </c>
      <c r="BN61" s="348">
        <v>5960.1080739682457</v>
      </c>
      <c r="BO61" s="348">
        <v>6180.6799859460643</v>
      </c>
      <c r="BP61" s="348">
        <v>6510.6785906161904</v>
      </c>
      <c r="BQ61" s="350">
        <v>6871.1244045312887</v>
      </c>
    </row>
    <row r="62" spans="1:69" x14ac:dyDescent="0.25">
      <c r="A62" s="348" t="s">
        <v>1158</v>
      </c>
      <c r="B62" s="348" t="s">
        <v>1159</v>
      </c>
      <c r="C62" s="348" t="s">
        <v>1578</v>
      </c>
      <c r="D62" s="348" t="s">
        <v>1579</v>
      </c>
      <c r="AI62" s="348">
        <v>11311.55197620615</v>
      </c>
      <c r="AJ62" s="348">
        <v>11518.76467449446</v>
      </c>
      <c r="AK62" s="348">
        <v>11747.611714457071</v>
      </c>
      <c r="AL62" s="348">
        <v>11982.85925535728</v>
      </c>
      <c r="AM62" s="348">
        <v>11979.39925044964</v>
      </c>
      <c r="AN62" s="348">
        <v>12343.90012385453</v>
      </c>
      <c r="AO62" s="348">
        <v>12737.897235904929</v>
      </c>
      <c r="AP62" s="348">
        <v>13037.14913137549</v>
      </c>
      <c r="AQ62" s="348">
        <v>13563.45281994594</v>
      </c>
      <c r="AR62" s="348">
        <v>13661.678577417249</v>
      </c>
      <c r="AS62" s="348">
        <v>14054.654801604291</v>
      </c>
      <c r="AT62" s="348">
        <v>14091.54913875718</v>
      </c>
      <c r="AU62" s="348">
        <v>13640.70330574995</v>
      </c>
      <c r="AV62" s="348">
        <v>14398.001763683371</v>
      </c>
      <c r="AW62" s="348">
        <v>14962.245632601611</v>
      </c>
      <c r="AX62" s="348">
        <v>15080.520604098359</v>
      </c>
      <c r="AY62" s="348">
        <v>15727.70532323226</v>
      </c>
      <c r="AZ62" s="348">
        <v>16560.51790099443</v>
      </c>
      <c r="BA62" s="348">
        <v>17738.04056850485</v>
      </c>
      <c r="BB62" s="348">
        <v>17534.03396169631</v>
      </c>
      <c r="BC62" s="348">
        <v>17516.787957315151</v>
      </c>
      <c r="BD62" s="348">
        <v>17475.041106169829</v>
      </c>
      <c r="BE62" s="348">
        <v>17431.12880030632</v>
      </c>
      <c r="BF62" s="348">
        <v>17282.63680403676</v>
      </c>
      <c r="BG62" s="348">
        <v>17520.854626561271</v>
      </c>
      <c r="BH62" s="348">
        <v>16920.912655566761</v>
      </c>
      <c r="BI62" s="348">
        <v>17364.077304679289</v>
      </c>
      <c r="BJ62" s="348">
        <v>16314.229555889129</v>
      </c>
      <c r="BK62" s="348">
        <v>16877.124488064172</v>
      </c>
      <c r="BL62" s="348">
        <v>17619.43354167695</v>
      </c>
      <c r="BM62" s="348">
        <v>14919.530768671861</v>
      </c>
      <c r="BN62" s="348">
        <v>15808.974350394499</v>
      </c>
      <c r="BO62" s="348">
        <v>17550.800994646641</v>
      </c>
      <c r="BP62" s="348">
        <v>18278.22534019894</v>
      </c>
      <c r="BQ62" s="350">
        <v>18739.3640404986</v>
      </c>
    </row>
    <row r="63" spans="1:69" x14ac:dyDescent="0.25">
      <c r="A63" s="348" t="s">
        <v>1160</v>
      </c>
      <c r="B63" s="348" t="s">
        <v>1161</v>
      </c>
      <c r="C63" s="348" t="s">
        <v>1578</v>
      </c>
      <c r="D63" s="348" t="s">
        <v>1579</v>
      </c>
      <c r="AI63" s="348">
        <v>46200.47479573889</v>
      </c>
      <c r="AJ63" s="348">
        <v>46752.671630889017</v>
      </c>
      <c r="AK63" s="348">
        <v>47540.925482230807</v>
      </c>
      <c r="AL63" s="348">
        <v>47345.41342959641</v>
      </c>
      <c r="AM63" s="348">
        <v>49684.138577861981</v>
      </c>
      <c r="AN63" s="348">
        <v>50927.547835708283</v>
      </c>
      <c r="AO63" s="348">
        <v>52106.56190349142</v>
      </c>
      <c r="AP63" s="348">
        <v>53534.614643398163</v>
      </c>
      <c r="AQ63" s="348">
        <v>54581.412254330069</v>
      </c>
      <c r="AR63" s="348">
        <v>56015.355338017427</v>
      </c>
      <c r="AS63" s="348">
        <v>57907.502060390318</v>
      </c>
      <c r="AT63" s="348">
        <v>58248.553927359033</v>
      </c>
      <c r="AU63" s="348">
        <v>58327.828160834237</v>
      </c>
      <c r="AV63" s="348">
        <v>58425.965893909641</v>
      </c>
      <c r="AW63" s="348">
        <v>59893.09298987838</v>
      </c>
      <c r="AX63" s="348">
        <v>61137.680358296107</v>
      </c>
      <c r="AY63" s="348">
        <v>63262.740457223234</v>
      </c>
      <c r="AZ63" s="348">
        <v>63604.562665819321</v>
      </c>
      <c r="BA63" s="348">
        <v>62968.161229059588</v>
      </c>
      <c r="BB63" s="348">
        <v>59516.509327365922</v>
      </c>
      <c r="BC63" s="348">
        <v>60190.634606049913</v>
      </c>
      <c r="BD63" s="348">
        <v>60729.055725512742</v>
      </c>
      <c r="BE63" s="348">
        <v>60497.691914699477</v>
      </c>
      <c r="BF63" s="348">
        <v>61085.031282110329</v>
      </c>
      <c r="BG63" s="348">
        <v>61552.799777515691</v>
      </c>
      <c r="BH63" s="348">
        <v>62405.716194212248</v>
      </c>
      <c r="BI63" s="348">
        <v>63823.450201966451</v>
      </c>
      <c r="BJ63" s="348">
        <v>65352.398808135309</v>
      </c>
      <c r="BK63" s="348">
        <v>66238.705427980953</v>
      </c>
      <c r="BL63" s="348">
        <v>67131.465700973436</v>
      </c>
      <c r="BM63" s="348">
        <v>65744.436725195905</v>
      </c>
      <c r="BN63" s="348">
        <v>69715.180968092885</v>
      </c>
      <c r="BO63" s="348">
        <v>69475.319865088313</v>
      </c>
      <c r="BP63" s="348">
        <v>69379.220008469973</v>
      </c>
      <c r="BQ63" s="350">
        <v>71431.292624228663</v>
      </c>
    </row>
    <row r="64" spans="1:69" x14ac:dyDescent="0.25">
      <c r="A64" s="348" t="s">
        <v>1162</v>
      </c>
      <c r="B64" s="348" t="s">
        <v>1163</v>
      </c>
      <c r="C64" s="348" t="s">
        <v>1578</v>
      </c>
      <c r="D64" s="348" t="s">
        <v>1579</v>
      </c>
      <c r="AI64" s="348">
        <v>7327.7267013375058</v>
      </c>
      <c r="AJ64" s="348">
        <v>7246.2467014422236</v>
      </c>
      <c r="AK64" s="348">
        <v>7900.7680926586454</v>
      </c>
      <c r="AL64" s="348">
        <v>8318.4917857612636</v>
      </c>
      <c r="AM64" s="348">
        <v>8372.071697392792</v>
      </c>
      <c r="AN64" s="348">
        <v>8685.0164855706171</v>
      </c>
      <c r="AO64" s="348">
        <v>9036.8835214989631</v>
      </c>
      <c r="AP64" s="348">
        <v>9671.1481788170677</v>
      </c>
      <c r="AQ64" s="348">
        <v>10150.44601789925</v>
      </c>
      <c r="AR64" s="348">
        <v>10582.07759393372</v>
      </c>
      <c r="AS64" s="348">
        <v>10896.318415596381</v>
      </c>
      <c r="AT64" s="348">
        <v>10991.13634204876</v>
      </c>
      <c r="AU64" s="348">
        <v>11313.069027127291</v>
      </c>
      <c r="AV64" s="348">
        <v>11000.868405935211</v>
      </c>
      <c r="AW64" s="348">
        <v>11131.2709216332</v>
      </c>
      <c r="AX64" s="348">
        <v>12022.508054405271</v>
      </c>
      <c r="AY64" s="348">
        <v>12961.918363213321</v>
      </c>
      <c r="AZ64" s="348">
        <v>13754.921267409551</v>
      </c>
      <c r="BA64" s="348">
        <v>14030.141108446451</v>
      </c>
      <c r="BB64" s="348">
        <v>13992.41032701887</v>
      </c>
      <c r="BC64" s="348">
        <v>14975.0010126958</v>
      </c>
      <c r="BD64" s="348">
        <v>15258.085814850279</v>
      </c>
      <c r="BE64" s="348">
        <v>15487.27763563205</v>
      </c>
      <c r="BF64" s="348">
        <v>16054.76772976565</v>
      </c>
      <c r="BG64" s="348">
        <v>16993.587444403049</v>
      </c>
      <c r="BH64" s="348">
        <v>17973.187025681549</v>
      </c>
      <c r="BI64" s="348">
        <v>18968.975238617932</v>
      </c>
      <c r="BJ64" s="348">
        <v>19501.87430540784</v>
      </c>
      <c r="BK64" s="348">
        <v>20662.84858615297</v>
      </c>
      <c r="BL64" s="348">
        <v>21451.286441994969</v>
      </c>
      <c r="BM64" s="348">
        <v>19545.409955294319</v>
      </c>
      <c r="BN64" s="348">
        <v>22053.458986995531</v>
      </c>
      <c r="BO64" s="348">
        <v>22986.95808104995</v>
      </c>
      <c r="BP64" s="348">
        <v>23282.48950710542</v>
      </c>
      <c r="BQ64" s="350">
        <v>24229.889487291519</v>
      </c>
    </row>
    <row r="65" spans="1:69" x14ac:dyDescent="0.25">
      <c r="A65" s="348" t="s">
        <v>1164</v>
      </c>
      <c r="B65" s="348" t="s">
        <v>1165</v>
      </c>
      <c r="C65" s="348" t="s">
        <v>1578</v>
      </c>
      <c r="D65" s="348" t="s">
        <v>1579</v>
      </c>
      <c r="AI65" s="348">
        <v>11728.545728679101</v>
      </c>
      <c r="AJ65" s="348">
        <v>11314.864735120391</v>
      </c>
      <c r="AK65" s="348">
        <v>11241.415417375751</v>
      </c>
      <c r="AL65" s="348">
        <v>10743.70635341042</v>
      </c>
      <c r="AM65" s="348">
        <v>10414.03482414073</v>
      </c>
      <c r="AN65" s="348">
        <v>10588.443369575391</v>
      </c>
      <c r="AO65" s="348">
        <v>10808.87886669414</v>
      </c>
      <c r="AP65" s="348">
        <v>10725.967349336781</v>
      </c>
      <c r="AQ65" s="348">
        <v>11094.88753685847</v>
      </c>
      <c r="AR65" s="348">
        <v>11292.03729971645</v>
      </c>
      <c r="AS65" s="348">
        <v>11558.22046938299</v>
      </c>
      <c r="AT65" s="348">
        <v>11742.59467612246</v>
      </c>
      <c r="AU65" s="348">
        <v>12213.12635312461</v>
      </c>
      <c r="AV65" s="348">
        <v>12835.181441333079</v>
      </c>
      <c r="AW65" s="348">
        <v>13226.76504811646</v>
      </c>
      <c r="AX65" s="348">
        <v>13738.49564443605</v>
      </c>
      <c r="AY65" s="348">
        <v>13920.69405537009</v>
      </c>
      <c r="AZ65" s="348">
        <v>14114.674519268339</v>
      </c>
      <c r="BA65" s="348">
        <v>14206.77671470389</v>
      </c>
      <c r="BB65" s="348">
        <v>14104.42817213998</v>
      </c>
      <c r="BC65" s="348">
        <v>14496.421131299619</v>
      </c>
      <c r="BD65" s="348">
        <v>14641.964093568449</v>
      </c>
      <c r="BE65" s="348">
        <v>14697.53961338531</v>
      </c>
      <c r="BF65" s="348">
        <v>14778.191425723269</v>
      </c>
      <c r="BG65" s="348">
        <v>15073.762940356461</v>
      </c>
      <c r="BH65" s="348">
        <v>15239.517145646911</v>
      </c>
      <c r="BI65" s="348">
        <v>15511.685876809381</v>
      </c>
      <c r="BJ65" s="348">
        <v>15427.66418947131</v>
      </c>
      <c r="BK65" s="348">
        <v>15343.426122243411</v>
      </c>
      <c r="BL65" s="348">
        <v>15199.19899656393</v>
      </c>
      <c r="BM65" s="348">
        <v>14194.1557479619</v>
      </c>
      <c r="BN65" s="348">
        <v>14496.86546972987</v>
      </c>
      <c r="BO65" s="348">
        <v>14782.200297024719</v>
      </c>
      <c r="BP65" s="348">
        <v>15159.32423734152</v>
      </c>
      <c r="BQ65" s="350">
        <v>15501.919700396589</v>
      </c>
    </row>
    <row r="66" spans="1:69" x14ac:dyDescent="0.25">
      <c r="A66" s="348" t="s">
        <v>1166</v>
      </c>
      <c r="B66" s="348" t="s">
        <v>1167</v>
      </c>
      <c r="C66" s="348" t="s">
        <v>1578</v>
      </c>
      <c r="D66" s="348" t="s">
        <v>1579</v>
      </c>
      <c r="AI66" s="348">
        <v>2513.1548674699702</v>
      </c>
      <c r="AJ66" s="348">
        <v>2666.0054431785038</v>
      </c>
      <c r="AK66" s="348">
        <v>2897.2400457012418</v>
      </c>
      <c r="AL66" s="348">
        <v>3154.1141524907039</v>
      </c>
      <c r="AM66" s="348">
        <v>3428.7379764748948</v>
      </c>
      <c r="AN66" s="348">
        <v>3708.1911550694458</v>
      </c>
      <c r="AO66" s="348">
        <v>3982.2231273962439</v>
      </c>
      <c r="AP66" s="348">
        <v>4193.4867861876482</v>
      </c>
      <c r="AQ66" s="348">
        <v>4182.6840465895684</v>
      </c>
      <c r="AR66" s="348">
        <v>4381.087140208957</v>
      </c>
      <c r="AS66" s="348">
        <v>4657.5824971990969</v>
      </c>
      <c r="AT66" s="348">
        <v>4910.8995546608021</v>
      </c>
      <c r="AU66" s="348">
        <v>5242.0734179596111</v>
      </c>
      <c r="AV66" s="348">
        <v>5642.1801279287274</v>
      </c>
      <c r="AW66" s="348">
        <v>6083.3739017803837</v>
      </c>
      <c r="AX66" s="348">
        <v>6602.0046296219043</v>
      </c>
      <c r="AY66" s="348">
        <v>7224.7289172615592</v>
      </c>
      <c r="AZ66" s="348">
        <v>8000.0408084165483</v>
      </c>
      <c r="BA66" s="348">
        <v>8584.5969887169122</v>
      </c>
      <c r="BB66" s="348">
        <v>9145.5593719730514</v>
      </c>
      <c r="BC66" s="348">
        <v>9942.0561236327521</v>
      </c>
      <c r="BD66" s="348">
        <v>10666.012978564329</v>
      </c>
      <c r="BE66" s="348">
        <v>11359.036791220789</v>
      </c>
      <c r="BF66" s="348">
        <v>12057.711489496851</v>
      </c>
      <c r="BG66" s="348">
        <v>12769.10641424938</v>
      </c>
      <c r="BH66" s="348">
        <v>13493.16862346659</v>
      </c>
      <c r="BI66" s="348">
        <v>14243.607715160169</v>
      </c>
      <c r="BJ66" s="348">
        <v>15060.030664932839</v>
      </c>
      <c r="BK66" s="348">
        <v>15924.742663351781</v>
      </c>
      <c r="BL66" s="348">
        <v>16753.944762843941</v>
      </c>
      <c r="BM66" s="348">
        <v>16816.680204495151</v>
      </c>
      <c r="BN66" s="348">
        <v>17966.232211585979</v>
      </c>
      <c r="BO66" s="348">
        <v>18600.02088069799</v>
      </c>
      <c r="BP66" s="348">
        <v>19522.188657318809</v>
      </c>
      <c r="BQ66" s="350">
        <v>20452.54588969738</v>
      </c>
    </row>
    <row r="67" spans="1:69" x14ac:dyDescent="0.25">
      <c r="A67" s="348" t="s">
        <v>1168</v>
      </c>
      <c r="B67" s="348" t="s">
        <v>1169</v>
      </c>
      <c r="C67" s="348" t="s">
        <v>1578</v>
      </c>
      <c r="D67" s="348" t="s">
        <v>1579</v>
      </c>
      <c r="AI67" s="348">
        <v>5120.0146618999588</v>
      </c>
      <c r="AJ67" s="348">
        <v>5201.5277555240345</v>
      </c>
      <c r="AK67" s="348">
        <v>5301.0110600196176</v>
      </c>
      <c r="AL67" s="348">
        <v>5376.9445675236757</v>
      </c>
      <c r="AM67" s="348">
        <v>5463.4323619830357</v>
      </c>
      <c r="AN67" s="348">
        <v>5533.6158138285573</v>
      </c>
      <c r="AO67" s="348">
        <v>5746.1913792417499</v>
      </c>
      <c r="AP67" s="348">
        <v>5895.5790787798414</v>
      </c>
      <c r="AQ67" s="348">
        <v>5915.4542369890642</v>
      </c>
      <c r="AR67" s="348">
        <v>5979.0774429355733</v>
      </c>
      <c r="AS67" s="348">
        <v>6123.1181695251244</v>
      </c>
      <c r="AT67" s="348">
        <v>6121.1264411328702</v>
      </c>
      <c r="AU67" s="348">
        <v>6161.91788575584</v>
      </c>
      <c r="AV67" s="348">
        <v>6389.6814487820911</v>
      </c>
      <c r="AW67" s="348">
        <v>6678.5650529627792</v>
      </c>
      <c r="AX67" s="348">
        <v>6968.1371469382411</v>
      </c>
      <c r="AY67" s="348">
        <v>7283.6900212021674</v>
      </c>
      <c r="AZ67" s="348">
        <v>7596.3542397514266</v>
      </c>
      <c r="BA67" s="348">
        <v>7746.8724482561711</v>
      </c>
      <c r="BB67" s="348">
        <v>7774.3377343446864</v>
      </c>
      <c r="BC67" s="348">
        <v>8162.0864969316644</v>
      </c>
      <c r="BD67" s="348">
        <v>8455.2783133800076</v>
      </c>
      <c r="BE67" s="348">
        <v>8674.2426204759104</v>
      </c>
      <c r="BF67" s="348">
        <v>8917.863260890821</v>
      </c>
      <c r="BG67" s="348">
        <v>9205.1424778547407</v>
      </c>
      <c r="BH67" s="348">
        <v>9536.0986904676192</v>
      </c>
      <c r="BI67" s="348">
        <v>9888.4953213673289</v>
      </c>
      <c r="BJ67" s="348">
        <v>10252.11075589149</v>
      </c>
      <c r="BK67" s="348">
        <v>10561.40403435927</v>
      </c>
      <c r="BL67" s="348">
        <v>10736.257704341961</v>
      </c>
      <c r="BM67" s="348">
        <v>10191.968925472591</v>
      </c>
      <c r="BN67" s="348">
        <v>10831.823967751299</v>
      </c>
      <c r="BO67" s="348">
        <v>11378.548653727161</v>
      </c>
      <c r="BP67" s="348">
        <v>11835.724925127881</v>
      </c>
      <c r="BQ67" s="350">
        <v>12188.04086914089</v>
      </c>
    </row>
    <row r="68" spans="1:69" x14ac:dyDescent="0.25">
      <c r="A68" s="348" t="s">
        <v>1170</v>
      </c>
      <c r="B68" s="348" t="s">
        <v>1171</v>
      </c>
      <c r="C68" s="348" t="s">
        <v>1578</v>
      </c>
      <c r="D68" s="348" t="s">
        <v>1579</v>
      </c>
      <c r="AI68" s="348">
        <v>5756.0934469971116</v>
      </c>
      <c r="AJ68" s="348">
        <v>5988.032787197787</v>
      </c>
      <c r="AK68" s="348">
        <v>6222.9339628457647</v>
      </c>
      <c r="AL68" s="348">
        <v>6469.8839773504942</v>
      </c>
      <c r="AM68" s="348">
        <v>6784.1530487875179</v>
      </c>
      <c r="AN68" s="348">
        <v>7136.0541576923761</v>
      </c>
      <c r="AO68" s="348">
        <v>7492.9213441320053</v>
      </c>
      <c r="AP68" s="348">
        <v>7741.4347375590387</v>
      </c>
      <c r="AQ68" s="348">
        <v>7650.9168669537539</v>
      </c>
      <c r="AR68" s="348">
        <v>7893.5933345996427</v>
      </c>
      <c r="AS68" s="348">
        <v>8279.2983403629714</v>
      </c>
      <c r="AT68" s="348">
        <v>8512.4302798659191</v>
      </c>
      <c r="AU68" s="348">
        <v>8870.3375015307902</v>
      </c>
      <c r="AV68" s="348">
        <v>9295.6390821788191</v>
      </c>
      <c r="AW68" s="348">
        <v>9822.0293879779547</v>
      </c>
      <c r="AX68" s="348">
        <v>10389.534860595049</v>
      </c>
      <c r="AY68" s="348">
        <v>11051.691556410051</v>
      </c>
      <c r="AZ68" s="348">
        <v>11869.003816663309</v>
      </c>
      <c r="BA68" s="348">
        <v>12377.856601904179</v>
      </c>
      <c r="BB68" s="348">
        <v>12714.223712072409</v>
      </c>
      <c r="BC68" s="348">
        <v>13649.818530778861</v>
      </c>
      <c r="BD68" s="348">
        <v>14359.67833165296</v>
      </c>
      <c r="BE68" s="348">
        <v>15050.34774348718</v>
      </c>
      <c r="BF68" s="348">
        <v>15769.15781012783</v>
      </c>
      <c r="BG68" s="348">
        <v>16465.182947838079</v>
      </c>
      <c r="BH68" s="348">
        <v>17172.612937151891</v>
      </c>
      <c r="BI68" s="348">
        <v>17906.89231627437</v>
      </c>
      <c r="BJ68" s="348">
        <v>18741.92757908878</v>
      </c>
      <c r="BK68" s="348">
        <v>19592.787560384659</v>
      </c>
      <c r="BL68" s="348">
        <v>20360.178960176851</v>
      </c>
      <c r="BM68" s="348">
        <v>20267.254994163159</v>
      </c>
      <c r="BN68" s="348">
        <v>21508.495762988208</v>
      </c>
      <c r="BO68" s="348">
        <v>22175.197366633991</v>
      </c>
      <c r="BP68" s="348">
        <v>23098.933439362791</v>
      </c>
      <c r="BQ68" s="350">
        <v>24015.938081040578</v>
      </c>
    </row>
    <row r="69" spans="1:69" x14ac:dyDescent="0.25">
      <c r="A69" s="348" t="s">
        <v>1172</v>
      </c>
      <c r="B69" s="348" t="s">
        <v>1173</v>
      </c>
      <c r="C69" s="348" t="s">
        <v>1578</v>
      </c>
      <c r="D69" s="348" t="s">
        <v>1579</v>
      </c>
      <c r="AI69" s="348">
        <v>13646.44489757064</v>
      </c>
      <c r="AJ69" s="348">
        <v>12678.994341903561</v>
      </c>
      <c r="AK69" s="348">
        <v>11660.154715634329</v>
      </c>
      <c r="AL69" s="348">
        <v>10873.07024308011</v>
      </c>
      <c r="AM69" s="348">
        <v>9360.7924679954649</v>
      </c>
      <c r="AN69" s="348">
        <v>9082.9511984896071</v>
      </c>
      <c r="AO69" s="348">
        <v>9137.5939568650483</v>
      </c>
      <c r="AP69" s="348">
        <v>9479.3735386988228</v>
      </c>
      <c r="AQ69" s="348">
        <v>9611.1856972834757</v>
      </c>
      <c r="AR69" s="348">
        <v>9521.8363584901963</v>
      </c>
      <c r="AS69" s="348">
        <v>10113.03151288206</v>
      </c>
      <c r="AT69" s="348">
        <v>10281.74041235247</v>
      </c>
      <c r="AU69" s="348">
        <v>10875.902829753841</v>
      </c>
      <c r="AV69" s="348">
        <v>11605.080363951491</v>
      </c>
      <c r="AW69" s="348">
        <v>12696.92693144654</v>
      </c>
      <c r="AX69" s="348">
        <v>13617.462702331921</v>
      </c>
      <c r="AY69" s="348">
        <v>14695.47675117875</v>
      </c>
      <c r="AZ69" s="348">
        <v>15785.85152438261</v>
      </c>
      <c r="BA69" s="348">
        <v>16208.14055829385</v>
      </c>
      <c r="BB69" s="348">
        <v>15295.000688419201</v>
      </c>
      <c r="BC69" s="348">
        <v>16159.527497514169</v>
      </c>
      <c r="BD69" s="348">
        <v>17224.273223707631</v>
      </c>
      <c r="BE69" s="348">
        <v>17660.37379374505</v>
      </c>
      <c r="BF69" s="348">
        <v>18452.540929668139</v>
      </c>
      <c r="BG69" s="348">
        <v>18554.725331800091</v>
      </c>
      <c r="BH69" s="348">
        <v>18691.521842847669</v>
      </c>
      <c r="BI69" s="348">
        <v>18992.22224801789</v>
      </c>
      <c r="BJ69" s="348">
        <v>19833.986916544902</v>
      </c>
      <c r="BK69" s="348">
        <v>20399.75705095374</v>
      </c>
      <c r="BL69" s="348">
        <v>20780.213928242429</v>
      </c>
      <c r="BM69" s="348">
        <v>20540.816485686661</v>
      </c>
      <c r="BN69" s="348">
        <v>22121.82583323634</v>
      </c>
      <c r="BO69" s="348">
        <v>22272.12762931281</v>
      </c>
      <c r="BP69" s="348">
        <v>23558.551590119299</v>
      </c>
      <c r="BQ69" s="350">
        <v>24350.33769196564</v>
      </c>
    </row>
    <row r="70" spans="1:69" x14ac:dyDescent="0.25">
      <c r="A70" s="348" t="s">
        <v>1174</v>
      </c>
      <c r="B70" s="348" t="s">
        <v>1175</v>
      </c>
      <c r="C70" s="348" t="s">
        <v>1578</v>
      </c>
      <c r="D70" s="348" t="s">
        <v>1579</v>
      </c>
      <c r="AI70" s="348">
        <v>28222.450833416529</v>
      </c>
      <c r="AJ70" s="348">
        <v>27734.740008625609</v>
      </c>
      <c r="AK70" s="348">
        <v>26826.290288058892</v>
      </c>
      <c r="AL70" s="348">
        <v>26191.48753360616</v>
      </c>
      <c r="AM70" s="348">
        <v>25879.431461152311</v>
      </c>
      <c r="AN70" s="348">
        <v>26218.555942789459</v>
      </c>
      <c r="AO70" s="348">
        <v>26515.573062134241</v>
      </c>
      <c r="AP70" s="348">
        <v>27222.134881880989</v>
      </c>
      <c r="AQ70" s="348">
        <v>27710.934749168209</v>
      </c>
      <c r="AR70" s="348">
        <v>28487.771015739341</v>
      </c>
      <c r="AS70" s="348">
        <v>29836.899037578511</v>
      </c>
      <c r="AT70" s="348">
        <v>30559.861482866421</v>
      </c>
      <c r="AU70" s="348">
        <v>31142.577681457711</v>
      </c>
      <c r="AV70" s="348">
        <v>31861.031130120758</v>
      </c>
      <c r="AW70" s="348">
        <v>33030.970524894328</v>
      </c>
      <c r="AX70" s="348">
        <v>34028.662098122091</v>
      </c>
      <c r="AY70" s="348">
        <v>35505.058043201359</v>
      </c>
      <c r="AZ70" s="348">
        <v>36985.76506301367</v>
      </c>
      <c r="BA70" s="348">
        <v>37463.881497209237</v>
      </c>
      <c r="BB70" s="348">
        <v>35515.920515793427</v>
      </c>
      <c r="BC70" s="348">
        <v>36408.709755410571</v>
      </c>
      <c r="BD70" s="348">
        <v>37348.583179773377</v>
      </c>
      <c r="BE70" s="348">
        <v>37472.357253219132</v>
      </c>
      <c r="BF70" s="348">
        <v>37739.584474167677</v>
      </c>
      <c r="BG70" s="348">
        <v>38215.494120118907</v>
      </c>
      <c r="BH70" s="348">
        <v>38658.892083040191</v>
      </c>
      <c r="BI70" s="348">
        <v>39180.496789788172</v>
      </c>
      <c r="BJ70" s="348">
        <v>40232.265844243797</v>
      </c>
      <c r="BK70" s="348">
        <v>41055.445043330037</v>
      </c>
      <c r="BL70" s="348">
        <v>41747.722840398441</v>
      </c>
      <c r="BM70" s="348">
        <v>39677.332174464733</v>
      </c>
      <c r="BN70" s="348">
        <v>42315.386087490311</v>
      </c>
      <c r="BO70" s="348">
        <v>43405.80100133075</v>
      </c>
      <c r="BP70" s="348">
        <v>44089.506912863908</v>
      </c>
      <c r="BQ70" s="350">
        <v>44818.539437368017</v>
      </c>
    </row>
    <row r="71" spans="1:69" x14ac:dyDescent="0.25">
      <c r="A71" s="348" t="s">
        <v>1176</v>
      </c>
      <c r="B71" s="348" t="s">
        <v>1177</v>
      </c>
      <c r="C71" s="348" t="s">
        <v>1578</v>
      </c>
      <c r="D71" s="348" t="s">
        <v>1579</v>
      </c>
      <c r="AI71" s="348">
        <v>9104.8159979027205</v>
      </c>
      <c r="AJ71" s="348">
        <v>9292.6177917376208</v>
      </c>
      <c r="AK71" s="348">
        <v>9291.3710483041978</v>
      </c>
      <c r="AL71" s="348">
        <v>9284.3150343123543</v>
      </c>
      <c r="AM71" s="348">
        <v>9494.175061946964</v>
      </c>
      <c r="AN71" s="348">
        <v>9525.177018324066</v>
      </c>
      <c r="AO71" s="348">
        <v>9509.2754063317298</v>
      </c>
      <c r="AP71" s="348">
        <v>9739.2668242801628</v>
      </c>
      <c r="AQ71" s="348">
        <v>9876.7507512592001</v>
      </c>
      <c r="AR71" s="348">
        <v>9242.966810195845</v>
      </c>
      <c r="AS71" s="348">
        <v>9183.0515527691878</v>
      </c>
      <c r="AT71" s="348">
        <v>9405.11680690106</v>
      </c>
      <c r="AU71" s="348">
        <v>9697.5551766597782</v>
      </c>
      <c r="AV71" s="348">
        <v>9802.8140820212502</v>
      </c>
      <c r="AW71" s="348">
        <v>10290.66342647664</v>
      </c>
      <c r="AX71" s="348">
        <v>10660.2046228939</v>
      </c>
      <c r="AY71" s="348">
        <v>10933.489747028279</v>
      </c>
      <c r="AZ71" s="348">
        <v>10952.82268539476</v>
      </c>
      <c r="BA71" s="348">
        <v>11474.52570235412</v>
      </c>
      <c r="BB71" s="348">
        <v>11403.527797883071</v>
      </c>
      <c r="BC71" s="348">
        <v>11665.69785982038</v>
      </c>
      <c r="BD71" s="348">
        <v>12449.07855492178</v>
      </c>
      <c r="BE71" s="348">
        <v>12961.026742376511</v>
      </c>
      <c r="BF71" s="348">
        <v>13689.15204601255</v>
      </c>
      <c r="BG71" s="348">
        <v>14064.799224672661</v>
      </c>
      <c r="BH71" s="348">
        <v>13881.57007381047</v>
      </c>
      <c r="BI71" s="348">
        <v>13586.51607725682</v>
      </c>
      <c r="BJ71" s="348">
        <v>14179.15375033051</v>
      </c>
      <c r="BK71" s="348">
        <v>14083.506998230419</v>
      </c>
      <c r="BL71" s="348">
        <v>13870.489511806811</v>
      </c>
      <c r="BM71" s="348">
        <v>12440.3263747814</v>
      </c>
      <c r="BN71" s="348">
        <v>13507.444563837449</v>
      </c>
      <c r="BO71" s="348">
        <v>14186.638854462461</v>
      </c>
      <c r="BP71" s="348">
        <v>14343.019013481309</v>
      </c>
      <c r="BQ71" s="350">
        <v>13935.539112540229</v>
      </c>
    </row>
    <row r="72" spans="1:69" x14ac:dyDescent="0.25">
      <c r="A72" s="348" t="s">
        <v>1178</v>
      </c>
      <c r="B72" s="348" t="s">
        <v>1179</v>
      </c>
      <c r="C72" s="348" t="s">
        <v>1578</v>
      </c>
      <c r="D72" s="348" t="s">
        <v>1579</v>
      </c>
      <c r="AI72" s="348">
        <v>8006.6214374136871</v>
      </c>
      <c r="AJ72" s="348">
        <v>7876.5525755410854</v>
      </c>
      <c r="AK72" s="348">
        <v>8034.5623012582664</v>
      </c>
      <c r="AL72" s="348">
        <v>8079.0548068047192</v>
      </c>
      <c r="AM72" s="348">
        <v>8221.0468477566064</v>
      </c>
      <c r="AN72" s="348">
        <v>8423.5781749954658</v>
      </c>
      <c r="AO72" s="348">
        <v>8662.3314786959163</v>
      </c>
      <c r="AP72" s="348">
        <v>8950.6541069449559</v>
      </c>
      <c r="AQ72" s="348">
        <v>9245.4789046979458</v>
      </c>
      <c r="AR72" s="348">
        <v>9588.8593851527366</v>
      </c>
      <c r="AS72" s="348">
        <v>9981.6277508313815</v>
      </c>
      <c r="AT72" s="348">
        <v>10117.333182169899</v>
      </c>
      <c r="AU72" s="348">
        <v>10143.506345570209</v>
      </c>
      <c r="AV72" s="348">
        <v>10250.37655004591</v>
      </c>
      <c r="AW72" s="348">
        <v>10451.82175115369</v>
      </c>
      <c r="AX72" s="348">
        <v>10700.60903732318</v>
      </c>
      <c r="AY72" s="348">
        <v>11211.832022950841</v>
      </c>
      <c r="AZ72" s="348">
        <v>11782.006071796621</v>
      </c>
      <c r="BA72" s="348">
        <v>12391.584762470469</v>
      </c>
      <c r="BB72" s="348">
        <v>12728.081458673651</v>
      </c>
      <c r="BC72" s="348">
        <v>13128.987833408461</v>
      </c>
      <c r="BD72" s="348">
        <v>13082.42636807013</v>
      </c>
      <c r="BE72" s="348">
        <v>13076.805239591389</v>
      </c>
      <c r="BF72" s="348">
        <v>13058.074823925759</v>
      </c>
      <c r="BG72" s="348">
        <v>13136.36562982698</v>
      </c>
      <c r="BH72" s="348">
        <v>13425.911959977489</v>
      </c>
      <c r="BI72" s="348">
        <v>13727.320160049379</v>
      </c>
      <c r="BJ72" s="348">
        <v>14018.36059345295</v>
      </c>
      <c r="BK72" s="348">
        <v>14488.209434048351</v>
      </c>
      <c r="BL72" s="348">
        <v>15026.56824380969</v>
      </c>
      <c r="BM72" s="348">
        <v>15309.23598817024</v>
      </c>
      <c r="BN72" s="348">
        <v>15579.016086155119</v>
      </c>
      <c r="BO72" s="348">
        <v>16360.390775036371</v>
      </c>
      <c r="BP72" s="348">
        <v>16691.387399222029</v>
      </c>
      <c r="BQ72" s="350">
        <v>16798.151577863999</v>
      </c>
    </row>
    <row r="73" spans="1:69" x14ac:dyDescent="0.25">
      <c r="A73" s="348" t="s">
        <v>1180</v>
      </c>
      <c r="B73" s="348" t="s">
        <v>1181</v>
      </c>
      <c r="C73" s="348" t="s">
        <v>1578</v>
      </c>
      <c r="D73" s="348" t="s">
        <v>1579</v>
      </c>
      <c r="AI73" s="348">
        <v>37845.855509464622</v>
      </c>
      <c r="AJ73" s="348">
        <v>38516.482598508701</v>
      </c>
      <c r="AK73" s="348">
        <v>38717.473916233866</v>
      </c>
      <c r="AL73" s="348">
        <v>38265.737816871202</v>
      </c>
      <c r="AM73" s="348">
        <v>39098.036107547843</v>
      </c>
      <c r="AN73" s="348">
        <v>39976.168996013657</v>
      </c>
      <c r="AO73" s="348">
        <v>40588.989484977268</v>
      </c>
      <c r="AP73" s="348">
        <v>41626.080194965041</v>
      </c>
      <c r="AQ73" s="348">
        <v>42787.614683954467</v>
      </c>
      <c r="AR73" s="348">
        <v>43947.338597858659</v>
      </c>
      <c r="AS73" s="348">
        <v>45521.384188576987</v>
      </c>
      <c r="AT73" s="348">
        <v>46384.312318616147</v>
      </c>
      <c r="AU73" s="348">
        <v>46623.666789391158</v>
      </c>
      <c r="AV73" s="348">
        <v>46755.114590108453</v>
      </c>
      <c r="AW73" s="348">
        <v>47581.844055244757</v>
      </c>
      <c r="AX73" s="348">
        <v>48190.25285233352</v>
      </c>
      <c r="AY73" s="348">
        <v>49572.906142739848</v>
      </c>
      <c r="AZ73" s="348">
        <v>50812.758897066247</v>
      </c>
      <c r="BA73" s="348">
        <v>50769.819687060968</v>
      </c>
      <c r="BB73" s="348">
        <v>48301.237351581913</v>
      </c>
      <c r="BC73" s="348">
        <v>49154.168270920767</v>
      </c>
      <c r="BD73" s="348">
        <v>50060.19814145891</v>
      </c>
      <c r="BE73" s="348">
        <v>49446.674183746967</v>
      </c>
      <c r="BF73" s="348">
        <v>49261.847732262533</v>
      </c>
      <c r="BG73" s="348">
        <v>49879.906275352543</v>
      </c>
      <c r="BH73" s="348">
        <v>50796.878446540068</v>
      </c>
      <c r="BI73" s="348">
        <v>51578.751791351351</v>
      </c>
      <c r="BJ73" s="348">
        <v>52822.41076753068</v>
      </c>
      <c r="BK73" s="348">
        <v>53607.835070220302</v>
      </c>
      <c r="BL73" s="348">
        <v>54379.985126660024</v>
      </c>
      <c r="BM73" s="348">
        <v>50927.370287280632</v>
      </c>
      <c r="BN73" s="348">
        <v>54187.885281418166</v>
      </c>
      <c r="BO73" s="348">
        <v>56046.748010830313</v>
      </c>
      <c r="BP73" s="348">
        <v>56110.256122139654</v>
      </c>
      <c r="BQ73" s="350">
        <v>56432.312015786287</v>
      </c>
    </row>
    <row r="74" spans="1:69" x14ac:dyDescent="0.25">
      <c r="A74" s="348" t="s">
        <v>1182</v>
      </c>
      <c r="B74" s="348" t="s">
        <v>1183</v>
      </c>
      <c r="C74" s="348" t="s">
        <v>1578</v>
      </c>
      <c r="D74" s="348" t="s">
        <v>1579</v>
      </c>
    </row>
    <row r="75" spans="1:69" x14ac:dyDescent="0.25">
      <c r="A75" s="348" t="s">
        <v>1184</v>
      </c>
      <c r="B75" s="348" t="s">
        <v>301</v>
      </c>
      <c r="C75" s="348" t="s">
        <v>1578</v>
      </c>
      <c r="D75" s="348" t="s">
        <v>1579</v>
      </c>
      <c r="AI75" s="348">
        <v>31773.226742004161</v>
      </c>
      <c r="AJ75" s="348">
        <v>32499.348137190191</v>
      </c>
      <c r="AK75" s="348">
        <v>32641.082719935959</v>
      </c>
      <c r="AL75" s="348">
        <v>32137.313843772728</v>
      </c>
      <c r="AM75" s="348">
        <v>32746.928782659819</v>
      </c>
      <c r="AN75" s="348">
        <v>33501.731418292919</v>
      </c>
      <c r="AO75" s="348">
        <v>34232.378686860247</v>
      </c>
      <c r="AP75" s="348">
        <v>35312.086285438942</v>
      </c>
      <c r="AQ75" s="348">
        <v>36679.094233469797</v>
      </c>
      <c r="AR75" s="348">
        <v>38141.316878688958</v>
      </c>
      <c r="AS75" s="348">
        <v>39945.897129817829</v>
      </c>
      <c r="AT75" s="348">
        <v>41224.292405739317</v>
      </c>
      <c r="AU75" s="348">
        <v>41766.037818879056</v>
      </c>
      <c r="AV75" s="348">
        <v>42223.130174522033</v>
      </c>
      <c r="AW75" s="348">
        <v>42793.390232600563</v>
      </c>
      <c r="AX75" s="348">
        <v>43570.765257403269</v>
      </c>
      <c r="AY75" s="348">
        <v>44572.681545993073</v>
      </c>
      <c r="AZ75" s="348">
        <v>45301.284341637453</v>
      </c>
      <c r="BA75" s="348">
        <v>44926.348951812033</v>
      </c>
      <c r="BB75" s="348">
        <v>42852.220888453987</v>
      </c>
      <c r="BC75" s="348">
        <v>42695.527418993253</v>
      </c>
      <c r="BD75" s="348">
        <v>42271.83467882382</v>
      </c>
      <c r="BE75" s="348">
        <v>41034.048156635632</v>
      </c>
      <c r="BF75" s="348">
        <v>40594.914008768021</v>
      </c>
      <c r="BG75" s="348">
        <v>41339.411116941657</v>
      </c>
      <c r="BH75" s="348">
        <v>43053.761430314022</v>
      </c>
      <c r="BI75" s="348">
        <v>44274.667614992191</v>
      </c>
      <c r="BJ75" s="348">
        <v>45446.250857569532</v>
      </c>
      <c r="BK75" s="348">
        <v>46325.209944114082</v>
      </c>
      <c r="BL75" s="348">
        <v>46896.41711414235</v>
      </c>
      <c r="BM75" s="348">
        <v>41553.447794567459</v>
      </c>
      <c r="BN75" s="348">
        <v>44251.665822262141</v>
      </c>
      <c r="BO75" s="348">
        <v>46733.480978053587</v>
      </c>
      <c r="BP75" s="348">
        <v>47322.593700450358</v>
      </c>
      <c r="BQ75" s="350">
        <v>48460.291406966113</v>
      </c>
    </row>
    <row r="76" spans="1:69" x14ac:dyDescent="0.25">
      <c r="A76" s="348" t="s">
        <v>1185</v>
      </c>
      <c r="B76" s="348" t="s">
        <v>1186</v>
      </c>
      <c r="C76" s="348" t="s">
        <v>1578</v>
      </c>
      <c r="D76" s="348" t="s">
        <v>1579</v>
      </c>
      <c r="AI76" s="348">
        <v>19163.228364577921</v>
      </c>
      <c r="AJ76" s="348">
        <v>17718.95439427115</v>
      </c>
      <c r="AK76" s="348">
        <v>14225.231407448329</v>
      </c>
      <c r="AL76" s="348">
        <v>13758.29533994393</v>
      </c>
      <c r="AM76" s="348">
        <v>13824.84321374008</v>
      </c>
      <c r="AN76" s="348">
        <v>14710.96866025354</v>
      </c>
      <c r="AO76" s="348">
        <v>15667.590912924659</v>
      </c>
      <c r="AP76" s="348">
        <v>17915.45403047635</v>
      </c>
      <c r="AQ76" s="348">
        <v>18873.375845338938</v>
      </c>
      <c r="AR76" s="348">
        <v>18737.89809350191</v>
      </c>
      <c r="AS76" s="348">
        <v>20528.570819557259</v>
      </c>
      <c r="AT76" s="348">
        <v>21874.694833487491</v>
      </c>
      <c r="AU76" s="348">
        <v>23539.906067575899</v>
      </c>
      <c r="AV76" s="348">
        <v>25487.532915298671</v>
      </c>
      <c r="AW76" s="348">
        <v>27384.083148879829</v>
      </c>
      <c r="AX76" s="348">
        <v>30164.00637118606</v>
      </c>
      <c r="AY76" s="348">
        <v>33304.593537733293</v>
      </c>
      <c r="AZ76" s="348">
        <v>35989.864986622029</v>
      </c>
      <c r="BA76" s="348">
        <v>34236.950125417017</v>
      </c>
      <c r="BB76" s="348">
        <v>29284.40473941082</v>
      </c>
      <c r="BC76" s="348">
        <v>30070.2990791103</v>
      </c>
      <c r="BD76" s="348">
        <v>32456.120886487832</v>
      </c>
      <c r="BE76" s="348">
        <v>33768.572369803958</v>
      </c>
      <c r="BF76" s="348">
        <v>34484.22364572731</v>
      </c>
      <c r="BG76" s="348">
        <v>35723.626613422843</v>
      </c>
      <c r="BH76" s="348">
        <v>36356.441015261436</v>
      </c>
      <c r="BI76" s="348">
        <v>37470.042767680527</v>
      </c>
      <c r="BJ76" s="348">
        <v>39533.464558219886</v>
      </c>
      <c r="BK76" s="348">
        <v>40853.648775507267</v>
      </c>
      <c r="BL76" s="348">
        <v>42218.962853871002</v>
      </c>
      <c r="BM76" s="348">
        <v>40920.527062301539</v>
      </c>
      <c r="BN76" s="348">
        <v>44251.537498345511</v>
      </c>
      <c r="BO76" s="348">
        <v>43128.632771362732</v>
      </c>
      <c r="BP76" s="348">
        <v>41288.616589215802</v>
      </c>
      <c r="BQ76" s="350">
        <v>41189.667530073428</v>
      </c>
    </row>
    <row r="77" spans="1:69" x14ac:dyDescent="0.25">
      <c r="A77" s="348" t="s">
        <v>1187</v>
      </c>
      <c r="B77" s="348" t="s">
        <v>1188</v>
      </c>
      <c r="C77" s="348" t="s">
        <v>1578</v>
      </c>
      <c r="D77" s="348" t="s">
        <v>1579</v>
      </c>
      <c r="AI77" s="348">
        <v>874.34693618969595</v>
      </c>
      <c r="AJ77" s="348">
        <v>777.5235661222905</v>
      </c>
      <c r="AK77" s="348">
        <v>680.83476697805258</v>
      </c>
      <c r="AL77" s="348">
        <v>743.70848579520793</v>
      </c>
      <c r="AM77" s="348">
        <v>741.17662360051952</v>
      </c>
      <c r="AN77" s="348">
        <v>760.26434502116695</v>
      </c>
      <c r="AO77" s="348">
        <v>826.99165878061456</v>
      </c>
      <c r="AP77" s="348">
        <v>826.00521803881952</v>
      </c>
      <c r="AQ77" s="348">
        <v>772.78664639707995</v>
      </c>
      <c r="AR77" s="348">
        <v>787.67957748705282</v>
      </c>
      <c r="AS77" s="348">
        <v>810.27074912697481</v>
      </c>
      <c r="AT77" s="348">
        <v>851.31342842325125</v>
      </c>
      <c r="AU77" s="348">
        <v>838.29804696391307</v>
      </c>
      <c r="AV77" s="348">
        <v>795.77213831017764</v>
      </c>
      <c r="AW77" s="348">
        <v>877.11449497068622</v>
      </c>
      <c r="AX77" s="348">
        <v>952.1156662957851</v>
      </c>
      <c r="AY77" s="348">
        <v>1024.7291193897181</v>
      </c>
      <c r="AZ77" s="348">
        <v>1109.143302612413</v>
      </c>
      <c r="BA77" s="348">
        <v>1193.747283329734</v>
      </c>
      <c r="BB77" s="348">
        <v>1262.46398002755</v>
      </c>
      <c r="BC77" s="348">
        <v>1381.1904465265591</v>
      </c>
      <c r="BD77" s="348">
        <v>1492.5339647204</v>
      </c>
      <c r="BE77" s="348">
        <v>1576.7687573614869</v>
      </c>
      <c r="BF77" s="348">
        <v>1696.8651559104951</v>
      </c>
      <c r="BG77" s="348">
        <v>1821.391617749618</v>
      </c>
      <c r="BH77" s="348">
        <v>1957.4145418730061</v>
      </c>
      <c r="BI77" s="348">
        <v>2084.8405561939949</v>
      </c>
      <c r="BJ77" s="348">
        <v>2222.8282448138239</v>
      </c>
      <c r="BK77" s="348">
        <v>2311.1651165960561</v>
      </c>
      <c r="BL77" s="348">
        <v>2437.970460559523</v>
      </c>
      <c r="BM77" s="348">
        <v>2516.5490764254391</v>
      </c>
      <c r="BN77" s="348">
        <v>2588.4131021588369</v>
      </c>
      <c r="BO77" s="348">
        <v>2655.5927674372952</v>
      </c>
      <c r="BP77" s="348">
        <v>2757.9592363402598</v>
      </c>
      <c r="BQ77" s="350">
        <v>2892.2222016826399</v>
      </c>
    </row>
    <row r="78" spans="1:69" x14ac:dyDescent="0.25">
      <c r="A78" s="348" t="s">
        <v>1189</v>
      </c>
      <c r="B78" s="348" t="s">
        <v>1190</v>
      </c>
      <c r="C78" s="348" t="s">
        <v>1578</v>
      </c>
      <c r="D78" s="348" t="s">
        <v>1579</v>
      </c>
      <c r="AI78" s="348">
        <v>33420.542632402998</v>
      </c>
      <c r="AJ78" s="348">
        <v>33581.096956953217</v>
      </c>
      <c r="AK78" s="348">
        <v>33679.790305998496</v>
      </c>
      <c r="AL78" s="348">
        <v>33378.282410347747</v>
      </c>
      <c r="AM78" s="348">
        <v>34195.838379713918</v>
      </c>
      <c r="AN78" s="348">
        <v>35111.285545691258</v>
      </c>
      <c r="AO78" s="348">
        <v>35771.523427288746</v>
      </c>
      <c r="AP78" s="348">
        <v>36635.460653772097</v>
      </c>
      <c r="AQ78" s="348">
        <v>37659.10554023365</v>
      </c>
      <c r="AR78" s="348">
        <v>38685.863253265452</v>
      </c>
      <c r="AS78" s="348">
        <v>40159.264550880507</v>
      </c>
      <c r="AT78" s="348">
        <v>41007.742388869243</v>
      </c>
      <c r="AU78" s="348">
        <v>41422.384781930567</v>
      </c>
      <c r="AV78" s="348">
        <v>41728.846069498511</v>
      </c>
      <c r="AW78" s="348">
        <v>42725.729084553393</v>
      </c>
      <c r="AX78" s="348">
        <v>43476.480330860199</v>
      </c>
      <c r="AY78" s="348">
        <v>44946.521561217953</v>
      </c>
      <c r="AZ78" s="348">
        <v>46274.405155949316</v>
      </c>
      <c r="BA78" s="348">
        <v>46520.372719322128</v>
      </c>
      <c r="BB78" s="348">
        <v>44429.824538502449</v>
      </c>
      <c r="BC78" s="348">
        <v>45250.390398352713</v>
      </c>
      <c r="BD78" s="348">
        <v>46205.208546023227</v>
      </c>
      <c r="BE78" s="348">
        <v>45787.932620272972</v>
      </c>
      <c r="BF78" s="348">
        <v>45723.975048415843</v>
      </c>
      <c r="BG78" s="348">
        <v>46454.750993762711</v>
      </c>
      <c r="BH78" s="348">
        <v>47490.67459411014</v>
      </c>
      <c r="BI78" s="348">
        <v>48336.277092539109</v>
      </c>
      <c r="BJ78" s="348">
        <v>49704.030643321137</v>
      </c>
      <c r="BK78" s="348">
        <v>50706.36807660108</v>
      </c>
      <c r="BL78" s="348">
        <v>51662.360706739157</v>
      </c>
      <c r="BM78" s="348">
        <v>48770.374881400843</v>
      </c>
      <c r="BN78" s="348">
        <v>51969.965405915333</v>
      </c>
      <c r="BO78" s="348">
        <v>53777.47776464506</v>
      </c>
      <c r="BP78" s="348">
        <v>53869.324634409008</v>
      </c>
      <c r="BQ78" s="350">
        <v>54337.917639363339</v>
      </c>
    </row>
    <row r="79" spans="1:69" x14ac:dyDescent="0.25">
      <c r="A79" s="348" t="s">
        <v>1191</v>
      </c>
      <c r="B79" s="348" t="s">
        <v>1192</v>
      </c>
      <c r="C79" s="348" t="s">
        <v>1578</v>
      </c>
      <c r="D79" s="348" t="s">
        <v>1579</v>
      </c>
      <c r="AI79" s="348">
        <v>6595.6072325502491</v>
      </c>
      <c r="AJ79" s="348">
        <v>5962.4391058748361</v>
      </c>
      <c r="AK79" s="348">
        <v>5667.5220303220776</v>
      </c>
      <c r="AL79" s="348">
        <v>5233.7776084863444</v>
      </c>
      <c r="AM79" s="348">
        <v>4674.943081475285</v>
      </c>
      <c r="AN79" s="348">
        <v>4434.3161250968733</v>
      </c>
      <c r="AO79" s="348">
        <v>4389.9175104210708</v>
      </c>
      <c r="AP79" s="348">
        <v>4441.2688533024748</v>
      </c>
      <c r="AQ79" s="348">
        <v>4525.8378118056826</v>
      </c>
      <c r="AR79" s="348">
        <v>4530.2437342271114</v>
      </c>
      <c r="AS79" s="348">
        <v>4675.042359378067</v>
      </c>
      <c r="AT79" s="348">
        <v>4797.6732869080361</v>
      </c>
      <c r="AU79" s="348">
        <v>4944.6387476216214</v>
      </c>
      <c r="AV79" s="348">
        <v>4926.6409323678326</v>
      </c>
      <c r="AW79" s="348">
        <v>5374.5024338537423</v>
      </c>
      <c r="AX79" s="348">
        <v>5528.3083222951846</v>
      </c>
      <c r="AY79" s="348">
        <v>5734.5138718979688</v>
      </c>
      <c r="AZ79" s="348">
        <v>5965.1602996157371</v>
      </c>
      <c r="BA79" s="348">
        <v>6111.2742676095277</v>
      </c>
      <c r="BB79" s="348">
        <v>6020.4726808722598</v>
      </c>
      <c r="BC79" s="348">
        <v>6276.4042823673244</v>
      </c>
      <c r="BD79" s="348">
        <v>6318.8618510857732</v>
      </c>
      <c r="BE79" s="348">
        <v>6409.1432566690928</v>
      </c>
      <c r="BF79" s="348">
        <v>6455.7196196717396</v>
      </c>
      <c r="BG79" s="348">
        <v>6410.1696505479886</v>
      </c>
      <c r="BH79" s="348">
        <v>6340.0508741938911</v>
      </c>
      <c r="BI79" s="348">
        <v>6353.0434044718613</v>
      </c>
      <c r="BJ79" s="348">
        <v>6361.7401850462593</v>
      </c>
      <c r="BK79" s="348">
        <v>6406.3832224966</v>
      </c>
      <c r="BL79" s="348">
        <v>6437.1641564719876</v>
      </c>
      <c r="BM79" s="348">
        <v>5928.7768109095659</v>
      </c>
      <c r="BN79" s="348">
        <v>5861.9454290128606</v>
      </c>
      <c r="BO79" s="348">
        <v>5693.9986061158916</v>
      </c>
      <c r="BP79" s="348">
        <v>5715.7294670747688</v>
      </c>
      <c r="BQ79" s="350">
        <v>5724.4388665496681</v>
      </c>
    </row>
    <row r="80" spans="1:69" x14ac:dyDescent="0.25">
      <c r="A80" s="348" t="s">
        <v>1193</v>
      </c>
      <c r="B80" s="348" t="s">
        <v>1194</v>
      </c>
      <c r="C80" s="348" t="s">
        <v>1578</v>
      </c>
      <c r="D80" s="348" t="s">
        <v>1579</v>
      </c>
      <c r="AI80" s="348">
        <v>38807.118524434743</v>
      </c>
      <c r="AJ80" s="348">
        <v>36326.082894535801</v>
      </c>
      <c r="AK80" s="348">
        <v>34926.383359134139</v>
      </c>
      <c r="AL80" s="348">
        <v>34486.752255535161</v>
      </c>
      <c r="AM80" s="348">
        <v>35699.720308622484</v>
      </c>
      <c r="AN80" s="348">
        <v>37069.628981359972</v>
      </c>
      <c r="AO80" s="348">
        <v>38301.512617558183</v>
      </c>
      <c r="AP80" s="348">
        <v>40630.921767315951</v>
      </c>
      <c r="AQ80" s="348">
        <v>42733.445571289718</v>
      </c>
      <c r="AR80" s="348">
        <v>44505.711477022247</v>
      </c>
      <c r="AS80" s="348">
        <v>46968.841714507013</v>
      </c>
      <c r="AT80" s="348">
        <v>48099.301428279359</v>
      </c>
      <c r="AU80" s="348">
        <v>48792.48647897748</v>
      </c>
      <c r="AV80" s="348">
        <v>49655.545156406719</v>
      </c>
      <c r="AW80" s="348">
        <v>51494.70586040098</v>
      </c>
      <c r="AX80" s="348">
        <v>52744.048034134983</v>
      </c>
      <c r="AY80" s="348">
        <v>54653.981203281022</v>
      </c>
      <c r="AZ80" s="348">
        <v>57313.291647447812</v>
      </c>
      <c r="BA80" s="348">
        <v>57494.585352885973</v>
      </c>
      <c r="BB80" s="348">
        <v>52599.148706691143</v>
      </c>
      <c r="BC80" s="348">
        <v>54017.945862333923</v>
      </c>
      <c r="BD80" s="348">
        <v>55053.39068503226</v>
      </c>
      <c r="BE80" s="348">
        <v>53957.668098627873</v>
      </c>
      <c r="BF80" s="348">
        <v>53183.428668512614</v>
      </c>
      <c r="BG80" s="348">
        <v>52710.733486777754</v>
      </c>
      <c r="BH80" s="348">
        <v>52782.487392627678</v>
      </c>
      <c r="BI80" s="348">
        <v>53984.631625471498</v>
      </c>
      <c r="BJ80" s="348">
        <v>55637.226278122303</v>
      </c>
      <c r="BK80" s="348">
        <v>56226.337241342953</v>
      </c>
      <c r="BL80" s="348">
        <v>56922.487316310311</v>
      </c>
      <c r="BM80" s="348">
        <v>55424.857498920799</v>
      </c>
      <c r="BN80" s="348">
        <v>56790.376617769172</v>
      </c>
      <c r="BO80" s="348">
        <v>57068.305647807363</v>
      </c>
      <c r="BP80" s="348">
        <v>56250.878789931929</v>
      </c>
      <c r="BQ80" s="350">
        <v>56123.147957983943</v>
      </c>
    </row>
    <row r="81" spans="1:69" x14ac:dyDescent="0.25">
      <c r="A81" s="348" t="s">
        <v>1195</v>
      </c>
      <c r="B81" s="348" t="s">
        <v>1196</v>
      </c>
      <c r="C81" s="348" t="s">
        <v>1578</v>
      </c>
      <c r="D81" s="348" t="s">
        <v>1579</v>
      </c>
      <c r="AI81" s="348">
        <v>7820.7171901499414</v>
      </c>
      <c r="AJ81" s="348">
        <v>7547.6781992812612</v>
      </c>
      <c r="AK81" s="348">
        <v>7950.0664099260293</v>
      </c>
      <c r="AL81" s="348">
        <v>8067.8044746473142</v>
      </c>
      <c r="AM81" s="348">
        <v>8432.298360352479</v>
      </c>
      <c r="AN81" s="348">
        <v>8600.0928420442542</v>
      </c>
      <c r="AO81" s="348">
        <v>8956.35010569935</v>
      </c>
      <c r="AP81" s="348">
        <v>8669.2516863067522</v>
      </c>
      <c r="AQ81" s="348">
        <v>8673.8781662143647</v>
      </c>
      <c r="AR81" s="348">
        <v>9328.6066405706988</v>
      </c>
      <c r="AS81" s="348">
        <v>9070.993165782651</v>
      </c>
      <c r="AT81" s="348">
        <v>9157.808416094349</v>
      </c>
      <c r="AU81" s="348">
        <v>9357.7538426071096</v>
      </c>
      <c r="AV81" s="348">
        <v>9361.4642133798807</v>
      </c>
      <c r="AW81" s="348">
        <v>9766.5276887904547</v>
      </c>
      <c r="AX81" s="348">
        <v>9745.5814584738528</v>
      </c>
      <c r="AY81" s="348">
        <v>9837.0859153994079</v>
      </c>
      <c r="AZ81" s="348">
        <v>9672.290159156164</v>
      </c>
      <c r="BA81" s="348">
        <v>9711.9660465531451</v>
      </c>
      <c r="BB81" s="348">
        <v>9536.8172108563122</v>
      </c>
      <c r="BC81" s="348">
        <v>9784.303562002211</v>
      </c>
      <c r="BD81" s="348">
        <v>10020.695785505861</v>
      </c>
      <c r="BE81" s="348">
        <v>10140.69363956362</v>
      </c>
      <c r="BF81" s="348">
        <v>10604.155872586551</v>
      </c>
      <c r="BG81" s="348">
        <v>11183.313535712279</v>
      </c>
      <c r="BH81" s="348">
        <v>11674.06335252723</v>
      </c>
      <c r="BI81" s="348">
        <v>11951.91963179816</v>
      </c>
      <c r="BJ81" s="348">
        <v>12597.327466276371</v>
      </c>
      <c r="BK81" s="348">
        <v>13100.095955123599</v>
      </c>
      <c r="BL81" s="348">
        <v>13056.331093708861</v>
      </c>
      <c r="BM81" s="348">
        <v>10812.035501417829</v>
      </c>
      <c r="BN81" s="348">
        <v>10322.42796388542</v>
      </c>
      <c r="BO81" s="348">
        <v>12118.31827100818</v>
      </c>
      <c r="BP81" s="348">
        <v>13194.80475704038</v>
      </c>
      <c r="BQ81" s="350">
        <v>13592.46359374345</v>
      </c>
    </row>
    <row r="82" spans="1:69" x14ac:dyDescent="0.25">
      <c r="A82" s="348" t="s">
        <v>1197</v>
      </c>
      <c r="B82" s="348" t="s">
        <v>1198</v>
      </c>
      <c r="C82" s="348" t="s">
        <v>1578</v>
      </c>
      <c r="D82" s="348" t="s">
        <v>1579</v>
      </c>
      <c r="AI82" s="348">
        <v>38655.885684291366</v>
      </c>
      <c r="AJ82" s="348">
        <v>38937.952251374947</v>
      </c>
      <c r="AK82" s="348">
        <v>39331.904192071757</v>
      </c>
      <c r="AL82" s="348">
        <v>39020.614158428441</v>
      </c>
      <c r="AM82" s="348">
        <v>39801.388897981742</v>
      </c>
      <c r="AN82" s="348">
        <v>40570.716956055658</v>
      </c>
      <c r="AO82" s="348">
        <v>40990.739514812463</v>
      </c>
      <c r="AP82" s="348">
        <v>41876.933026515842</v>
      </c>
      <c r="AQ82" s="348">
        <v>43162.542385693843</v>
      </c>
      <c r="AR82" s="348">
        <v>44400.135788919128</v>
      </c>
      <c r="AS82" s="348">
        <v>45922.478936370098</v>
      </c>
      <c r="AT82" s="348">
        <v>46454.870692736447</v>
      </c>
      <c r="AU82" s="348">
        <v>46610.782071721384</v>
      </c>
      <c r="AV82" s="348">
        <v>46730.975806378963</v>
      </c>
      <c r="AW82" s="348">
        <v>47720.441335110292</v>
      </c>
      <c r="AX82" s="348">
        <v>48257.465093797116</v>
      </c>
      <c r="AY82" s="348">
        <v>49223.247197007971</v>
      </c>
      <c r="AZ82" s="348">
        <v>50157.783747763388</v>
      </c>
      <c r="BA82" s="348">
        <v>50068.296914137944</v>
      </c>
      <c r="BB82" s="348">
        <v>48404.965782636347</v>
      </c>
      <c r="BC82" s="348">
        <v>49130.422942344019</v>
      </c>
      <c r="BD82" s="348">
        <v>50085.682977910918</v>
      </c>
      <c r="BE82" s="348">
        <v>49935.626908161743</v>
      </c>
      <c r="BF82" s="348">
        <v>50066.530432478292</v>
      </c>
      <c r="BG82" s="348">
        <v>50326.567863089047</v>
      </c>
      <c r="BH82" s="348">
        <v>50682.895358633301</v>
      </c>
      <c r="BI82" s="348">
        <v>50984.075297831972</v>
      </c>
      <c r="BJ82" s="348">
        <v>51895.566298583777</v>
      </c>
      <c r="BK82" s="348">
        <v>52560.953624384063</v>
      </c>
      <c r="BL82" s="348">
        <v>53448.55488499433</v>
      </c>
      <c r="BM82" s="348">
        <v>49311.333409639032</v>
      </c>
      <c r="BN82" s="348">
        <v>52517.335490585523</v>
      </c>
      <c r="BO82" s="348">
        <v>53673.813740642152</v>
      </c>
      <c r="BP82" s="348">
        <v>54296.723089773062</v>
      </c>
      <c r="BQ82" s="350">
        <v>54799.348268938847</v>
      </c>
    </row>
    <row r="83" spans="1:69" x14ac:dyDescent="0.25">
      <c r="A83" s="348" t="s">
        <v>1199</v>
      </c>
      <c r="B83" s="348" t="s">
        <v>1200</v>
      </c>
      <c r="C83" s="348" t="s">
        <v>1578</v>
      </c>
      <c r="D83" s="348" t="s">
        <v>1579</v>
      </c>
      <c r="BA83" s="348">
        <v>54263.326408916953</v>
      </c>
      <c r="BB83" s="348">
        <v>51533.544777064497</v>
      </c>
      <c r="BC83" s="348">
        <v>51479.19398034233</v>
      </c>
      <c r="BD83" s="348">
        <v>53440.336026104647</v>
      </c>
      <c r="BE83" s="348">
        <v>57523.323894074128</v>
      </c>
      <c r="BF83" s="348">
        <v>60948.767664948718</v>
      </c>
      <c r="BG83" s="348">
        <v>64018.093716628733</v>
      </c>
      <c r="BH83" s="348">
        <v>64008.852374207927</v>
      </c>
      <c r="BI83" s="348">
        <v>64155.027126899877</v>
      </c>
      <c r="BJ83" s="348">
        <v>65460.606788231598</v>
      </c>
      <c r="BK83" s="348">
        <v>66193.347423092215</v>
      </c>
      <c r="BL83" s="348">
        <v>68134.030630210938</v>
      </c>
      <c r="BM83" s="348">
        <v>66032.910910618302</v>
      </c>
      <c r="BN83" s="348">
        <v>68426.794321889829</v>
      </c>
      <c r="BO83" s="348">
        <v>70256.719195051919</v>
      </c>
      <c r="BP83" s="348">
        <v>71807.313703544249</v>
      </c>
      <c r="BQ83" s="350">
        <v>72059.580327153977</v>
      </c>
    </row>
    <row r="84" spans="1:69" x14ac:dyDescent="0.25">
      <c r="A84" s="348" t="s">
        <v>1201</v>
      </c>
      <c r="B84" s="348" t="s">
        <v>1202</v>
      </c>
      <c r="C84" s="348" t="s">
        <v>1578</v>
      </c>
      <c r="D84" s="348" t="s">
        <v>1579</v>
      </c>
      <c r="AI84" s="348">
        <v>3112.464917232458</v>
      </c>
      <c r="AJ84" s="348">
        <v>3282.9182468594272</v>
      </c>
      <c r="AK84" s="348">
        <v>3347.6455691398141</v>
      </c>
      <c r="AL84" s="348">
        <v>3543.7496682432602</v>
      </c>
      <c r="AM84" s="348">
        <v>3459.885839861663</v>
      </c>
      <c r="AN84" s="348">
        <v>3663.782362289217</v>
      </c>
      <c r="AO84" s="348">
        <v>3526.092505949558</v>
      </c>
      <c r="AP84" s="348">
        <v>3296.3356872778422</v>
      </c>
      <c r="AQ84" s="348">
        <v>3380.533102127964</v>
      </c>
      <c r="AR84" s="348">
        <v>3409.417003948472</v>
      </c>
      <c r="AS84" s="348">
        <v>3555.499519893634</v>
      </c>
      <c r="AT84" s="348">
        <v>3609.8725636955828</v>
      </c>
      <c r="AU84" s="348">
        <v>3623.196362732353</v>
      </c>
      <c r="AV84" s="348">
        <v>3692.4172013613579</v>
      </c>
      <c r="AW84" s="348">
        <v>3586.112478499168</v>
      </c>
      <c r="AX84" s="348">
        <v>3685.9943946634339</v>
      </c>
      <c r="AY84" s="348">
        <v>3701.350821225506</v>
      </c>
      <c r="AZ84" s="348">
        <v>3665.6575345556689</v>
      </c>
      <c r="BA84" s="348">
        <v>3601.900318211784</v>
      </c>
      <c r="BB84" s="348">
        <v>3674.4883541832642</v>
      </c>
      <c r="BC84" s="348">
        <v>3764.9528908775742</v>
      </c>
      <c r="BD84" s="348">
        <v>3901.6757769830701</v>
      </c>
      <c r="BE84" s="348">
        <v>3828.7470477553279</v>
      </c>
      <c r="BF84" s="348">
        <v>3680.1065003503381</v>
      </c>
      <c r="BG84" s="348">
        <v>3575.8507135789341</v>
      </c>
      <c r="BH84" s="348">
        <v>3723.3990179588791</v>
      </c>
      <c r="BI84" s="348">
        <v>3746.1300830817281</v>
      </c>
      <c r="BJ84" s="348">
        <v>3813.442079429949</v>
      </c>
      <c r="BK84" s="348">
        <v>3798.5920379411168</v>
      </c>
      <c r="BL84" s="348">
        <v>3940.264469899168</v>
      </c>
      <c r="BM84" s="348">
        <v>3852.2002557001902</v>
      </c>
      <c r="BN84" s="348">
        <v>3946.4160810916578</v>
      </c>
      <c r="BO84" s="348">
        <v>3814.9907648682329</v>
      </c>
      <c r="BP84" s="348">
        <v>3814.720093321484</v>
      </c>
      <c r="BQ84" s="350">
        <v>3824.1523439547991</v>
      </c>
    </row>
    <row r="85" spans="1:69" x14ac:dyDescent="0.25">
      <c r="A85" s="348" t="s">
        <v>1203</v>
      </c>
      <c r="B85" s="348" t="s">
        <v>1204</v>
      </c>
      <c r="C85" s="348" t="s">
        <v>1578</v>
      </c>
      <c r="D85" s="348" t="s">
        <v>1579</v>
      </c>
      <c r="AI85" s="348">
        <v>23884.810699823389</v>
      </c>
      <c r="AJ85" s="348">
        <v>24665.67922950806</v>
      </c>
      <c r="AK85" s="348">
        <v>23268.997472128081</v>
      </c>
      <c r="AL85" s="348">
        <v>23551.681253372379</v>
      </c>
      <c r="AM85" s="348">
        <v>23794.314929588709</v>
      </c>
      <c r="AN85" s="348">
        <v>24344.185740102279</v>
      </c>
      <c r="AO85" s="348">
        <v>24595.971962561409</v>
      </c>
      <c r="AP85" s="348">
        <v>25359.65965818338</v>
      </c>
      <c r="AQ85" s="348">
        <v>25585.50779648127</v>
      </c>
      <c r="AR85" s="348">
        <v>22713.714440394819</v>
      </c>
      <c r="AS85" s="348">
        <v>21717.224079744701</v>
      </c>
      <c r="AT85" s="348">
        <v>21604.780444242311</v>
      </c>
      <c r="AU85" s="348">
        <v>20981.479858510171</v>
      </c>
      <c r="AV85" s="348">
        <v>20875.454932647692</v>
      </c>
      <c r="AW85" s="348">
        <v>20438.930706721199</v>
      </c>
      <c r="AX85" s="348">
        <v>20385.28999097419</v>
      </c>
      <c r="AY85" s="348">
        <v>19224.12686589692</v>
      </c>
      <c r="AZ85" s="348">
        <v>19751.876221640821</v>
      </c>
      <c r="BA85" s="348">
        <v>18493.092110334281</v>
      </c>
      <c r="BB85" s="348">
        <v>17911.145849166081</v>
      </c>
      <c r="BC85" s="348">
        <v>18530.57609360584</v>
      </c>
      <c r="BD85" s="348">
        <v>19153.087820152479</v>
      </c>
      <c r="BE85" s="348">
        <v>19450.40270673795</v>
      </c>
      <c r="BF85" s="348">
        <v>19836.455485201121</v>
      </c>
      <c r="BG85" s="348">
        <v>20008.9899779322</v>
      </c>
      <c r="BH85" s="348">
        <v>20147.71162024052</v>
      </c>
      <c r="BI85" s="348">
        <v>19988.17559637918</v>
      </c>
      <c r="BJ85" s="348">
        <v>19555.70788297525</v>
      </c>
      <c r="BK85" s="348">
        <v>19225.59825752609</v>
      </c>
      <c r="BL85" s="348">
        <v>19491.406763198629</v>
      </c>
      <c r="BM85" s="348">
        <v>18681.48407389846</v>
      </c>
      <c r="BN85" s="348">
        <v>18523.579803219331</v>
      </c>
      <c r="BO85" s="348">
        <v>18662.049797062082</v>
      </c>
      <c r="BP85" s="348">
        <v>18701.422776689698</v>
      </c>
      <c r="BQ85" s="350">
        <v>18923.66166116509</v>
      </c>
    </row>
    <row r="86" spans="1:69" x14ac:dyDescent="0.25">
      <c r="A86" s="348" t="s">
        <v>1205</v>
      </c>
      <c r="B86" s="348" t="s">
        <v>1206</v>
      </c>
      <c r="C86" s="348" t="s">
        <v>1578</v>
      </c>
      <c r="D86" s="348" t="s">
        <v>1579</v>
      </c>
      <c r="AI86" s="348">
        <v>32993.169441980499</v>
      </c>
      <c r="AJ86" s="348">
        <v>32466.196161590098</v>
      </c>
      <c r="AK86" s="348">
        <v>32797.729928094217</v>
      </c>
      <c r="AL86" s="348">
        <v>33861.252374272517</v>
      </c>
      <c r="AM86" s="348">
        <v>35448.178103495236</v>
      </c>
      <c r="AN86" s="348">
        <v>36603.738381654483</v>
      </c>
      <c r="AO86" s="348">
        <v>37465.377127741529</v>
      </c>
      <c r="AP86" s="348">
        <v>39192.610054673998</v>
      </c>
      <c r="AQ86" s="348">
        <v>40347.179953375431</v>
      </c>
      <c r="AR86" s="348">
        <v>41396.935844965563</v>
      </c>
      <c r="AS86" s="348">
        <v>43115.56300822374</v>
      </c>
      <c r="AT86" s="348">
        <v>43976.839168578343</v>
      </c>
      <c r="AU86" s="348">
        <v>44539.463649285339</v>
      </c>
      <c r="AV86" s="348">
        <v>45759.402028071461</v>
      </c>
      <c r="AW86" s="348">
        <v>46558.129960069928</v>
      </c>
      <c r="AX86" s="348">
        <v>47529.937751193313</v>
      </c>
      <c r="AY86" s="348">
        <v>48215.048666893817</v>
      </c>
      <c r="AZ86" s="348">
        <v>49243.251736878941</v>
      </c>
      <c r="BA86" s="348">
        <v>48833.071235937692</v>
      </c>
      <c r="BB86" s="348">
        <v>46241.803995735849</v>
      </c>
      <c r="BC86" s="348">
        <v>46917.891297483693</v>
      </c>
      <c r="BD86" s="348">
        <v>46949.020798133941</v>
      </c>
      <c r="BE86" s="348">
        <v>47328.210030870243</v>
      </c>
      <c r="BF86" s="348">
        <v>47820.282162700583</v>
      </c>
      <c r="BG86" s="348">
        <v>48964.286351496179</v>
      </c>
      <c r="BH86" s="348">
        <v>49652.718815439723</v>
      </c>
      <c r="BI86" s="348">
        <v>50346.859292571717</v>
      </c>
      <c r="BJ86" s="348">
        <v>51586.675612544532</v>
      </c>
      <c r="BK86" s="348">
        <v>52131.694824813298</v>
      </c>
      <c r="BL86" s="348">
        <v>52515.684446109037</v>
      </c>
      <c r="BM86" s="348">
        <v>47158.985486323007</v>
      </c>
      <c r="BN86" s="348">
        <v>51004.427171423813</v>
      </c>
      <c r="BO86" s="348">
        <v>53139.151252206037</v>
      </c>
      <c r="BP86" s="348">
        <v>52592.682206639278</v>
      </c>
      <c r="BQ86" s="350">
        <v>52621.17902529789</v>
      </c>
    </row>
    <row r="87" spans="1:69" x14ac:dyDescent="0.25">
      <c r="A87" s="348" t="s">
        <v>1207</v>
      </c>
      <c r="B87" s="348" t="s">
        <v>1208</v>
      </c>
      <c r="C87" s="348" t="s">
        <v>1578</v>
      </c>
      <c r="D87" s="348" t="s">
        <v>1579</v>
      </c>
      <c r="AI87" s="348">
        <v>12917.094426936141</v>
      </c>
      <c r="AJ87" s="348">
        <v>10120.162888143481</v>
      </c>
      <c r="AK87" s="348">
        <v>5533.2108231772772</v>
      </c>
      <c r="AL87" s="348">
        <v>3882.020297476482</v>
      </c>
      <c r="AM87" s="348">
        <v>3532.3200811072011</v>
      </c>
      <c r="AN87" s="348">
        <v>3762.811537503087</v>
      </c>
      <c r="AO87" s="348">
        <v>4339.0046688346984</v>
      </c>
      <c r="AP87" s="348">
        <v>4951.8129175747226</v>
      </c>
      <c r="AQ87" s="348">
        <v>5233.288376728161</v>
      </c>
      <c r="AR87" s="348">
        <v>5495.2450505286624</v>
      </c>
      <c r="AS87" s="348">
        <v>5706.2723652783652</v>
      </c>
      <c r="AT87" s="348">
        <v>6074.0864301728188</v>
      </c>
      <c r="AU87" s="348">
        <v>6464.3253967264773</v>
      </c>
      <c r="AV87" s="348">
        <v>7227.7370596070123</v>
      </c>
      <c r="AW87" s="348">
        <v>7693.9152539206734</v>
      </c>
      <c r="AX87" s="348">
        <v>8485.5867053495294</v>
      </c>
      <c r="AY87" s="348">
        <v>9337.9890642010141</v>
      </c>
      <c r="AZ87" s="348">
        <v>10567.27471647578</v>
      </c>
      <c r="BA87" s="348">
        <v>10856.10313280033</v>
      </c>
      <c r="BB87" s="348">
        <v>10553.08963958534</v>
      </c>
      <c r="BC87" s="348">
        <v>11294.368591711211</v>
      </c>
      <c r="BD87" s="348">
        <v>12288.68288611561</v>
      </c>
      <c r="BE87" s="348">
        <v>13193.959697405349</v>
      </c>
      <c r="BF87" s="348">
        <v>13913.001824566119</v>
      </c>
      <c r="BG87" s="348">
        <v>14475.313535603471</v>
      </c>
      <c r="BH87" s="348">
        <v>14936.84341166466</v>
      </c>
      <c r="BI87" s="348">
        <v>15442.956435805379</v>
      </c>
      <c r="BJ87" s="348">
        <v>16237.62422302752</v>
      </c>
      <c r="BK87" s="348">
        <v>17228.679084750329</v>
      </c>
      <c r="BL87" s="348">
        <v>18186.881646580699</v>
      </c>
      <c r="BM87" s="348">
        <v>17031.14402834258</v>
      </c>
      <c r="BN87" s="348">
        <v>18915.653400526269</v>
      </c>
      <c r="BO87" s="348">
        <v>20966.528039113451</v>
      </c>
      <c r="BP87" s="348">
        <v>22590.52936491459</v>
      </c>
      <c r="BQ87" s="350">
        <v>24883.908116163871</v>
      </c>
    </row>
    <row r="88" spans="1:69" x14ac:dyDescent="0.25">
      <c r="A88" s="348" t="s">
        <v>1209</v>
      </c>
      <c r="B88" s="348" t="s">
        <v>1210</v>
      </c>
      <c r="C88" s="348" t="s">
        <v>1578</v>
      </c>
      <c r="D88" s="348" t="s">
        <v>1579</v>
      </c>
      <c r="AI88" s="348">
        <v>2785.6711433250061</v>
      </c>
      <c r="AJ88" s="348">
        <v>2859.8270216641149</v>
      </c>
      <c r="AK88" s="348">
        <v>2897.8354319685841</v>
      </c>
      <c r="AL88" s="348">
        <v>2964.2660094365851</v>
      </c>
      <c r="AM88" s="348">
        <v>2989.3473101213131</v>
      </c>
      <c r="AN88" s="348">
        <v>3039.6887303167418</v>
      </c>
      <c r="AO88" s="348">
        <v>3106.1855548038752</v>
      </c>
      <c r="AP88" s="348">
        <v>3160.4450405324951</v>
      </c>
      <c r="AQ88" s="348">
        <v>3229.482282726312</v>
      </c>
      <c r="AR88" s="348">
        <v>3290.2686523574848</v>
      </c>
      <c r="AS88" s="348">
        <v>3327.3519929176682</v>
      </c>
      <c r="AT88" s="348">
        <v>3369.50702508212</v>
      </c>
      <c r="AU88" s="348">
        <v>3425.618209342781</v>
      </c>
      <c r="AV88" s="348">
        <v>3507.7510574484299</v>
      </c>
      <c r="AW88" s="348">
        <v>3607.365222850211</v>
      </c>
      <c r="AX88" s="348">
        <v>3721.3078574199581</v>
      </c>
      <c r="AY88" s="348">
        <v>3857.861548476053</v>
      </c>
      <c r="AZ88" s="348">
        <v>3923.1256780372769</v>
      </c>
      <c r="BA88" s="348">
        <v>4174.7812410336437</v>
      </c>
      <c r="BB88" s="348">
        <v>4269.1600586155746</v>
      </c>
      <c r="BC88" s="348">
        <v>4495.6891658410595</v>
      </c>
      <c r="BD88" s="348">
        <v>5005.3673249818739</v>
      </c>
      <c r="BE88" s="348">
        <v>5339.7132190304465</v>
      </c>
      <c r="BF88" s="348">
        <v>5593.774818869173</v>
      </c>
      <c r="BG88" s="348">
        <v>5619.072335115914</v>
      </c>
      <c r="BH88" s="348">
        <v>5607.3663565741344</v>
      </c>
      <c r="BI88" s="348">
        <v>5666.0779533459081</v>
      </c>
      <c r="BJ88" s="348">
        <v>5993.6308521107676</v>
      </c>
      <c r="BK88" s="348">
        <v>6234.5120820148804</v>
      </c>
      <c r="BL88" s="348">
        <v>6508.2465230590087</v>
      </c>
      <c r="BM88" s="348">
        <v>6412.6854176246879</v>
      </c>
      <c r="BN88" s="348">
        <v>6607.5029737832083</v>
      </c>
      <c r="BO88" s="348">
        <v>6728.4541401228598</v>
      </c>
      <c r="BP88" s="348">
        <v>6808.537751650294</v>
      </c>
      <c r="BQ88" s="350">
        <v>7055.6249600932333</v>
      </c>
    </row>
    <row r="89" spans="1:69" x14ac:dyDescent="0.25">
      <c r="A89" s="348" t="s">
        <v>1211</v>
      </c>
      <c r="B89" s="348" t="s">
        <v>1212</v>
      </c>
      <c r="C89" s="348" t="s">
        <v>1578</v>
      </c>
      <c r="D89" s="348" t="s">
        <v>1579</v>
      </c>
    </row>
    <row r="90" spans="1:69" x14ac:dyDescent="0.25">
      <c r="A90" s="348" t="s">
        <v>1213</v>
      </c>
      <c r="B90" s="348" t="s">
        <v>1214</v>
      </c>
      <c r="C90" s="348" t="s">
        <v>1578</v>
      </c>
      <c r="D90" s="348" t="s">
        <v>1579</v>
      </c>
      <c r="AI90" s="348">
        <v>2105.7472949623238</v>
      </c>
      <c r="AJ90" s="348">
        <v>2075.9919430267491</v>
      </c>
      <c r="AK90" s="348">
        <v>2076.5506269069519</v>
      </c>
      <c r="AL90" s="348">
        <v>2115.866495939395</v>
      </c>
      <c r="AM90" s="348">
        <v>2134.8976935578748</v>
      </c>
      <c r="AN90" s="348">
        <v>2171.725521532645</v>
      </c>
      <c r="AO90" s="348">
        <v>2205.3236341697302</v>
      </c>
      <c r="AP90" s="348">
        <v>2272.411004639549</v>
      </c>
      <c r="AQ90" s="348">
        <v>2311.3273534030009</v>
      </c>
      <c r="AR90" s="348">
        <v>2346.2701835770949</v>
      </c>
      <c r="AS90" s="348">
        <v>2358.2876560849531</v>
      </c>
      <c r="AT90" s="348">
        <v>2412.7516195962762</v>
      </c>
      <c r="AU90" s="348">
        <v>2498.1317749510231</v>
      </c>
      <c r="AV90" s="348">
        <v>2473.234182954709</v>
      </c>
      <c r="AW90" s="348">
        <v>2477.5028260236309</v>
      </c>
      <c r="AX90" s="348">
        <v>2501.2216045627861</v>
      </c>
      <c r="AY90" s="348">
        <v>2478.6131951072598</v>
      </c>
      <c r="AZ90" s="348">
        <v>2587.0048887648031</v>
      </c>
      <c r="BA90" s="348">
        <v>2629.5397474636952</v>
      </c>
      <c r="BB90" s="348">
        <v>2537.3064575874569</v>
      </c>
      <c r="BC90" s="348">
        <v>2594.8305034424511</v>
      </c>
      <c r="BD90" s="348">
        <v>2673.4087302995499</v>
      </c>
      <c r="BE90" s="348">
        <v>2762.9035093851312</v>
      </c>
      <c r="BF90" s="348">
        <v>2802.560070244735</v>
      </c>
      <c r="BG90" s="348">
        <v>2834.9663434784552</v>
      </c>
      <c r="BH90" s="348">
        <v>2869.8515717873188</v>
      </c>
      <c r="BI90" s="348">
        <v>3099.7887418937162</v>
      </c>
      <c r="BJ90" s="348">
        <v>3332.7657615053149</v>
      </c>
      <c r="BK90" s="348">
        <v>3455.6451263866188</v>
      </c>
      <c r="BL90" s="348">
        <v>3557.462338831454</v>
      </c>
      <c r="BM90" s="348">
        <v>3630.9933057767689</v>
      </c>
      <c r="BN90" s="348">
        <v>3738.8051255133018</v>
      </c>
      <c r="BO90" s="348">
        <v>3792.0106883627732</v>
      </c>
      <c r="BP90" s="348">
        <v>3904.8239552799801</v>
      </c>
      <c r="BQ90" s="350">
        <v>4016.3419138607169</v>
      </c>
    </row>
    <row r="91" spans="1:69" x14ac:dyDescent="0.25">
      <c r="A91" s="348" t="s">
        <v>1215</v>
      </c>
      <c r="B91" s="348" t="s">
        <v>1216</v>
      </c>
      <c r="C91" s="348" t="s">
        <v>1578</v>
      </c>
      <c r="D91" s="348" t="s">
        <v>1579</v>
      </c>
      <c r="AI91" s="348">
        <v>2653.782913921254</v>
      </c>
      <c r="AJ91" s="348">
        <v>2623.6416160750732</v>
      </c>
      <c r="AK91" s="348">
        <v>2604.2690332675411</v>
      </c>
      <c r="AL91" s="348">
        <v>2586.130416457032</v>
      </c>
      <c r="AM91" s="348">
        <v>2508.1039153388988</v>
      </c>
      <c r="AN91" s="348">
        <v>2456.0007811360651</v>
      </c>
      <c r="AO91" s="348">
        <v>2439.0455164851242</v>
      </c>
      <c r="AP91" s="348">
        <v>2486.9379839652702</v>
      </c>
      <c r="AQ91" s="348">
        <v>2502.764771242983</v>
      </c>
      <c r="AR91" s="348">
        <v>2589.9777386039559</v>
      </c>
      <c r="AS91" s="348">
        <v>2658.617705794637</v>
      </c>
      <c r="AT91" s="348">
        <v>2737.69610805906</v>
      </c>
      <c r="AU91" s="348">
        <v>2578.557145741996</v>
      </c>
      <c r="AV91" s="348">
        <v>2682.4799331013292</v>
      </c>
      <c r="AW91" s="348">
        <v>2794.1935260911769</v>
      </c>
      <c r="AX91" s="348">
        <v>2653.6423915519099</v>
      </c>
      <c r="AY91" s="348">
        <v>2564.6865397051952</v>
      </c>
      <c r="AZ91" s="348">
        <v>2567.1572880298181</v>
      </c>
      <c r="BA91" s="348">
        <v>2649.6111986530641</v>
      </c>
      <c r="BB91" s="348">
        <v>2745.3254057476838</v>
      </c>
      <c r="BC91" s="348">
        <v>2824.2125922251689</v>
      </c>
      <c r="BD91" s="348">
        <v>2519.8398325567241</v>
      </c>
      <c r="BE91" s="348">
        <v>2574.93509664061</v>
      </c>
      <c r="BF91" s="348">
        <v>2572.4472894168512</v>
      </c>
      <c r="BG91" s="348">
        <v>2465.1097114482332</v>
      </c>
      <c r="BH91" s="348">
        <v>2495.9574160152479</v>
      </c>
      <c r="BI91" s="348">
        <v>2478.460557569992</v>
      </c>
      <c r="BJ91" s="348">
        <v>2533.1868371027649</v>
      </c>
      <c r="BK91" s="348">
        <v>2651.432814558264</v>
      </c>
      <c r="BL91" s="348">
        <v>2750.8213217963398</v>
      </c>
      <c r="BM91" s="348">
        <v>2702.3191947448158</v>
      </c>
      <c r="BN91" s="348">
        <v>2777.7962097832401</v>
      </c>
      <c r="BO91" s="348">
        <v>2863.180498298595</v>
      </c>
      <c r="BP91" s="348">
        <v>2963.598733251788</v>
      </c>
      <c r="BQ91" s="350">
        <v>3057.6841774689101</v>
      </c>
    </row>
    <row r="92" spans="1:69" x14ac:dyDescent="0.25">
      <c r="A92" s="348" t="s">
        <v>1217</v>
      </c>
      <c r="B92" s="348" t="s">
        <v>1218</v>
      </c>
      <c r="C92" s="348" t="s">
        <v>1578</v>
      </c>
      <c r="D92" s="348" t="s">
        <v>1579</v>
      </c>
      <c r="AI92" s="348">
        <v>1967.9680843755109</v>
      </c>
      <c r="AJ92" s="348">
        <v>2024.7277080039139</v>
      </c>
      <c r="AK92" s="348">
        <v>1987.615386332986</v>
      </c>
      <c r="AL92" s="348">
        <v>1963.4400041003189</v>
      </c>
      <c r="AM92" s="348">
        <v>1964.507711527785</v>
      </c>
      <c r="AN92" s="348">
        <v>1999.8202301804879</v>
      </c>
      <c r="AO92" s="348">
        <v>2185.7673621159179</v>
      </c>
      <c r="AP92" s="348">
        <v>2283.8835707725088</v>
      </c>
      <c r="AQ92" s="348">
        <v>1738.5412241044689</v>
      </c>
      <c r="AR92" s="348">
        <v>1992.7284783826819</v>
      </c>
      <c r="AS92" s="348">
        <v>1974.621722746512</v>
      </c>
      <c r="AT92" s="348">
        <v>2025.6006400545309</v>
      </c>
      <c r="AU92" s="348">
        <v>2053.9618937090918</v>
      </c>
      <c r="AV92" s="348">
        <v>2002.277406273422</v>
      </c>
      <c r="AW92" s="348">
        <v>1979.5745776581391</v>
      </c>
      <c r="AX92" s="348">
        <v>2060.5383431175701</v>
      </c>
      <c r="AY92" s="348">
        <v>2065.0837069045219</v>
      </c>
      <c r="AZ92" s="348">
        <v>2065.8612174767691</v>
      </c>
      <c r="BA92" s="348">
        <v>2105.5428499121549</v>
      </c>
      <c r="BB92" s="348">
        <v>2102.9272055234519</v>
      </c>
      <c r="BC92" s="348">
        <v>2164.133497802356</v>
      </c>
      <c r="BD92" s="348">
        <v>2278.4056610662278</v>
      </c>
      <c r="BE92" s="348">
        <v>2180.6076228914831</v>
      </c>
      <c r="BF92" s="348">
        <v>2192.4562832220622</v>
      </c>
      <c r="BG92" s="348">
        <v>2156.2021908174988</v>
      </c>
      <c r="BH92" s="348">
        <v>2230.3910661259579</v>
      </c>
      <c r="BI92" s="348">
        <v>2293.235835891956</v>
      </c>
      <c r="BJ92" s="348">
        <v>2342.4152657142681</v>
      </c>
      <c r="BK92" s="348">
        <v>2373.5015814491599</v>
      </c>
      <c r="BL92" s="348">
        <v>2442.1066373132412</v>
      </c>
      <c r="BM92" s="348">
        <v>2455.856061685457</v>
      </c>
      <c r="BN92" s="348">
        <v>2522.7676430252068</v>
      </c>
      <c r="BO92" s="348">
        <v>2603.2402258859101</v>
      </c>
      <c r="BP92" s="348">
        <v>2693.7766501868259</v>
      </c>
      <c r="BQ92" s="350">
        <v>2744.27981043716</v>
      </c>
    </row>
    <row r="93" spans="1:69" x14ac:dyDescent="0.25">
      <c r="A93" s="348" t="s">
        <v>1219</v>
      </c>
      <c r="B93" s="348" t="s">
        <v>1220</v>
      </c>
      <c r="C93" s="348" t="s">
        <v>1578</v>
      </c>
      <c r="D93" s="348" t="s">
        <v>1579</v>
      </c>
      <c r="AI93" s="348">
        <v>1122.817673646643</v>
      </c>
      <c r="AJ93" s="348">
        <v>1070.827642830413</v>
      </c>
      <c r="AK93" s="348">
        <v>1390.479184820128</v>
      </c>
      <c r="AL93" s="348">
        <v>1487.812025285878</v>
      </c>
      <c r="AM93" s="348">
        <v>1672.345475358967</v>
      </c>
      <c r="AN93" s="348">
        <v>1892.1165306252651</v>
      </c>
      <c r="AO93" s="348">
        <v>3033.8403122030591</v>
      </c>
      <c r="AP93" s="348">
        <v>7296.1000980984263</v>
      </c>
      <c r="AQ93" s="348">
        <v>8684.6573083064031</v>
      </c>
      <c r="AR93" s="348">
        <v>10492.464947555431</v>
      </c>
      <c r="AS93" s="348">
        <v>11767.470881431291</v>
      </c>
      <c r="AT93" s="348">
        <v>18031.964975073999</v>
      </c>
      <c r="AU93" s="348">
        <v>20242.430968439869</v>
      </c>
      <c r="AV93" s="348">
        <v>21709.575124195919</v>
      </c>
      <c r="AW93" s="348">
        <v>28225.985816122029</v>
      </c>
      <c r="AX93" s="348">
        <v>31302.957953873982</v>
      </c>
      <c r="AY93" s="348">
        <v>32251.768008251929</v>
      </c>
      <c r="AZ93" s="348">
        <v>35540.447756365742</v>
      </c>
      <c r="BA93" s="348">
        <v>39994.615979064663</v>
      </c>
      <c r="BB93" s="348">
        <v>38706.605251213499</v>
      </c>
      <c r="BC93" s="348">
        <v>33668.874065485179</v>
      </c>
      <c r="BD93" s="348">
        <v>34341.934260750473</v>
      </c>
      <c r="BE93" s="348">
        <v>35711.491927353687</v>
      </c>
      <c r="BF93" s="348">
        <v>32894.369318910089</v>
      </c>
      <c r="BG93" s="348">
        <v>31765.89970568514</v>
      </c>
      <c r="BH93" s="348">
        <v>27797.794280317921</v>
      </c>
      <c r="BI93" s="348">
        <v>24435.064556480149</v>
      </c>
      <c r="BJ93" s="348">
        <v>22250.43892302634</v>
      </c>
      <c r="BK93" s="348">
        <v>20165.47955506073</v>
      </c>
      <c r="BL93" s="348">
        <v>18446.591657968049</v>
      </c>
      <c r="BM93" s="348">
        <v>17089.153726379041</v>
      </c>
      <c r="BN93" s="348">
        <v>16821.448647041288</v>
      </c>
      <c r="BO93" s="348">
        <v>16932.77068271548</v>
      </c>
      <c r="BP93" s="348">
        <v>15688.23841926583</v>
      </c>
      <c r="BQ93" s="350">
        <v>15454.428493564041</v>
      </c>
    </row>
    <row r="94" spans="1:69" x14ac:dyDescent="0.25">
      <c r="A94" s="348" t="s">
        <v>1221</v>
      </c>
      <c r="B94" s="348" t="s">
        <v>1222</v>
      </c>
      <c r="C94" s="348" t="s">
        <v>1578</v>
      </c>
      <c r="D94" s="348" t="s">
        <v>1579</v>
      </c>
      <c r="AI94" s="348">
        <v>26916.31252257045</v>
      </c>
      <c r="AJ94" s="348">
        <v>27419.60293322341</v>
      </c>
      <c r="AK94" s="348">
        <v>27401.42400340498</v>
      </c>
      <c r="AL94" s="348">
        <v>26804.85376161481</v>
      </c>
      <c r="AM94" s="348">
        <v>27204.395868219839</v>
      </c>
      <c r="AN94" s="348">
        <v>27646.147638358769</v>
      </c>
      <c r="AO94" s="348">
        <v>27905.106569059379</v>
      </c>
      <c r="AP94" s="348">
        <v>28768.240147221652</v>
      </c>
      <c r="AQ94" s="348">
        <v>29592.525483113968</v>
      </c>
      <c r="AR94" s="348">
        <v>30263.05437050026</v>
      </c>
      <c r="AS94" s="348">
        <v>31386.639783623999</v>
      </c>
      <c r="AT94" s="348">
        <v>32675.92923277678</v>
      </c>
      <c r="AU94" s="348">
        <v>34081.028975934307</v>
      </c>
      <c r="AV94" s="348">
        <v>35970.701680847451</v>
      </c>
      <c r="AW94" s="348">
        <v>37811.491366448259</v>
      </c>
      <c r="AX94" s="348">
        <v>38146.962971082961</v>
      </c>
      <c r="AY94" s="348">
        <v>40483.156922533657</v>
      </c>
      <c r="AZ94" s="348">
        <v>41796.233691830283</v>
      </c>
      <c r="BA94" s="348">
        <v>41709.387742031176</v>
      </c>
      <c r="BB94" s="348">
        <v>39886.213549666427</v>
      </c>
      <c r="BC94" s="348">
        <v>37566.7483686263</v>
      </c>
      <c r="BD94" s="348">
        <v>33906.491743567582</v>
      </c>
      <c r="BE94" s="348">
        <v>31250.22685659556</v>
      </c>
      <c r="BF94" s="348">
        <v>30762.44322278129</v>
      </c>
      <c r="BG94" s="348">
        <v>31213.37651202979</v>
      </c>
      <c r="BH94" s="348">
        <v>31347.976574604039</v>
      </c>
      <c r="BI94" s="348">
        <v>31468.619847109851</v>
      </c>
      <c r="BJ94" s="348">
        <v>31995.410883838638</v>
      </c>
      <c r="BK94" s="348">
        <v>32722.33104440293</v>
      </c>
      <c r="BL94" s="348">
        <v>33502.750648899673</v>
      </c>
      <c r="BM94" s="348">
        <v>30487.11293310449</v>
      </c>
      <c r="BN94" s="348">
        <v>33531.155112259963</v>
      </c>
      <c r="BO94" s="348">
        <v>35831.344178120533</v>
      </c>
      <c r="BP94" s="348">
        <v>36700.513463105548</v>
      </c>
      <c r="BQ94" s="350">
        <v>37474.279823994701</v>
      </c>
    </row>
    <row r="95" spans="1:69" x14ac:dyDescent="0.25">
      <c r="A95" s="348" t="s">
        <v>1223</v>
      </c>
      <c r="B95" s="348" t="s">
        <v>1224</v>
      </c>
      <c r="C95" s="348" t="s">
        <v>1578</v>
      </c>
      <c r="D95" s="348" t="s">
        <v>1579</v>
      </c>
      <c r="AI95" s="348">
        <v>8883.9190152978499</v>
      </c>
      <c r="AJ95" s="348">
        <v>8932.3035991900815</v>
      </c>
      <c r="AK95" s="348">
        <v>8785.7588237489454</v>
      </c>
      <c r="AL95" s="348">
        <v>8548.0385969969757</v>
      </c>
      <c r="AM95" s="348">
        <v>8629.0862947040841</v>
      </c>
      <c r="AN95" s="348">
        <v>8750.81831848402</v>
      </c>
      <c r="AO95" s="348">
        <v>9076.7190294920729</v>
      </c>
      <c r="AP95" s="348">
        <v>9467.7770534851024</v>
      </c>
      <c r="AQ95" s="348">
        <v>10509.10980750102</v>
      </c>
      <c r="AR95" s="348">
        <v>11158.48972985028</v>
      </c>
      <c r="AS95" s="348">
        <v>11625.050939182051</v>
      </c>
      <c r="AT95" s="348">
        <v>11333.237709240881</v>
      </c>
      <c r="AU95" s="348">
        <v>11677.7034172407</v>
      </c>
      <c r="AV95" s="348">
        <v>12726.526621946439</v>
      </c>
      <c r="AW95" s="348">
        <v>12593.354625733689</v>
      </c>
      <c r="AX95" s="348">
        <v>14211.842656926379</v>
      </c>
      <c r="AY95" s="348">
        <v>13594.355159620971</v>
      </c>
      <c r="AZ95" s="348">
        <v>14376.282451277761</v>
      </c>
      <c r="BA95" s="348">
        <v>14463.560012122991</v>
      </c>
      <c r="BB95" s="348">
        <v>13463.58029395805</v>
      </c>
      <c r="BC95" s="348">
        <v>13354.9085012616</v>
      </c>
      <c r="BD95" s="348">
        <v>13397.85004055126</v>
      </c>
      <c r="BE95" s="348">
        <v>13161.3955324377</v>
      </c>
      <c r="BF95" s="348">
        <v>13386.31890641117</v>
      </c>
      <c r="BG95" s="348">
        <v>14287.95387200882</v>
      </c>
      <c r="BH95" s="348">
        <v>15136.69666737728</v>
      </c>
      <c r="BI95" s="348">
        <v>15640.82745038047</v>
      </c>
      <c r="BJ95" s="348">
        <v>16291.48946259794</v>
      </c>
      <c r="BK95" s="348">
        <v>16964.85200169605</v>
      </c>
      <c r="BL95" s="348">
        <v>17036.915168971511</v>
      </c>
      <c r="BM95" s="348">
        <v>14647.745138487629</v>
      </c>
      <c r="BN95" s="348">
        <v>15290.250903138</v>
      </c>
      <c r="BO95" s="348">
        <v>16376.42730995945</v>
      </c>
      <c r="BP95" s="348">
        <v>17093.156286744739</v>
      </c>
      <c r="BQ95" s="350">
        <v>17751.50986624811</v>
      </c>
    </row>
    <row r="96" spans="1:69" x14ac:dyDescent="0.25">
      <c r="A96" s="348" t="s">
        <v>1225</v>
      </c>
      <c r="B96" s="348" t="s">
        <v>1226</v>
      </c>
      <c r="C96" s="348" t="s">
        <v>1578</v>
      </c>
      <c r="D96" s="348" t="s">
        <v>1579</v>
      </c>
      <c r="AI96" s="348">
        <v>38137.568489695543</v>
      </c>
      <c r="AJ96" s="348">
        <v>38162.934223262077</v>
      </c>
      <c r="AK96" s="348">
        <v>36343.125721052042</v>
      </c>
      <c r="AL96" s="348">
        <v>34578.346499885432</v>
      </c>
      <c r="AM96" s="348">
        <v>36428.912398224369</v>
      </c>
      <c r="AN96" s="348">
        <v>37584.071908891528</v>
      </c>
      <c r="AO96" s="348">
        <v>38090.708995371322</v>
      </c>
      <c r="AP96" s="348">
        <v>38581.215194451826</v>
      </c>
      <c r="AQ96" s="348">
        <v>41500.231270329386</v>
      </c>
      <c r="AR96" s="348">
        <v>42072.056501741892</v>
      </c>
      <c r="AS96" s="348">
        <v>44991.675149613409</v>
      </c>
      <c r="AT96" s="348">
        <v>45405.85437420442</v>
      </c>
      <c r="AU96" s="348">
        <v>44793.270425256531</v>
      </c>
      <c r="AV96" s="348">
        <v>46649.048077975633</v>
      </c>
      <c r="AW96" s="348">
        <v>49742.058226672649</v>
      </c>
      <c r="AX96" s="348">
        <v>52189.001485462017</v>
      </c>
      <c r="AY96" s="348">
        <v>55243.710279878644</v>
      </c>
      <c r="AZ96" s="348">
        <v>56763.238728435877</v>
      </c>
      <c r="BA96" s="348">
        <v>60506.19462723282</v>
      </c>
      <c r="BB96" s="348">
        <v>61035.567299707087</v>
      </c>
      <c r="BC96" s="348">
        <v>61863.282691513748</v>
      </c>
      <c r="BD96" s="348">
        <v>61170.920365832069</v>
      </c>
      <c r="BE96" s="348">
        <v>62111.103308680693</v>
      </c>
      <c r="BF96" s="348">
        <v>61659.641522598533</v>
      </c>
      <c r="BG96" s="348">
        <v>64799.305662801693</v>
      </c>
      <c r="BH96" s="348">
        <v>63364.053606116409</v>
      </c>
      <c r="BI96" s="348">
        <v>66245.729473069761</v>
      </c>
      <c r="BJ96" s="348">
        <v>66297.179069128091</v>
      </c>
      <c r="BK96" s="348">
        <v>66887.677926892604</v>
      </c>
      <c r="BL96" s="348">
        <v>68534.94190391335</v>
      </c>
      <c r="BM96" s="348">
        <v>68533.733990296387</v>
      </c>
      <c r="BN96" s="348">
        <v>69302.008878823704</v>
      </c>
      <c r="BO96" s="348">
        <v>70681.225390215826</v>
      </c>
      <c r="BP96" s="348">
        <v>71037.537223962325</v>
      </c>
    </row>
    <row r="97" spans="1:69" x14ac:dyDescent="0.25">
      <c r="A97" s="348" t="s">
        <v>1227</v>
      </c>
      <c r="B97" s="348" t="s">
        <v>1228</v>
      </c>
      <c r="C97" s="348" t="s">
        <v>1578</v>
      </c>
      <c r="D97" s="348" t="s">
        <v>1579</v>
      </c>
      <c r="AI97" s="348">
        <v>7594.7286320394633</v>
      </c>
      <c r="AJ97" s="348">
        <v>7662.1674466717177</v>
      </c>
      <c r="AK97" s="348">
        <v>7822.2598141326171</v>
      </c>
      <c r="AL97" s="348">
        <v>7915.4069288613973</v>
      </c>
      <c r="AM97" s="348">
        <v>8018.2795912370548</v>
      </c>
      <c r="AN97" s="348">
        <v>8195.3459109197702</v>
      </c>
      <c r="AO97" s="348">
        <v>8222.0653920653476</v>
      </c>
      <c r="AP97" s="348">
        <v>8364.1613142934839</v>
      </c>
      <c r="AQ97" s="348">
        <v>8559.9862892978326</v>
      </c>
      <c r="AR97" s="348">
        <v>8668.4269793887088</v>
      </c>
      <c r="AS97" s="348">
        <v>8770.4040870875033</v>
      </c>
      <c r="AT97" s="348">
        <v>8771.1552062040701</v>
      </c>
      <c r="AU97" s="348">
        <v>8901.5363381980369</v>
      </c>
      <c r="AV97" s="348">
        <v>8926.1535800284473</v>
      </c>
      <c r="AW97" s="348">
        <v>9003.8571900321658</v>
      </c>
      <c r="AX97" s="348">
        <v>9099.7232884570076</v>
      </c>
      <c r="AY97" s="348">
        <v>9386.0011471377402</v>
      </c>
      <c r="AZ97" s="348">
        <v>9772.8053901732019</v>
      </c>
      <c r="BA97" s="348">
        <v>9889.572099748546</v>
      </c>
      <c r="BB97" s="348">
        <v>9740.7093613083216</v>
      </c>
      <c r="BC97" s="348">
        <v>9825.0176796825035</v>
      </c>
      <c r="BD97" s="348">
        <v>10032.08863246496</v>
      </c>
      <c r="BE97" s="348">
        <v>10126.828362198639</v>
      </c>
      <c r="BF97" s="348">
        <v>10297.839571041141</v>
      </c>
      <c r="BG97" s="348">
        <v>10553.564224429751</v>
      </c>
      <c r="BH97" s="348">
        <v>10785.95846157768</v>
      </c>
      <c r="BI97" s="348">
        <v>10872.59399629164</v>
      </c>
      <c r="BJ97" s="348">
        <v>11005.45939766533</v>
      </c>
      <c r="BK97" s="348">
        <v>11192.372055507971</v>
      </c>
      <c r="BL97" s="348">
        <v>11466.37658227953</v>
      </c>
      <c r="BM97" s="348">
        <v>11097.150411529999</v>
      </c>
      <c r="BN97" s="348">
        <v>11825.141273764</v>
      </c>
      <c r="BO97" s="348">
        <v>12147.930968407371</v>
      </c>
      <c r="BP97" s="348">
        <v>12384.948508093959</v>
      </c>
      <c r="BQ97" s="350">
        <v>12640.88750231461</v>
      </c>
    </row>
    <row r="98" spans="1:69" x14ac:dyDescent="0.25">
      <c r="A98" s="348" t="s">
        <v>1229</v>
      </c>
      <c r="B98" s="348" t="s">
        <v>1230</v>
      </c>
      <c r="C98" s="348" t="s">
        <v>1578</v>
      </c>
      <c r="D98" s="348" t="s">
        <v>1579</v>
      </c>
    </row>
    <row r="99" spans="1:69" x14ac:dyDescent="0.25">
      <c r="A99" s="348" t="s">
        <v>1231</v>
      </c>
      <c r="B99" s="348" t="s">
        <v>1232</v>
      </c>
      <c r="C99" s="348" t="s">
        <v>1578</v>
      </c>
      <c r="D99" s="348" t="s">
        <v>1579</v>
      </c>
      <c r="AI99" s="348">
        <v>5074.4310990168169</v>
      </c>
      <c r="AJ99" s="348">
        <v>5396.463425905431</v>
      </c>
      <c r="AK99" s="348">
        <v>5799.2183606680564</v>
      </c>
      <c r="AL99" s="348">
        <v>6247.8662486659432</v>
      </c>
      <c r="AM99" s="348">
        <v>6755.3286689231018</v>
      </c>
      <c r="AN99" s="348">
        <v>7071.2128000594712</v>
      </c>
      <c r="AO99" s="348">
        <v>7612.304242900208</v>
      </c>
      <c r="AP99" s="348">
        <v>8064.5671516472476</v>
      </c>
      <c r="AQ99" s="348">
        <v>7915.2295620395062</v>
      </c>
      <c r="AR99" s="348">
        <v>8139.970184157417</v>
      </c>
      <c r="AS99" s="348">
        <v>8025.2932649096228</v>
      </c>
      <c r="AT99" s="348">
        <v>8212.0432176091672</v>
      </c>
      <c r="AU99" s="348">
        <v>8314.0272750321001</v>
      </c>
      <c r="AV99" s="348">
        <v>8267.4291054536261</v>
      </c>
      <c r="AW99" s="348">
        <v>8404.2001629708029</v>
      </c>
      <c r="AX99" s="348">
        <v>8256.5251907113761</v>
      </c>
      <c r="AY99" s="348">
        <v>8702.3313349400141</v>
      </c>
      <c r="AZ99" s="348">
        <v>9354.080177165335</v>
      </c>
      <c r="BA99" s="348">
        <v>9546.7087594943641</v>
      </c>
      <c r="BB99" s="348">
        <v>9924.5266077063097</v>
      </c>
      <c r="BC99" s="348">
        <v>10374.394755765579</v>
      </c>
      <c r="BD99" s="348">
        <v>10958.85988384375</v>
      </c>
      <c r="BE99" s="348">
        <v>11534.998558865909</v>
      </c>
      <c r="BF99" s="348">
        <v>11896.90698549415</v>
      </c>
      <c r="BG99" s="348">
        <v>12030.05293440453</v>
      </c>
      <c r="BH99" s="348">
        <v>12040.08253302001</v>
      </c>
      <c r="BI99" s="348">
        <v>12420.47247276027</v>
      </c>
      <c r="BJ99" s="348">
        <v>12801.64085293463</v>
      </c>
      <c r="BK99" s="348">
        <v>12980.35760031769</v>
      </c>
      <c r="BL99" s="348">
        <v>13402.42194727565</v>
      </c>
      <c r="BM99" s="348">
        <v>19234.13019776369</v>
      </c>
      <c r="BN99" s="348">
        <v>22865.927096888201</v>
      </c>
      <c r="BO99" s="348">
        <v>37068.199382758838</v>
      </c>
      <c r="BP99" s="348">
        <v>49312.360322544439</v>
      </c>
      <c r="BQ99" s="350">
        <v>70516.721506480506</v>
      </c>
    </row>
    <row r="100" spans="1:69" x14ac:dyDescent="0.25">
      <c r="A100" s="348" t="s">
        <v>1233</v>
      </c>
      <c r="B100" s="348" t="s">
        <v>1234</v>
      </c>
      <c r="C100" s="348" t="s">
        <v>1578</v>
      </c>
      <c r="D100" s="348" t="s">
        <v>1579</v>
      </c>
      <c r="AI100" s="348">
        <v>34929.429085955897</v>
      </c>
      <c r="AJ100" s="348">
        <v>34820.582681932618</v>
      </c>
      <c r="AK100" s="348">
        <v>34720.813115252917</v>
      </c>
      <c r="AL100" s="348">
        <v>34667.575693771003</v>
      </c>
      <c r="AM100" s="348">
        <v>35197.804718354957</v>
      </c>
      <c r="AN100" s="348">
        <v>35892.344972111197</v>
      </c>
      <c r="AO100" s="348">
        <v>36633.756511246793</v>
      </c>
      <c r="AP100" s="348">
        <v>37650.687633797359</v>
      </c>
      <c r="AQ100" s="348">
        <v>38308.952688165889</v>
      </c>
      <c r="AR100" s="348">
        <v>39471.530522838111</v>
      </c>
      <c r="AS100" s="348">
        <v>41052.550749412578</v>
      </c>
      <c r="AT100" s="348">
        <v>41571.385027084762</v>
      </c>
      <c r="AU100" s="348">
        <v>42108.765680627497</v>
      </c>
      <c r="AV100" s="348">
        <v>42964.379503286327</v>
      </c>
      <c r="AW100" s="348">
        <v>44356.784629731541</v>
      </c>
      <c r="AX100" s="348">
        <v>45533.89920853902</v>
      </c>
      <c r="AY100" s="348">
        <v>46910.860181296761</v>
      </c>
      <c r="AZ100" s="348">
        <v>48145.697456543872</v>
      </c>
      <c r="BA100" s="348">
        <v>48338.778591057438</v>
      </c>
      <c r="BB100" s="348">
        <v>46327.402647317722</v>
      </c>
      <c r="BC100" s="348">
        <v>47586.199292768353</v>
      </c>
      <c r="BD100" s="348">
        <v>48491.063638366802</v>
      </c>
      <c r="BE100" s="348">
        <v>48959.668701730152</v>
      </c>
      <c r="BF100" s="348">
        <v>49441.21277474107</v>
      </c>
      <c r="BG100" s="348">
        <v>50214.063686340727</v>
      </c>
      <c r="BH100" s="348">
        <v>50977.37559910577</v>
      </c>
      <c r="BI100" s="348">
        <v>51585.492279655024</v>
      </c>
      <c r="BJ100" s="348">
        <v>52651.328829595332</v>
      </c>
      <c r="BK100" s="348">
        <v>53756.513463763658</v>
      </c>
      <c r="BL100" s="348">
        <v>54610.214896943668</v>
      </c>
      <c r="BM100" s="348">
        <v>52316.609046817874</v>
      </c>
      <c r="BN100" s="348">
        <v>55480.527496096183</v>
      </c>
      <c r="BO100" s="348">
        <v>56904.445663862658</v>
      </c>
      <c r="BP100" s="348">
        <v>57537.248025063658</v>
      </c>
      <c r="BQ100" s="350">
        <v>58334.814808274219</v>
      </c>
    </row>
    <row r="101" spans="1:69" x14ac:dyDescent="0.25">
      <c r="A101" s="348" t="s">
        <v>1235</v>
      </c>
      <c r="B101" s="348" t="s">
        <v>1236</v>
      </c>
      <c r="C101" s="348" t="s">
        <v>1578</v>
      </c>
      <c r="D101" s="348" t="s">
        <v>1579</v>
      </c>
      <c r="AI101" s="348">
        <v>31598.755999537931</v>
      </c>
      <c r="AJ101" s="348">
        <v>33124.686110078779</v>
      </c>
      <c r="AK101" s="348">
        <v>34895.761208156517</v>
      </c>
      <c r="AL101" s="348">
        <v>36428.527042455993</v>
      </c>
      <c r="AM101" s="348">
        <v>37767.193530119497</v>
      </c>
      <c r="AN101" s="348">
        <v>37905.650935208563</v>
      </c>
      <c r="AO101" s="348">
        <v>37804.068427696991</v>
      </c>
      <c r="AP101" s="348">
        <v>39402.595378939121</v>
      </c>
      <c r="AQ101" s="348">
        <v>36776.383028935546</v>
      </c>
      <c r="AR101" s="348">
        <v>37339.926757417838</v>
      </c>
      <c r="AS101" s="348">
        <v>39848.591529239988</v>
      </c>
      <c r="AT101" s="348">
        <v>39777.856188356222</v>
      </c>
      <c r="AU101" s="348">
        <v>40258.172789456883</v>
      </c>
      <c r="AV101" s="348">
        <v>41570.576310505297</v>
      </c>
      <c r="AW101" s="348">
        <v>44836.205332112913</v>
      </c>
      <c r="AX101" s="348">
        <v>47938.899801711137</v>
      </c>
      <c r="AY101" s="348">
        <v>50981.793103752439</v>
      </c>
      <c r="AZ101" s="348">
        <v>53813.079208494259</v>
      </c>
      <c r="BA101" s="348">
        <v>54630.376398504442</v>
      </c>
      <c r="BB101" s="348">
        <v>53172.300190061753</v>
      </c>
      <c r="BC101" s="348">
        <v>56355.411793937863</v>
      </c>
      <c r="BD101" s="348">
        <v>58672.829490118209</v>
      </c>
      <c r="BE101" s="348">
        <v>59015.333281194551</v>
      </c>
      <c r="BF101" s="348">
        <v>60601.609781701052</v>
      </c>
      <c r="BG101" s="348">
        <v>61839.810843419044</v>
      </c>
      <c r="BH101" s="348">
        <v>62779.74843537181</v>
      </c>
      <c r="BI101" s="348">
        <v>63749.409527463453</v>
      </c>
      <c r="BJ101" s="348">
        <v>65662.835916754615</v>
      </c>
      <c r="BK101" s="348">
        <v>66993.967979439767</v>
      </c>
      <c r="BL101" s="348">
        <v>65388.333624823419</v>
      </c>
      <c r="BM101" s="348">
        <v>61328.528804493813</v>
      </c>
      <c r="BN101" s="348">
        <v>65884.937626060288</v>
      </c>
      <c r="BO101" s="348">
        <v>64036.645415472733</v>
      </c>
      <c r="BP101" s="348">
        <v>64434.55766908708</v>
      </c>
      <c r="BQ101" s="350">
        <v>66153.974665107817</v>
      </c>
    </row>
    <row r="102" spans="1:69" x14ac:dyDescent="0.25">
      <c r="A102" s="348" t="s">
        <v>1237</v>
      </c>
      <c r="B102" s="348" t="s">
        <v>1238</v>
      </c>
      <c r="C102" s="348" t="s">
        <v>1578</v>
      </c>
      <c r="D102" s="348" t="s">
        <v>1579</v>
      </c>
      <c r="AI102" s="348">
        <v>1172.079806286433</v>
      </c>
      <c r="AJ102" s="348">
        <v>1436.0506601902141</v>
      </c>
      <c r="AK102" s="348">
        <v>1521.9472169298151</v>
      </c>
      <c r="AL102" s="348">
        <v>1681.0823877988221</v>
      </c>
      <c r="AM102" s="348">
        <v>2108.2741500717389</v>
      </c>
      <c r="AN102" s="348">
        <v>2555.026228193818</v>
      </c>
      <c r="AO102" s="348">
        <v>3054.1577373843379</v>
      </c>
      <c r="AP102" s="348">
        <v>3635.9807122842772</v>
      </c>
      <c r="AQ102" s="348">
        <v>3950.834986202286</v>
      </c>
      <c r="AR102" s="348">
        <v>4293.8272305984337</v>
      </c>
      <c r="AS102" s="348">
        <v>4579.6896084098407</v>
      </c>
      <c r="AT102" s="348">
        <v>4578.9478794477254</v>
      </c>
      <c r="AU102" s="348">
        <v>4627.0227872345567</v>
      </c>
      <c r="AV102" s="348">
        <v>4714.8670100097142</v>
      </c>
      <c r="AW102" s="348">
        <v>4885.3425834342224</v>
      </c>
      <c r="AX102" s="348">
        <v>5056.6754441255107</v>
      </c>
      <c r="AY102" s="348">
        <v>5263.1502909957808</v>
      </c>
      <c r="AZ102" s="348">
        <v>5461.9015188903086</v>
      </c>
      <c r="BA102" s="348">
        <v>5566.7063948772247</v>
      </c>
      <c r="BB102" s="348">
        <v>5313.7557396779148</v>
      </c>
      <c r="BC102" s="348">
        <v>5396.0722792774368</v>
      </c>
      <c r="BD102" s="348">
        <v>5488.4337159633214</v>
      </c>
      <c r="BE102" s="348">
        <v>5600.6077605497003</v>
      </c>
      <c r="BF102" s="348">
        <v>5644.1338480204486</v>
      </c>
      <c r="BG102" s="348">
        <v>5705.1624626548391</v>
      </c>
      <c r="BH102" s="348">
        <v>5812.5348879104986</v>
      </c>
      <c r="BI102" s="348">
        <v>5926.4902553422799</v>
      </c>
      <c r="BJ102" s="348">
        <v>6099.6073491941352</v>
      </c>
      <c r="BK102" s="348">
        <v>6219.2797377505949</v>
      </c>
      <c r="BL102" s="348">
        <v>6264.0188427671465</v>
      </c>
      <c r="BM102" s="348">
        <v>5603.2639837777742</v>
      </c>
      <c r="BN102" s="348">
        <v>6202.9807881203687</v>
      </c>
      <c r="BO102" s="348">
        <v>6352.5871017773179</v>
      </c>
      <c r="BP102" s="348">
        <v>6467.8800352783046</v>
      </c>
      <c r="BQ102" s="350">
        <v>6585.8553571786106</v>
      </c>
    </row>
    <row r="103" spans="1:69" x14ac:dyDescent="0.25">
      <c r="A103" s="348" t="s">
        <v>1239</v>
      </c>
      <c r="B103" s="348" t="s">
        <v>1240</v>
      </c>
      <c r="C103" s="348" t="s">
        <v>1578</v>
      </c>
      <c r="D103" s="348" t="s">
        <v>1579</v>
      </c>
      <c r="AI103" s="348">
        <v>2185.3990148757048</v>
      </c>
      <c r="AJ103" s="348">
        <v>2148.1055139701498</v>
      </c>
      <c r="AK103" s="348">
        <v>2061.466250805272</v>
      </c>
      <c r="AL103" s="348">
        <v>2005.60640033095</v>
      </c>
      <c r="AM103" s="348">
        <v>1953.0663677129239</v>
      </c>
      <c r="AN103" s="348">
        <v>1994.1782794546759</v>
      </c>
      <c r="AO103" s="348">
        <v>2043.848516420187</v>
      </c>
      <c r="AP103" s="348">
        <v>2103.4554035470319</v>
      </c>
      <c r="AQ103" s="348">
        <v>2120.9708894463929</v>
      </c>
      <c r="AR103" s="348">
        <v>2132.423224829146</v>
      </c>
      <c r="AS103" s="348">
        <v>2137.0198887450401</v>
      </c>
      <c r="AT103" s="348">
        <v>2154.2960492702759</v>
      </c>
      <c r="AU103" s="348">
        <v>2179.921604773609</v>
      </c>
      <c r="AV103" s="348">
        <v>2206.404784454573</v>
      </c>
      <c r="AW103" s="348">
        <v>2267.8433909948872</v>
      </c>
      <c r="AX103" s="348">
        <v>2328.973450118956</v>
      </c>
      <c r="AY103" s="348">
        <v>2394.6963409722339</v>
      </c>
      <c r="AZ103" s="348">
        <v>2458.8971545207328</v>
      </c>
      <c r="BA103" s="348">
        <v>2527.3451518373422</v>
      </c>
      <c r="BB103" s="348">
        <v>2548.291257878278</v>
      </c>
      <c r="BC103" s="348">
        <v>2636.2757495496221</v>
      </c>
      <c r="BD103" s="348">
        <v>2679.7211645284428</v>
      </c>
      <c r="BE103" s="348">
        <v>2711.738903127185</v>
      </c>
      <c r="BF103" s="348">
        <v>2788.5148077846929</v>
      </c>
      <c r="BG103" s="348">
        <v>2859.065414701487</v>
      </c>
      <c r="BH103" s="348">
        <v>2910.6902738344861</v>
      </c>
      <c r="BI103" s="348">
        <v>2953.6594278515772</v>
      </c>
      <c r="BJ103" s="348">
        <v>3012.682158636293</v>
      </c>
      <c r="BK103" s="348">
        <v>3049.7144618291081</v>
      </c>
      <c r="BL103" s="348">
        <v>3090.510023299988</v>
      </c>
      <c r="BM103" s="348">
        <v>3000.4499766245849</v>
      </c>
      <c r="BN103" s="348">
        <v>3035.0607700499309</v>
      </c>
      <c r="BO103" s="348">
        <v>3090.261522227534</v>
      </c>
      <c r="BP103" s="348">
        <v>3108.281879229934</v>
      </c>
      <c r="BQ103" s="350">
        <v>3177.462808387691</v>
      </c>
    </row>
    <row r="104" spans="1:69" x14ac:dyDescent="0.25">
      <c r="A104" s="348" t="s">
        <v>1241</v>
      </c>
      <c r="B104" s="348" t="s">
        <v>1242</v>
      </c>
      <c r="C104" s="348" t="s">
        <v>1578</v>
      </c>
      <c r="D104" s="348" t="s">
        <v>1579</v>
      </c>
      <c r="AI104" s="348">
        <v>23399.736755167211</v>
      </c>
      <c r="AJ104" s="348">
        <v>18812.943754805601</v>
      </c>
      <c r="AK104" s="348">
        <v>17020.237492582019</v>
      </c>
      <c r="AL104" s="348">
        <v>15570.403413502439</v>
      </c>
      <c r="AM104" s="348">
        <v>16301.753451500201</v>
      </c>
      <c r="AN104" s="348">
        <v>17522.74980760668</v>
      </c>
      <c r="AO104" s="348">
        <v>18849.981405822899</v>
      </c>
      <c r="AP104" s="348">
        <v>20110.513795809169</v>
      </c>
      <c r="AQ104" s="348">
        <v>20575.9739779999</v>
      </c>
      <c r="AR104" s="348">
        <v>20489.677679846791</v>
      </c>
      <c r="AS104" s="348">
        <v>21302.250368453639</v>
      </c>
      <c r="AT104" s="348">
        <v>22826.624492874089</v>
      </c>
      <c r="AU104" s="348">
        <v>24137.11442815428</v>
      </c>
      <c r="AV104" s="348">
        <v>25473.905515688439</v>
      </c>
      <c r="AW104" s="348">
        <v>26528.887170858561</v>
      </c>
      <c r="AX104" s="348">
        <v>27641.206184119379</v>
      </c>
      <c r="AY104" s="348">
        <v>29035.529538203529</v>
      </c>
      <c r="AZ104" s="348">
        <v>30508.279807341682</v>
      </c>
      <c r="BA104" s="348">
        <v>31113.86446657373</v>
      </c>
      <c r="BB104" s="348">
        <v>29024.758869963222</v>
      </c>
      <c r="BC104" s="348">
        <v>28702.003000938112</v>
      </c>
      <c r="BD104" s="348">
        <v>28769.329474933122</v>
      </c>
      <c r="BE104" s="348">
        <v>28259.345488246399</v>
      </c>
      <c r="BF104" s="348">
        <v>28397.856208094541</v>
      </c>
      <c r="BG104" s="348">
        <v>28456.737159525779</v>
      </c>
      <c r="BH104" s="348">
        <v>29466.699689414101</v>
      </c>
      <c r="BI104" s="348">
        <v>30821.163749817719</v>
      </c>
      <c r="BJ104" s="348">
        <v>32348.934187648229</v>
      </c>
      <c r="BK104" s="348">
        <v>33729.907121123942</v>
      </c>
      <c r="BL104" s="348">
        <v>35122.850825113928</v>
      </c>
      <c r="BM104" s="348">
        <v>32493.312195416722</v>
      </c>
      <c r="BN104" s="348">
        <v>36930.284194140528</v>
      </c>
      <c r="BO104" s="348">
        <v>39864.010087995834</v>
      </c>
      <c r="BP104" s="348">
        <v>41320.203263308453</v>
      </c>
      <c r="BQ104" s="350">
        <v>42829.197837038409</v>
      </c>
    </row>
    <row r="105" spans="1:69" x14ac:dyDescent="0.25">
      <c r="A105" s="348" t="s">
        <v>1243</v>
      </c>
      <c r="B105" s="348" t="s">
        <v>1244</v>
      </c>
      <c r="C105" s="348" t="s">
        <v>1578</v>
      </c>
      <c r="D105" s="348" t="s">
        <v>1579</v>
      </c>
      <c r="AI105" s="348">
        <v>3959.0252608968672</v>
      </c>
      <c r="AJ105" s="348">
        <v>3952.1727272493422</v>
      </c>
      <c r="AK105" s="348">
        <v>3668.31318736615</v>
      </c>
      <c r="AL105" s="348">
        <v>3401.7590180526058</v>
      </c>
      <c r="AM105" s="348">
        <v>2938.0700851814659</v>
      </c>
      <c r="AN105" s="348">
        <v>3167.9130764983838</v>
      </c>
      <c r="AO105" s="348">
        <v>3237.019674772961</v>
      </c>
      <c r="AP105" s="348">
        <v>3262.459181569101</v>
      </c>
      <c r="AQ105" s="348">
        <v>3272.0495643932518</v>
      </c>
      <c r="AR105" s="348">
        <v>3299.2353394823949</v>
      </c>
      <c r="AS105" s="348">
        <v>3267.076468165988</v>
      </c>
      <c r="AT105" s="348">
        <v>3197.057010865859</v>
      </c>
      <c r="AU105" s="348">
        <v>3173.7384872960679</v>
      </c>
      <c r="AV105" s="348">
        <v>3227.120878604429</v>
      </c>
      <c r="AW105" s="348">
        <v>3130.8555197598112</v>
      </c>
      <c r="AX105" s="348">
        <v>3173.2608103271709</v>
      </c>
      <c r="AY105" s="348">
        <v>3174.9762225807608</v>
      </c>
      <c r="AZ105" s="348">
        <v>3268.8189067582339</v>
      </c>
      <c r="BA105" s="348">
        <v>3300.2584933296762</v>
      </c>
      <c r="BB105" s="348">
        <v>3437.3806965317958</v>
      </c>
      <c r="BC105" s="348">
        <v>3205.4982996151539</v>
      </c>
      <c r="BD105" s="348">
        <v>3330.9982041635481</v>
      </c>
      <c r="BE105" s="348">
        <v>3296.2478244897379</v>
      </c>
      <c r="BF105" s="348">
        <v>3387.4718016974812</v>
      </c>
      <c r="BG105" s="348">
        <v>3434.6359740057842</v>
      </c>
      <c r="BH105" s="348">
        <v>3433.0752924097319</v>
      </c>
      <c r="BI105" s="348">
        <v>3446.752766478719</v>
      </c>
      <c r="BJ105" s="348">
        <v>3485.492347013098</v>
      </c>
      <c r="BK105" s="348">
        <v>3496.8787032074829</v>
      </c>
      <c r="BL105" s="348">
        <v>3392.4326321045569</v>
      </c>
      <c r="BM105" s="348">
        <v>3239.8354344130121</v>
      </c>
      <c r="BN105" s="348">
        <v>3145.006810572685</v>
      </c>
      <c r="BO105" s="348">
        <v>3057.4284082650152</v>
      </c>
      <c r="BP105" s="348">
        <v>2965.946223401344</v>
      </c>
      <c r="BQ105" s="350">
        <v>2809.6453557824202</v>
      </c>
    </row>
    <row r="106" spans="1:69" x14ac:dyDescent="0.25">
      <c r="A106" s="348" t="s">
        <v>1245</v>
      </c>
      <c r="B106" s="348" t="s">
        <v>1246</v>
      </c>
      <c r="C106" s="348" t="s">
        <v>1578</v>
      </c>
      <c r="D106" s="348" t="s">
        <v>1579</v>
      </c>
      <c r="AI106" s="348">
        <v>21297.00064090154</v>
      </c>
      <c r="AJ106" s="348">
        <v>18765.416250400809</v>
      </c>
      <c r="AK106" s="348">
        <v>18197.530552135129</v>
      </c>
      <c r="AL106" s="348">
        <v>18113.336906965509</v>
      </c>
      <c r="AM106" s="348">
        <v>18672.70723654695</v>
      </c>
      <c r="AN106" s="348">
        <v>18977.243704736549</v>
      </c>
      <c r="AO106" s="348">
        <v>19029.113728491411</v>
      </c>
      <c r="AP106" s="348">
        <v>19635.294960053689</v>
      </c>
      <c r="AQ106" s="348">
        <v>20438.38295505058</v>
      </c>
      <c r="AR106" s="348">
        <v>21128.888463940231</v>
      </c>
      <c r="AS106" s="348">
        <v>22117.920430319278</v>
      </c>
      <c r="AT106" s="348">
        <v>23069.211473098749</v>
      </c>
      <c r="AU106" s="348">
        <v>24229.295357598108</v>
      </c>
      <c r="AV106" s="348">
        <v>25255.87113005673</v>
      </c>
      <c r="AW106" s="348">
        <v>26568.11886186403</v>
      </c>
      <c r="AX106" s="348">
        <v>27765.788614619749</v>
      </c>
      <c r="AY106" s="348">
        <v>28903.047540707801</v>
      </c>
      <c r="AZ106" s="348">
        <v>29044.066902125411</v>
      </c>
      <c r="BA106" s="348">
        <v>29384.007038581789</v>
      </c>
      <c r="BB106" s="348">
        <v>27445.95945847901</v>
      </c>
      <c r="BC106" s="348">
        <v>27801.83381611095</v>
      </c>
      <c r="BD106" s="348">
        <v>28415.117344289702</v>
      </c>
      <c r="BE106" s="348">
        <v>28179.656464434</v>
      </c>
      <c r="BF106" s="348">
        <v>28891.021754497571</v>
      </c>
      <c r="BG106" s="348">
        <v>30264.949230216109</v>
      </c>
      <c r="BH106" s="348">
        <v>31485.567542563411</v>
      </c>
      <c r="BI106" s="348">
        <v>32378.967498307531</v>
      </c>
      <c r="BJ106" s="348">
        <v>33828.714942571038</v>
      </c>
      <c r="BK106" s="348">
        <v>35798.041275402189</v>
      </c>
      <c r="BL106" s="348">
        <v>37662.676810139972</v>
      </c>
      <c r="BM106" s="348">
        <v>36119.521173565226</v>
      </c>
      <c r="BN106" s="348">
        <v>38887.190952715348</v>
      </c>
      <c r="BO106" s="348">
        <v>40610.971136823813</v>
      </c>
      <c r="BP106" s="348">
        <v>40333.254688811779</v>
      </c>
      <c r="BQ106" s="350">
        <v>40686.931926334328</v>
      </c>
    </row>
    <row r="107" spans="1:69" x14ac:dyDescent="0.25">
      <c r="A107" s="348" t="s">
        <v>1247</v>
      </c>
      <c r="B107" s="348" t="s">
        <v>1248</v>
      </c>
      <c r="C107" s="348" t="s">
        <v>1578</v>
      </c>
      <c r="D107" s="348" t="s">
        <v>1579</v>
      </c>
      <c r="AI107" s="348">
        <v>6242.0123184754484</v>
      </c>
      <c r="AJ107" s="348">
        <v>6131.7732922486621</v>
      </c>
      <c r="AK107" s="348">
        <v>6021.168260490228</v>
      </c>
      <c r="AL107" s="348">
        <v>6047.9657515843583</v>
      </c>
      <c r="AM107" s="348">
        <v>6063.8580764664021</v>
      </c>
      <c r="AN107" s="348">
        <v>6181.5748079856066</v>
      </c>
      <c r="AO107" s="348">
        <v>6389.9162144342581</v>
      </c>
      <c r="AP107" s="348">
        <v>6599.3597143458392</v>
      </c>
      <c r="AQ107" s="348">
        <v>6637.9929971120673</v>
      </c>
      <c r="AR107" s="348">
        <v>6810.1323092045432</v>
      </c>
      <c r="AS107" s="348">
        <v>7122.7947162436612</v>
      </c>
      <c r="AT107" s="348">
        <v>7298.4268840195346</v>
      </c>
      <c r="AU107" s="348">
        <v>7538.0777526178217</v>
      </c>
      <c r="AV107" s="348">
        <v>7894.1295818018643</v>
      </c>
      <c r="AW107" s="348">
        <v>8397.6982790822913</v>
      </c>
      <c r="AX107" s="348">
        <v>8877.6055450502354</v>
      </c>
      <c r="AY107" s="348">
        <v>9483.9357748289331</v>
      </c>
      <c r="AZ107" s="348">
        <v>10182.583668772941</v>
      </c>
      <c r="BA107" s="348">
        <v>10629.07712320541</v>
      </c>
      <c r="BB107" s="348">
        <v>10728.89713304121</v>
      </c>
      <c r="BC107" s="348">
        <v>11398.404796678329</v>
      </c>
      <c r="BD107" s="348">
        <v>11948.06230051947</v>
      </c>
      <c r="BE107" s="348">
        <v>12418.85088432424</v>
      </c>
      <c r="BF107" s="348">
        <v>12882.122521557099</v>
      </c>
      <c r="BG107" s="348">
        <v>13319.72375529853</v>
      </c>
      <c r="BH107" s="348">
        <v>13721.67239989144</v>
      </c>
      <c r="BI107" s="348">
        <v>14202.156918418281</v>
      </c>
      <c r="BJ107" s="348">
        <v>14778.525459576191</v>
      </c>
      <c r="BK107" s="348">
        <v>15352.2585831081</v>
      </c>
      <c r="BL107" s="348">
        <v>15818.672788752499</v>
      </c>
      <c r="BM107" s="348">
        <v>15412.27402525541</v>
      </c>
      <c r="BN107" s="348">
        <v>16457.40287468271</v>
      </c>
      <c r="BO107" s="348">
        <v>17005.367831653741</v>
      </c>
      <c r="BP107" s="348">
        <v>17766.259323949638</v>
      </c>
      <c r="BQ107" s="350">
        <v>18451.08231345841</v>
      </c>
    </row>
    <row r="108" spans="1:69" x14ac:dyDescent="0.25">
      <c r="A108" s="348" t="s">
        <v>1249</v>
      </c>
      <c r="B108" s="348" t="s">
        <v>1250</v>
      </c>
      <c r="C108" s="348" t="s">
        <v>1578</v>
      </c>
      <c r="D108" s="348" t="s">
        <v>1579</v>
      </c>
      <c r="AI108" s="348">
        <v>5560.1079784119938</v>
      </c>
      <c r="AJ108" s="348">
        <v>5463.5185201577906</v>
      </c>
      <c r="AK108" s="348">
        <v>5367.0452848661353</v>
      </c>
      <c r="AL108" s="348">
        <v>5371.2981423084138</v>
      </c>
      <c r="AM108" s="348">
        <v>5368.342420232736</v>
      </c>
      <c r="AN108" s="348">
        <v>5459.9379687727569</v>
      </c>
      <c r="AO108" s="348">
        <v>5630.6950897811848</v>
      </c>
      <c r="AP108" s="348">
        <v>5795.481266248039</v>
      </c>
      <c r="AQ108" s="348">
        <v>5824.1432308365966</v>
      </c>
      <c r="AR108" s="348">
        <v>5953.5771391908593</v>
      </c>
      <c r="AS108" s="348">
        <v>6198.6136603784444</v>
      </c>
      <c r="AT108" s="348">
        <v>6336.6294219755573</v>
      </c>
      <c r="AU108" s="348">
        <v>6533.5054882132245</v>
      </c>
      <c r="AV108" s="348">
        <v>6816.9012697661883</v>
      </c>
      <c r="AW108" s="348">
        <v>7225.7125412712994</v>
      </c>
      <c r="AX108" s="348">
        <v>7611.7109774567152</v>
      </c>
      <c r="AY108" s="348">
        <v>8092.3260282313759</v>
      </c>
      <c r="AZ108" s="348">
        <v>8640.3330848422775</v>
      </c>
      <c r="BA108" s="348">
        <v>8987.3151497421786</v>
      </c>
      <c r="BB108" s="348">
        <v>9071.9784168862698</v>
      </c>
      <c r="BC108" s="348">
        <v>9596.5761103862242</v>
      </c>
      <c r="BD108" s="348">
        <v>10018.873975776811</v>
      </c>
      <c r="BE108" s="348">
        <v>10369.55005888515</v>
      </c>
      <c r="BF108" s="348">
        <v>10730.218472783339</v>
      </c>
      <c r="BG108" s="348">
        <v>11075.88867520442</v>
      </c>
      <c r="BH108" s="348">
        <v>11381.84958329178</v>
      </c>
      <c r="BI108" s="348">
        <v>11734.37313199955</v>
      </c>
      <c r="BJ108" s="348">
        <v>12162.76159686454</v>
      </c>
      <c r="BK108" s="348">
        <v>12588.858463430141</v>
      </c>
      <c r="BL108" s="348">
        <v>12925.578297380271</v>
      </c>
      <c r="BM108" s="348">
        <v>12544.65693117252</v>
      </c>
      <c r="BN108" s="348">
        <v>13292.398683482221</v>
      </c>
      <c r="BO108" s="348">
        <v>13682.56628349819</v>
      </c>
      <c r="BP108" s="348">
        <v>14206.191212155019</v>
      </c>
      <c r="BQ108" s="350">
        <v>14688.14762774287</v>
      </c>
    </row>
    <row r="109" spans="1:69" x14ac:dyDescent="0.25">
      <c r="A109" s="348" t="s">
        <v>1251</v>
      </c>
      <c r="B109" s="348" t="s">
        <v>1252</v>
      </c>
      <c r="C109" s="348" t="s">
        <v>1578</v>
      </c>
      <c r="D109" s="348" t="s">
        <v>1579</v>
      </c>
      <c r="AI109" s="348">
        <v>2878.0665589100781</v>
      </c>
      <c r="AJ109" s="348">
        <v>2861.0269799090952</v>
      </c>
      <c r="AK109" s="348">
        <v>2848.737394405769</v>
      </c>
      <c r="AL109" s="348">
        <v>2796.7149856960732</v>
      </c>
      <c r="AM109" s="348">
        <v>2753.1276067330909</v>
      </c>
      <c r="AN109" s="348">
        <v>2779.078793572613</v>
      </c>
      <c r="AO109" s="348">
        <v>2844.5149967774842</v>
      </c>
      <c r="AP109" s="348">
        <v>2879.6159789164631</v>
      </c>
      <c r="AQ109" s="348">
        <v>2907.6330384511512</v>
      </c>
      <c r="AR109" s="348">
        <v>2918.928278515622</v>
      </c>
      <c r="AS109" s="348">
        <v>2961.8943615375902</v>
      </c>
      <c r="AT109" s="348">
        <v>3009.5916239012522</v>
      </c>
      <c r="AU109" s="348">
        <v>3103.6950635918201</v>
      </c>
      <c r="AV109" s="348">
        <v>3186.2567819997048</v>
      </c>
      <c r="AW109" s="348">
        <v>3325.14688866703</v>
      </c>
      <c r="AX109" s="348">
        <v>3451.9402986159939</v>
      </c>
      <c r="AY109" s="348">
        <v>3579.1261243483941</v>
      </c>
      <c r="AZ109" s="348">
        <v>3706.8621498346852</v>
      </c>
      <c r="BA109" s="348">
        <v>3806.302148549692</v>
      </c>
      <c r="BB109" s="348">
        <v>3913.3098506707079</v>
      </c>
      <c r="BC109" s="348">
        <v>4059.1568305013379</v>
      </c>
      <c r="BD109" s="348">
        <v>4163.9944053980744</v>
      </c>
      <c r="BE109" s="348">
        <v>4220.1439173058816</v>
      </c>
      <c r="BF109" s="348">
        <v>4335.9858047988046</v>
      </c>
      <c r="BG109" s="348">
        <v>4477.4145386077962</v>
      </c>
      <c r="BH109" s="348">
        <v>4576.2391842375546</v>
      </c>
      <c r="BI109" s="348">
        <v>4639.1829427670818</v>
      </c>
      <c r="BJ109" s="348">
        <v>4732.6461840537477</v>
      </c>
      <c r="BK109" s="348">
        <v>4841.5729152531731</v>
      </c>
      <c r="BL109" s="348">
        <v>4928.1644480889636</v>
      </c>
      <c r="BM109" s="348">
        <v>4737.3526767303629</v>
      </c>
      <c r="BN109" s="348">
        <v>4811.6921360044489</v>
      </c>
      <c r="BO109" s="348">
        <v>4924.787280357561</v>
      </c>
      <c r="BP109" s="348">
        <v>4971.8017417833526</v>
      </c>
      <c r="BQ109" s="350">
        <v>5077.6066831274366</v>
      </c>
    </row>
    <row r="110" spans="1:69" x14ac:dyDescent="0.25">
      <c r="A110" s="348" t="s">
        <v>1253</v>
      </c>
      <c r="B110" s="348" t="s">
        <v>1254</v>
      </c>
      <c r="C110" s="348" t="s">
        <v>1578</v>
      </c>
      <c r="D110" s="348" t="s">
        <v>1579</v>
      </c>
      <c r="AI110" s="348">
        <v>4384.1942989284917</v>
      </c>
      <c r="AJ110" s="348">
        <v>4336.7622206564074</v>
      </c>
      <c r="AK110" s="348">
        <v>4342.954774002571</v>
      </c>
      <c r="AL110" s="348">
        <v>4208.5634053298918</v>
      </c>
      <c r="AM110" s="348">
        <v>4134.0192098984908</v>
      </c>
      <c r="AN110" s="348">
        <v>4117.4336901488023</v>
      </c>
      <c r="AO110" s="348">
        <v>4198.1325424758033</v>
      </c>
      <c r="AP110" s="348">
        <v>4187.7497835152662</v>
      </c>
      <c r="AQ110" s="348">
        <v>4193.6941092448942</v>
      </c>
      <c r="AR110" s="348">
        <v>4167.0166373404927</v>
      </c>
      <c r="AS110" s="348">
        <v>4207.9467483365834</v>
      </c>
      <c r="AT110" s="348">
        <v>4266.6441856252641</v>
      </c>
      <c r="AU110" s="348">
        <v>4437.9602496298094</v>
      </c>
      <c r="AV110" s="348">
        <v>4528.3508068121246</v>
      </c>
      <c r="AW110" s="348">
        <v>4745.4680155251544</v>
      </c>
      <c r="AX110" s="348">
        <v>4906.2704521165706</v>
      </c>
      <c r="AY110" s="348">
        <v>5059.7088752357058</v>
      </c>
      <c r="AZ110" s="348">
        <v>5194.2444294869692</v>
      </c>
      <c r="BA110" s="348">
        <v>5271.0391518168499</v>
      </c>
      <c r="BB110" s="348">
        <v>5442.7490491939207</v>
      </c>
      <c r="BC110" s="348">
        <v>5620.6897871758438</v>
      </c>
      <c r="BD110" s="348">
        <v>5719.5477274322038</v>
      </c>
      <c r="BE110" s="348">
        <v>5841.4948069044376</v>
      </c>
      <c r="BF110" s="348">
        <v>6042.0338591311802</v>
      </c>
      <c r="BG110" s="348">
        <v>6252.4935827422796</v>
      </c>
      <c r="BH110" s="348">
        <v>6355.2460822198109</v>
      </c>
      <c r="BI110" s="348">
        <v>6361.7825968375573</v>
      </c>
      <c r="BJ110" s="348">
        <v>6404.3976665680366</v>
      </c>
      <c r="BK110" s="348">
        <v>6518.9162390389647</v>
      </c>
      <c r="BL110" s="348">
        <v>6575.1434561038241</v>
      </c>
      <c r="BM110" s="348">
        <v>6225.7380268442384</v>
      </c>
      <c r="BN110" s="348">
        <v>6358.4413484870411</v>
      </c>
      <c r="BO110" s="348">
        <v>6528.7750086761671</v>
      </c>
      <c r="BP110" s="348">
        <v>6578.7729043393783</v>
      </c>
      <c r="BQ110" s="350">
        <v>6713.95120470027</v>
      </c>
    </row>
    <row r="111" spans="1:69" x14ac:dyDescent="0.25">
      <c r="A111" s="348" t="s">
        <v>1255</v>
      </c>
      <c r="B111" s="348" t="s">
        <v>1256</v>
      </c>
      <c r="C111" s="348" t="s">
        <v>1578</v>
      </c>
      <c r="D111" s="348" t="s">
        <v>1579</v>
      </c>
      <c r="AI111" s="348">
        <v>4873.0538013326304</v>
      </c>
      <c r="AJ111" s="348">
        <v>5118.467895918152</v>
      </c>
      <c r="AK111" s="348">
        <v>5357.3758979758968</v>
      </c>
      <c r="AL111" s="348">
        <v>5609.1517881426862</v>
      </c>
      <c r="AM111" s="348">
        <v>5931.2347342676157</v>
      </c>
      <c r="AN111" s="348">
        <v>6312.9345356115819</v>
      </c>
      <c r="AO111" s="348">
        <v>6695.4097578739465</v>
      </c>
      <c r="AP111" s="348">
        <v>6897.0023656333124</v>
      </c>
      <c r="AQ111" s="348">
        <v>5897.6853085920684</v>
      </c>
      <c r="AR111" s="348">
        <v>5855.6580074499416</v>
      </c>
      <c r="AS111" s="348">
        <v>6056.3819784216475</v>
      </c>
      <c r="AT111" s="348">
        <v>6190.5195404099086</v>
      </c>
      <c r="AU111" s="348">
        <v>6381.9495517999567</v>
      </c>
      <c r="AV111" s="348">
        <v>6599.0919359703439</v>
      </c>
      <c r="AW111" s="348">
        <v>6843.5465497236419</v>
      </c>
      <c r="AX111" s="348">
        <v>7140.8545640704042</v>
      </c>
      <c r="AY111" s="348">
        <v>7434.4878535222051</v>
      </c>
      <c r="AZ111" s="348">
        <v>7802.4640690595443</v>
      </c>
      <c r="BA111" s="348">
        <v>8165.0615511662436</v>
      </c>
      <c r="BB111" s="348">
        <v>8435.4557468628973</v>
      </c>
      <c r="BC111" s="348">
        <v>8848.2247370206551</v>
      </c>
      <c r="BD111" s="348">
        <v>9274.9695518170211</v>
      </c>
      <c r="BE111" s="348">
        <v>9708.611825310807</v>
      </c>
      <c r="BF111" s="348">
        <v>10121.8141535043</v>
      </c>
      <c r="BG111" s="348">
        <v>10504.386941108771</v>
      </c>
      <c r="BH111" s="348">
        <v>10893.66211421693</v>
      </c>
      <c r="BI111" s="348">
        <v>11319.6634287738</v>
      </c>
      <c r="BJ111" s="348">
        <v>11772.574329610679</v>
      </c>
      <c r="BK111" s="348">
        <v>12262.231030077101</v>
      </c>
      <c r="BL111" s="348">
        <v>12757.78508548416</v>
      </c>
      <c r="BM111" s="348">
        <v>12388.544926813131</v>
      </c>
      <c r="BN111" s="348">
        <v>12757.074644020369</v>
      </c>
      <c r="BO111" s="348">
        <v>13334.265394763681</v>
      </c>
      <c r="BP111" s="348">
        <v>13889.9749067297</v>
      </c>
      <c r="BQ111" s="350">
        <v>14470.437202057839</v>
      </c>
    </row>
    <row r="112" spans="1:69" x14ac:dyDescent="0.25">
      <c r="A112" s="348" t="s">
        <v>1257</v>
      </c>
      <c r="B112" s="348" t="s">
        <v>1258</v>
      </c>
      <c r="C112" s="348" t="s">
        <v>1578</v>
      </c>
      <c r="D112" s="348" t="s">
        <v>1579</v>
      </c>
      <c r="AI112" s="348">
        <v>2084.2337169258021</v>
      </c>
      <c r="AJ112" s="348">
        <v>2078.6399243597471</v>
      </c>
      <c r="AK112" s="348">
        <v>2053.547415398974</v>
      </c>
      <c r="AL112" s="348">
        <v>2047.120437657326</v>
      </c>
      <c r="AM112" s="348">
        <v>2019.72023561175</v>
      </c>
      <c r="AN112" s="348">
        <v>2069.2175555417448</v>
      </c>
      <c r="AO112" s="348">
        <v>2125.7932805268811</v>
      </c>
      <c r="AP112" s="348">
        <v>2185.9304912830339</v>
      </c>
      <c r="AQ112" s="348">
        <v>2225.4692638719839</v>
      </c>
      <c r="AR112" s="348">
        <v>2257.374270033522</v>
      </c>
      <c r="AS112" s="348">
        <v>2300.3330188263321</v>
      </c>
      <c r="AT112" s="348">
        <v>2340.079401685744</v>
      </c>
      <c r="AU112" s="348">
        <v>2391.046145233418</v>
      </c>
      <c r="AV112" s="348">
        <v>2469.6334256372111</v>
      </c>
      <c r="AW112" s="348">
        <v>2564.409998201319</v>
      </c>
      <c r="AX112" s="348">
        <v>2672.018894527484</v>
      </c>
      <c r="AY112" s="348">
        <v>2784.7096763094619</v>
      </c>
      <c r="AZ112" s="348">
        <v>2907.6540733693059</v>
      </c>
      <c r="BA112" s="348">
        <v>3018.0013818979378</v>
      </c>
      <c r="BB112" s="348">
        <v>3086.290808713421</v>
      </c>
      <c r="BC112" s="348">
        <v>3212.4428333560559</v>
      </c>
      <c r="BD112" s="348">
        <v>3319.97423762262</v>
      </c>
      <c r="BE112" s="348">
        <v>3338.4131403942379</v>
      </c>
      <c r="BF112" s="348">
        <v>3406.2067591931732</v>
      </c>
      <c r="BG112" s="348">
        <v>3509.864311288834</v>
      </c>
      <c r="BH112" s="348">
        <v>3608.6394920897542</v>
      </c>
      <c r="BI112" s="348">
        <v>3707.1670302130592</v>
      </c>
      <c r="BJ112" s="348">
        <v>3833.416334204378</v>
      </c>
      <c r="BK112" s="348">
        <v>3943.1111246309069</v>
      </c>
      <c r="BL112" s="348">
        <v>4051.2217777569081</v>
      </c>
      <c r="BM112" s="348">
        <v>3950.8613164449162</v>
      </c>
      <c r="BN112" s="348">
        <v>3995.3437650147562</v>
      </c>
      <c r="BO112" s="348">
        <v>4079.7026582400481</v>
      </c>
      <c r="BP112" s="348">
        <v>4128.9852920792428</v>
      </c>
      <c r="BQ112" s="350">
        <v>4223.4556892524752</v>
      </c>
    </row>
    <row r="113" spans="1:69" x14ac:dyDescent="0.25">
      <c r="A113" s="348" t="s">
        <v>1259</v>
      </c>
      <c r="B113" s="348" t="s">
        <v>1260</v>
      </c>
      <c r="C113" s="348" t="s">
        <v>1578</v>
      </c>
      <c r="D113" s="348" t="s">
        <v>1579</v>
      </c>
    </row>
    <row r="114" spans="1:69" x14ac:dyDescent="0.25">
      <c r="A114" s="348" t="s">
        <v>1261</v>
      </c>
      <c r="B114" s="348" t="s">
        <v>1262</v>
      </c>
      <c r="C114" s="348" t="s">
        <v>1578</v>
      </c>
      <c r="D114" s="348" t="s">
        <v>1579</v>
      </c>
      <c r="AI114" s="348">
        <v>2203.1470386796832</v>
      </c>
      <c r="AJ114" s="348">
        <v>2178.6859145400972</v>
      </c>
      <c r="AK114" s="348">
        <v>2249.697903892737</v>
      </c>
      <c r="AL114" s="348">
        <v>2307.6071418110841</v>
      </c>
      <c r="AM114" s="348">
        <v>2411.4627368908309</v>
      </c>
      <c r="AN114" s="348">
        <v>2542.422111333452</v>
      </c>
      <c r="AO114" s="348">
        <v>2680.2788843708222</v>
      </c>
      <c r="AP114" s="348">
        <v>2734.5208913367251</v>
      </c>
      <c r="AQ114" s="348">
        <v>2847.9623498866299</v>
      </c>
      <c r="AR114" s="348">
        <v>3041.4825855605691</v>
      </c>
      <c r="AS114" s="348">
        <v>3099.5028215766001</v>
      </c>
      <c r="AT114" s="348">
        <v>3188.810240206361</v>
      </c>
      <c r="AU114" s="348">
        <v>3250.6956554491749</v>
      </c>
      <c r="AV114" s="348">
        <v>3445.925923523952</v>
      </c>
      <c r="AW114" s="348">
        <v>3656.126206520978</v>
      </c>
      <c r="AX114" s="348">
        <v>3881.9661798273</v>
      </c>
      <c r="AY114" s="348">
        <v>4129.778370092391</v>
      </c>
      <c r="AZ114" s="348">
        <v>4379.696043611505</v>
      </c>
      <c r="BA114" s="348">
        <v>4450.3902291923832</v>
      </c>
      <c r="BB114" s="348">
        <v>4731.3616046389634</v>
      </c>
      <c r="BC114" s="348">
        <v>5059.2827108397987</v>
      </c>
      <c r="BD114" s="348">
        <v>5249.5492569402568</v>
      </c>
      <c r="BE114" s="348">
        <v>5460.4376857005163</v>
      </c>
      <c r="BF114" s="348">
        <v>5732.2418909087564</v>
      </c>
      <c r="BG114" s="348">
        <v>6079.843935236946</v>
      </c>
      <c r="BH114" s="348">
        <v>6488.1460291078702</v>
      </c>
      <c r="BI114" s="348">
        <v>6940.6258885752204</v>
      </c>
      <c r="BJ114" s="348">
        <v>7326.6069367985874</v>
      </c>
      <c r="BK114" s="348">
        <v>7714.3397472453144</v>
      </c>
      <c r="BL114" s="348">
        <v>7930.0911303899047</v>
      </c>
      <c r="BM114" s="348">
        <v>7399.530680790408</v>
      </c>
      <c r="BN114" s="348">
        <v>8050.0185745266408</v>
      </c>
      <c r="BO114" s="348">
        <v>8594.391904998789</v>
      </c>
      <c r="BP114" s="348">
        <v>9301.7560322573463</v>
      </c>
      <c r="BQ114" s="350">
        <v>9818.0427068663939</v>
      </c>
    </row>
    <row r="115" spans="1:69" x14ac:dyDescent="0.25">
      <c r="A115" s="348" t="s">
        <v>1263</v>
      </c>
      <c r="B115" s="348" t="s">
        <v>1264</v>
      </c>
      <c r="C115" s="348" t="s">
        <v>1578</v>
      </c>
      <c r="D115" s="348" t="s">
        <v>1579</v>
      </c>
    </row>
    <row r="116" spans="1:69" x14ac:dyDescent="0.25">
      <c r="A116" s="348" t="s">
        <v>1265</v>
      </c>
      <c r="B116" s="348" t="s">
        <v>1266</v>
      </c>
      <c r="C116" s="348" t="s">
        <v>1578</v>
      </c>
      <c r="D116" s="348" t="s">
        <v>1579</v>
      </c>
      <c r="AI116" s="348">
        <v>29555.632062228069</v>
      </c>
      <c r="AJ116" s="348">
        <v>29953.243901390229</v>
      </c>
      <c r="AK116" s="348">
        <v>30744.19146296072</v>
      </c>
      <c r="AL116" s="348">
        <v>31414.596192078741</v>
      </c>
      <c r="AM116" s="348">
        <v>33092.064043882558</v>
      </c>
      <c r="AN116" s="348">
        <v>36094.761675711379</v>
      </c>
      <c r="AO116" s="348">
        <v>38452.945497936103</v>
      </c>
      <c r="AP116" s="348">
        <v>42265.16522005049</v>
      </c>
      <c r="AQ116" s="348">
        <v>45493.169257065121</v>
      </c>
      <c r="AR116" s="348">
        <v>49719.884797328537</v>
      </c>
      <c r="AS116" s="348">
        <v>53675.005459693282</v>
      </c>
      <c r="AT116" s="348">
        <v>55630.10132734412</v>
      </c>
      <c r="AU116" s="348">
        <v>57927.488372311047</v>
      </c>
      <c r="AV116" s="348">
        <v>58709.154446447479</v>
      </c>
      <c r="AW116" s="348">
        <v>61558.578314085193</v>
      </c>
      <c r="AX116" s="348">
        <v>63689.08435307788</v>
      </c>
      <c r="AY116" s="348">
        <v>65087.180463155943</v>
      </c>
      <c r="AZ116" s="348">
        <v>66590.193897345656</v>
      </c>
      <c r="BA116" s="348">
        <v>62320.66630649002</v>
      </c>
      <c r="BB116" s="348">
        <v>58547.267395610863</v>
      </c>
      <c r="BC116" s="348">
        <v>59209.099676325117</v>
      </c>
      <c r="BD116" s="348">
        <v>59899.917652844037</v>
      </c>
      <c r="BE116" s="348">
        <v>59405.046075152422</v>
      </c>
      <c r="BF116" s="348">
        <v>60388.941314798591</v>
      </c>
      <c r="BG116" s="348">
        <v>65575.806166579292</v>
      </c>
      <c r="BH116" s="348">
        <v>80954.661981825469</v>
      </c>
      <c r="BI116" s="348">
        <v>80899.022320722666</v>
      </c>
      <c r="BJ116" s="348">
        <v>87882.707435502409</v>
      </c>
      <c r="BK116" s="348">
        <v>93276.018815401243</v>
      </c>
      <c r="BL116" s="348">
        <v>96371.291018018164</v>
      </c>
      <c r="BM116" s="348">
        <v>101968.5543620112</v>
      </c>
      <c r="BN116" s="348">
        <v>116903.6124351699</v>
      </c>
      <c r="BO116" s="348">
        <v>123219.0760594944</v>
      </c>
      <c r="BP116" s="348">
        <v>117862.12887895911</v>
      </c>
      <c r="BQ116" s="350">
        <v>119037.73117544279</v>
      </c>
    </row>
    <row r="117" spans="1:69" x14ac:dyDescent="0.25">
      <c r="A117" s="348" t="s">
        <v>1267</v>
      </c>
      <c r="B117" s="348" t="s">
        <v>1268</v>
      </c>
      <c r="C117" s="348" t="s">
        <v>1578</v>
      </c>
      <c r="D117" s="348" t="s">
        <v>1579</v>
      </c>
      <c r="AI117" s="348">
        <v>9656.0011689435869</v>
      </c>
      <c r="AJ117" s="348">
        <v>10592.331925722179</v>
      </c>
      <c r="AK117" s="348">
        <v>10727.41836715468</v>
      </c>
      <c r="AL117" s="348">
        <v>10531.99527772755</v>
      </c>
      <c r="AM117" s="348">
        <v>10333.43300055946</v>
      </c>
      <c r="AN117" s="348">
        <v>10465.025959268511</v>
      </c>
      <c r="AO117" s="348">
        <v>11010.009497624789</v>
      </c>
      <c r="AP117" s="348">
        <v>11025.720237152411</v>
      </c>
      <c r="AQ117" s="348">
        <v>11101.50786919601</v>
      </c>
      <c r="AR117" s="348">
        <v>11163.695073644531</v>
      </c>
      <c r="AS117" s="348">
        <v>11643.12180776965</v>
      </c>
      <c r="AT117" s="348">
        <v>11739.00909112818</v>
      </c>
      <c r="AU117" s="348">
        <v>12583.04499042397</v>
      </c>
      <c r="AV117" s="348">
        <v>13519.45019269295</v>
      </c>
      <c r="AW117" s="348">
        <v>13807.195311402351</v>
      </c>
      <c r="AX117" s="348">
        <v>13935.774308759561</v>
      </c>
      <c r="AY117" s="348">
        <v>14320.656853454549</v>
      </c>
      <c r="AZ117" s="348">
        <v>15237.423785054951</v>
      </c>
      <c r="BA117" s="348">
        <v>15091.250652146269</v>
      </c>
      <c r="BB117" s="348">
        <v>15055.14946471992</v>
      </c>
      <c r="BC117" s="348">
        <v>15729.913170726581</v>
      </c>
      <c r="BD117" s="348">
        <v>15947.766097961039</v>
      </c>
      <c r="BE117" s="348">
        <v>15159.294820653089</v>
      </c>
      <c r="BF117" s="348">
        <v>14734.740588718971</v>
      </c>
      <c r="BG117" s="348">
        <v>15262.85157609033</v>
      </c>
      <c r="BH117" s="348">
        <v>14841.90483407369</v>
      </c>
      <c r="BI117" s="348">
        <v>15920.371802120229</v>
      </c>
      <c r="BJ117" s="348">
        <v>16167.967722422651</v>
      </c>
      <c r="BK117" s="348">
        <v>15364.80490526139</v>
      </c>
      <c r="BL117" s="348">
        <v>14841.07515149977</v>
      </c>
      <c r="BM117" s="348">
        <v>15381.58454372664</v>
      </c>
      <c r="BN117" s="348">
        <v>15884.42767759633</v>
      </c>
      <c r="BO117" s="348">
        <v>16377.961064536819</v>
      </c>
      <c r="BP117" s="348">
        <v>17044.817346103289</v>
      </c>
      <c r="BQ117" s="350">
        <v>17484.132014046689</v>
      </c>
    </row>
    <row r="118" spans="1:69" x14ac:dyDescent="0.25">
      <c r="A118" s="348" t="s">
        <v>1269</v>
      </c>
      <c r="B118" s="348" t="s">
        <v>1270</v>
      </c>
      <c r="C118" s="348" t="s">
        <v>1578</v>
      </c>
      <c r="D118" s="348" t="s">
        <v>1579</v>
      </c>
      <c r="AI118" s="348">
        <v>10735.09411029245</v>
      </c>
      <c r="AJ118" s="348">
        <v>3819.16194827144</v>
      </c>
      <c r="AK118" s="348">
        <v>4916.2644029287794</v>
      </c>
      <c r="AL118" s="348">
        <v>6105.0416628459207</v>
      </c>
      <c r="AM118" s="348">
        <v>6044.8710481052967</v>
      </c>
      <c r="AN118" s="348">
        <v>5969.6696409589067</v>
      </c>
      <c r="AO118" s="348">
        <v>6419.3698187628879</v>
      </c>
      <c r="AP118" s="348">
        <v>7545.7297610110509</v>
      </c>
      <c r="AQ118" s="348">
        <v>9871.7339803053255</v>
      </c>
      <c r="AR118" s="348">
        <v>11237.85374398939</v>
      </c>
      <c r="AS118" s="348">
        <v>12702.16419509208</v>
      </c>
      <c r="AT118" s="348">
        <v>12529.60840510046</v>
      </c>
      <c r="AU118" s="348">
        <v>11144.050525592809</v>
      </c>
      <c r="AV118" s="348">
        <v>6849.332008005078</v>
      </c>
      <c r="AW118" s="348">
        <v>10210.56310049593</v>
      </c>
      <c r="AX118" s="348">
        <v>10078.4437646837</v>
      </c>
      <c r="AY118" s="348">
        <v>10568.913765297741</v>
      </c>
      <c r="AZ118" s="348">
        <v>10853.816102231111</v>
      </c>
      <c r="BA118" s="348">
        <v>11511.93876436641</v>
      </c>
      <c r="BB118" s="348">
        <v>11470.51780617549</v>
      </c>
      <c r="BC118" s="348">
        <v>11816.841015026021</v>
      </c>
      <c r="BD118" s="348">
        <v>12267.58489406731</v>
      </c>
      <c r="BE118" s="348">
        <v>13357.01438823533</v>
      </c>
      <c r="BF118" s="348">
        <v>13712.93171429918</v>
      </c>
      <c r="BG118" s="348">
        <v>13536.822768143051</v>
      </c>
      <c r="BH118" s="348">
        <v>13516.027198920379</v>
      </c>
      <c r="BI118" s="348">
        <v>15016.09206445919</v>
      </c>
      <c r="BJ118" s="348">
        <v>14417.63068964868</v>
      </c>
      <c r="BK118" s="348">
        <v>14456.23570532238</v>
      </c>
      <c r="BL118" s="348">
        <v>14910.225031888711</v>
      </c>
      <c r="BM118" s="348">
        <v>12827.634539232269</v>
      </c>
      <c r="BN118" s="348">
        <v>12731.753575512879</v>
      </c>
      <c r="BO118" s="348">
        <v>13433.39771669865</v>
      </c>
      <c r="BP118" s="348">
        <v>13202.322807387471</v>
      </c>
      <c r="BQ118" s="350">
        <v>12725.043126039311</v>
      </c>
    </row>
    <row r="119" spans="1:69" x14ac:dyDescent="0.25">
      <c r="A119" s="348" t="s">
        <v>1271</v>
      </c>
      <c r="B119" s="348" t="s">
        <v>1272</v>
      </c>
      <c r="C119" s="348" t="s">
        <v>1578</v>
      </c>
      <c r="D119" s="348" t="s">
        <v>1579</v>
      </c>
      <c r="AI119" s="348">
        <v>42336.427188355032</v>
      </c>
      <c r="AJ119" s="348">
        <v>41754.97589081731</v>
      </c>
      <c r="AK119" s="348">
        <v>39842.376094238301</v>
      </c>
      <c r="AL119" s="348">
        <v>39957.322140278557</v>
      </c>
      <c r="AM119" s="348">
        <v>41042.01179433021</v>
      </c>
      <c r="AN119" s="348">
        <v>40867.564218067033</v>
      </c>
      <c r="AO119" s="348">
        <v>42475.693613327472</v>
      </c>
      <c r="AP119" s="348">
        <v>43873.669064216308</v>
      </c>
      <c r="AQ119" s="348">
        <v>46449.345462124533</v>
      </c>
      <c r="AR119" s="348">
        <v>47679.871590049253</v>
      </c>
      <c r="AS119" s="348">
        <v>49338.471425263189</v>
      </c>
      <c r="AT119" s="348">
        <v>50556.993835684232</v>
      </c>
      <c r="AU119" s="348">
        <v>50379.45955073159</v>
      </c>
      <c r="AV119" s="348">
        <v>51173.19825426321</v>
      </c>
      <c r="AW119" s="348">
        <v>54592.531462880434</v>
      </c>
      <c r="AX119" s="348">
        <v>57512.423733821321</v>
      </c>
      <c r="AY119" s="348">
        <v>59364.29011482808</v>
      </c>
      <c r="AZ119" s="348">
        <v>62940.747343095529</v>
      </c>
      <c r="BA119" s="348">
        <v>62831.172863181637</v>
      </c>
      <c r="BB119" s="348">
        <v>57406.469750681717</v>
      </c>
      <c r="BC119" s="348">
        <v>56211.834541740209</v>
      </c>
      <c r="BD119" s="348">
        <v>56813.742648754</v>
      </c>
      <c r="BE119" s="348">
        <v>57173.043421229588</v>
      </c>
      <c r="BF119" s="348">
        <v>58671.930709837026</v>
      </c>
      <c r="BG119" s="348">
        <v>59133.270145977323</v>
      </c>
      <c r="BH119" s="348">
        <v>60725.727124765748</v>
      </c>
      <c r="BI119" s="348">
        <v>63612.555158522307</v>
      </c>
      <c r="BJ119" s="348">
        <v>64303.378250103728</v>
      </c>
      <c r="BK119" s="348">
        <v>65521.931342478063</v>
      </c>
      <c r="BL119" s="348">
        <v>64826.432408555651</v>
      </c>
      <c r="BM119" s="348">
        <v>59543.813498683958</v>
      </c>
      <c r="BN119" s="348">
        <v>61610.213274071473</v>
      </c>
      <c r="BO119" s="348">
        <v>65380.317304932432</v>
      </c>
      <c r="BP119" s="348">
        <v>68118.396031208627</v>
      </c>
      <c r="BQ119" s="350">
        <v>67310.057357361613</v>
      </c>
    </row>
    <row r="120" spans="1:69" x14ac:dyDescent="0.25">
      <c r="A120" s="348" t="s">
        <v>1273</v>
      </c>
      <c r="B120" s="348" t="s">
        <v>1274</v>
      </c>
      <c r="C120" s="348" t="s">
        <v>1578</v>
      </c>
      <c r="D120" s="348" t="s">
        <v>1579</v>
      </c>
      <c r="AI120" s="348">
        <v>25335.272224749329</v>
      </c>
      <c r="AJ120" s="348">
        <v>25698.929695760678</v>
      </c>
      <c r="AK120" s="348">
        <v>26752.400634689191</v>
      </c>
      <c r="AL120" s="348">
        <v>27123.10738500661</v>
      </c>
      <c r="AM120" s="348">
        <v>28393.000021287909</v>
      </c>
      <c r="AN120" s="348">
        <v>29470.81726084997</v>
      </c>
      <c r="AO120" s="348">
        <v>30386.198156193299</v>
      </c>
      <c r="AP120" s="348">
        <v>30707.006537314792</v>
      </c>
      <c r="AQ120" s="348">
        <v>31246.856472483771</v>
      </c>
      <c r="AR120" s="348">
        <v>31465.612920326519</v>
      </c>
      <c r="AS120" s="348">
        <v>33275.06316559777</v>
      </c>
      <c r="AT120" s="348">
        <v>32590.228618076071</v>
      </c>
      <c r="AU120" s="348">
        <v>31897.584883270531</v>
      </c>
      <c r="AV120" s="348">
        <v>31780.779608098459</v>
      </c>
      <c r="AW120" s="348">
        <v>32675.20806448628</v>
      </c>
      <c r="AX120" s="348">
        <v>33512.890918554622</v>
      </c>
      <c r="AY120" s="348">
        <v>34770.026278633632</v>
      </c>
      <c r="AZ120" s="348">
        <v>36317.852509007127</v>
      </c>
      <c r="BA120" s="348">
        <v>36827.924915606367</v>
      </c>
      <c r="BB120" s="348">
        <v>36403.162637160203</v>
      </c>
      <c r="BC120" s="348">
        <v>37722.409986983628</v>
      </c>
      <c r="BD120" s="348">
        <v>39075.375376272023</v>
      </c>
      <c r="BE120" s="348">
        <v>39299.35155065461</v>
      </c>
      <c r="BF120" s="348">
        <v>40148.777449286739</v>
      </c>
      <c r="BG120" s="348">
        <v>40872.5808449627</v>
      </c>
      <c r="BH120" s="348">
        <v>40967.370759663732</v>
      </c>
      <c r="BI120" s="348">
        <v>41963.675796165007</v>
      </c>
      <c r="BJ120" s="348">
        <v>42947.058668698402</v>
      </c>
      <c r="BK120" s="348">
        <v>43814.294997796467</v>
      </c>
      <c r="BL120" s="348">
        <v>44580.807882571557</v>
      </c>
      <c r="BM120" s="348">
        <v>42915.941693972803</v>
      </c>
      <c r="BN120" s="348">
        <v>46162.082273024753</v>
      </c>
      <c r="BO120" s="348">
        <v>48098.187235578967</v>
      </c>
      <c r="BP120" s="348">
        <v>47527.151024671999</v>
      </c>
      <c r="BQ120" s="350">
        <v>47338.842462420464</v>
      </c>
    </row>
    <row r="121" spans="1:69" x14ac:dyDescent="0.25">
      <c r="A121" s="348" t="s">
        <v>1275</v>
      </c>
      <c r="B121" s="348" t="s">
        <v>1276</v>
      </c>
      <c r="C121" s="348" t="s">
        <v>1578</v>
      </c>
      <c r="D121" s="348" t="s">
        <v>1579</v>
      </c>
      <c r="AI121" s="348">
        <v>42656.744510165903</v>
      </c>
      <c r="AJ121" s="348">
        <v>43283.020444190122</v>
      </c>
      <c r="AK121" s="348">
        <v>43614.485088375812</v>
      </c>
      <c r="AL121" s="348">
        <v>43216.109644475109</v>
      </c>
      <c r="AM121" s="348">
        <v>44136.705914192273</v>
      </c>
      <c r="AN121" s="348">
        <v>45410.139173109113</v>
      </c>
      <c r="AO121" s="348">
        <v>46008.238930379594</v>
      </c>
      <c r="AP121" s="348">
        <v>46869.425608641919</v>
      </c>
      <c r="AQ121" s="348">
        <v>47701.397419126457</v>
      </c>
      <c r="AR121" s="348">
        <v>48493.665121030848</v>
      </c>
      <c r="AS121" s="348">
        <v>50353.420041543563</v>
      </c>
      <c r="AT121" s="348">
        <v>51332.290443256737</v>
      </c>
      <c r="AU121" s="348">
        <v>51369.114909829303</v>
      </c>
      <c r="AV121" s="348">
        <v>51126.258554403837</v>
      </c>
      <c r="AW121" s="348">
        <v>51495.002884136367</v>
      </c>
      <c r="AX121" s="348">
        <v>51585.6445807938</v>
      </c>
      <c r="AY121" s="348">
        <v>52304.240294981893</v>
      </c>
      <c r="AZ121" s="348">
        <v>52747.19054768073</v>
      </c>
      <c r="BA121" s="348">
        <v>51806.390617639066</v>
      </c>
      <c r="BB121" s="348">
        <v>48774.391683374757</v>
      </c>
      <c r="BC121" s="348">
        <v>49301.695914167423</v>
      </c>
      <c r="BD121" s="348">
        <v>49473.014923563424</v>
      </c>
      <c r="BE121" s="348">
        <v>47795.957936054117</v>
      </c>
      <c r="BF121" s="348">
        <v>46833.361530930328</v>
      </c>
      <c r="BG121" s="348">
        <v>46825.651124506207</v>
      </c>
      <c r="BH121" s="348">
        <v>47311.825526270914</v>
      </c>
      <c r="BI121" s="348">
        <v>47987.837958101431</v>
      </c>
      <c r="BJ121" s="348">
        <v>48849.218353475568</v>
      </c>
      <c r="BK121" s="348">
        <v>49133.143527174027</v>
      </c>
      <c r="BL121" s="348">
        <v>49690.629850527352</v>
      </c>
      <c r="BM121" s="348">
        <v>45505.068870895579</v>
      </c>
      <c r="BN121" s="348">
        <v>49825.393411184821</v>
      </c>
      <c r="BO121" s="348">
        <v>52333.327427060409</v>
      </c>
      <c r="BP121" s="348">
        <v>52870.326144289647</v>
      </c>
      <c r="BQ121" s="350">
        <v>53265.003247418877</v>
      </c>
    </row>
    <row r="122" spans="1:69" x14ac:dyDescent="0.25">
      <c r="A122" s="348" t="s">
        <v>1277</v>
      </c>
      <c r="B122" s="348" t="s">
        <v>1278</v>
      </c>
      <c r="C122" s="348" t="s">
        <v>1578</v>
      </c>
      <c r="D122" s="348" t="s">
        <v>1579</v>
      </c>
      <c r="AI122" s="348">
        <v>8879.6529523162517</v>
      </c>
      <c r="AJ122" s="348">
        <v>9227.8761377065239</v>
      </c>
      <c r="AK122" s="348">
        <v>9315.8581885588028</v>
      </c>
      <c r="AL122" s="348">
        <v>10088.232357754971</v>
      </c>
      <c r="AM122" s="348">
        <v>10123.23393814878</v>
      </c>
      <c r="AN122" s="348">
        <v>10257.80653819588</v>
      </c>
      <c r="AO122" s="348">
        <v>10147.464112165229</v>
      </c>
      <c r="AP122" s="348">
        <v>9939.6617286200562</v>
      </c>
      <c r="AQ122" s="348">
        <v>9624.9293594812734</v>
      </c>
      <c r="AR122" s="348">
        <v>9650.4372648249901</v>
      </c>
      <c r="AS122" s="348">
        <v>9667.9247449231552</v>
      </c>
      <c r="AT122" s="348">
        <v>9736.0629175752638</v>
      </c>
      <c r="AU122" s="348">
        <v>9869.7129192717639</v>
      </c>
      <c r="AV122" s="348">
        <v>10169.75002432445</v>
      </c>
      <c r="AW122" s="348">
        <v>10244.20667028778</v>
      </c>
      <c r="AX122" s="348">
        <v>10278.683438254549</v>
      </c>
      <c r="AY122" s="348">
        <v>10522.23674595915</v>
      </c>
      <c r="AZ122" s="348">
        <v>10622.44428290072</v>
      </c>
      <c r="BA122" s="348">
        <v>10490.46861344975</v>
      </c>
      <c r="BB122" s="348">
        <v>9992.9769953902123</v>
      </c>
      <c r="BC122" s="348">
        <v>9805.9017280630196</v>
      </c>
      <c r="BD122" s="348">
        <v>9932.4838094696261</v>
      </c>
      <c r="BE122" s="348">
        <v>9829.0351001504441</v>
      </c>
      <c r="BF122" s="348">
        <v>9839.9650660609532</v>
      </c>
      <c r="BG122" s="348">
        <v>9872.1591375212902</v>
      </c>
      <c r="BH122" s="348">
        <v>9931.898757151821</v>
      </c>
      <c r="BI122" s="348">
        <v>10179.253648615821</v>
      </c>
      <c r="BJ122" s="348">
        <v>10391.03782246781</v>
      </c>
      <c r="BK122" s="348">
        <v>10636.092978455081</v>
      </c>
      <c r="BL122" s="348">
        <v>10816.37203911542</v>
      </c>
      <c r="BM122" s="348">
        <v>9891.9693296154837</v>
      </c>
      <c r="BN122" s="348">
        <v>10430.69097717588</v>
      </c>
      <c r="BO122" s="348">
        <v>11096.637708532089</v>
      </c>
      <c r="BP122" s="348">
        <v>11398.81203946411</v>
      </c>
      <c r="BQ122" s="350">
        <v>11340.26388004509</v>
      </c>
    </row>
    <row r="123" spans="1:69" x14ac:dyDescent="0.25">
      <c r="A123" s="348" t="s">
        <v>1279</v>
      </c>
      <c r="B123" s="348" t="s">
        <v>1280</v>
      </c>
      <c r="C123" s="348" t="s">
        <v>1578</v>
      </c>
      <c r="D123" s="348" t="s">
        <v>1579</v>
      </c>
      <c r="AI123" s="348">
        <v>7589.8200785042109</v>
      </c>
      <c r="AJ123" s="348">
        <v>7134.290240848557</v>
      </c>
      <c r="AK123" s="348">
        <v>7737.9692206877662</v>
      </c>
      <c r="AL123" s="348">
        <v>7675.4716375611742</v>
      </c>
      <c r="AM123" s="348">
        <v>7680.1407917386123</v>
      </c>
      <c r="AN123" s="348">
        <v>7829.0812145601094</v>
      </c>
      <c r="AO123" s="348">
        <v>7731.4785580726884</v>
      </c>
      <c r="AP123" s="348">
        <v>7775.5427123949021</v>
      </c>
      <c r="AQ123" s="348">
        <v>7826.7401570593374</v>
      </c>
      <c r="AR123" s="348">
        <v>7920.0197459578148</v>
      </c>
      <c r="AS123" s="348">
        <v>8086.9220269085281</v>
      </c>
      <c r="AT123" s="348">
        <v>8339.7858144844122</v>
      </c>
      <c r="AU123" s="348">
        <v>8638.0803308017312</v>
      </c>
      <c r="AV123" s="348">
        <v>8800.4967464915826</v>
      </c>
      <c r="AW123" s="348">
        <v>9326.668391279185</v>
      </c>
      <c r="AX123" s="348">
        <v>9839.6883496872342</v>
      </c>
      <c r="AY123" s="348">
        <v>9977.7590332927484</v>
      </c>
      <c r="AZ123" s="348">
        <v>10161.402119410261</v>
      </c>
      <c r="BA123" s="348">
        <v>10641.58942555578</v>
      </c>
      <c r="BB123" s="348">
        <v>10938.502724470291</v>
      </c>
      <c r="BC123" s="348">
        <v>10953.537631696991</v>
      </c>
      <c r="BD123" s="348">
        <v>10977.48204508677</v>
      </c>
      <c r="BE123" s="348">
        <v>11086.029944399521</v>
      </c>
      <c r="BF123" s="348">
        <v>10799.353814332921</v>
      </c>
      <c r="BG123" s="348">
        <v>10148.998098760019</v>
      </c>
      <c r="BH123" s="348">
        <v>9581.6892256781266</v>
      </c>
      <c r="BI123" s="348">
        <v>9321.9045113153006</v>
      </c>
      <c r="BJ123" s="348">
        <v>9339.810397259831</v>
      </c>
      <c r="BK123" s="348">
        <v>9311.5311626558359</v>
      </c>
      <c r="BL123" s="348">
        <v>9288.5270910351646</v>
      </c>
      <c r="BM123" s="348">
        <v>9022.6393035676901</v>
      </c>
      <c r="BN123" s="348">
        <v>9182.4961612559964</v>
      </c>
      <c r="BO123" s="348">
        <v>9266.5753825133652</v>
      </c>
      <c r="BP123" s="348">
        <v>9381.3543603692924</v>
      </c>
      <c r="BQ123" s="350">
        <v>9520.2506449745379</v>
      </c>
    </row>
    <row r="124" spans="1:69" x14ac:dyDescent="0.25">
      <c r="A124" s="348" t="s">
        <v>1281</v>
      </c>
      <c r="B124" s="348" t="s">
        <v>1282</v>
      </c>
      <c r="C124" s="348" t="s">
        <v>1578</v>
      </c>
      <c r="D124" s="348" t="s">
        <v>1579</v>
      </c>
      <c r="AI124" s="348">
        <v>35272.418982872718</v>
      </c>
      <c r="AJ124" s="348">
        <v>36372.034751718609</v>
      </c>
      <c r="AK124" s="348">
        <v>36563.622639369642</v>
      </c>
      <c r="AL124" s="348">
        <v>36277.923183883693</v>
      </c>
      <c r="AM124" s="348">
        <v>36568.712390734137</v>
      </c>
      <c r="AN124" s="348">
        <v>37442.894612551921</v>
      </c>
      <c r="AO124" s="348">
        <v>38528.791438519038</v>
      </c>
      <c r="AP124" s="348">
        <v>38814.253547812397</v>
      </c>
      <c r="AQ124" s="348">
        <v>38217.19559209529</v>
      </c>
      <c r="AR124" s="348">
        <v>38020.094002068843</v>
      </c>
      <c r="AS124" s="348">
        <v>39005.913630504438</v>
      </c>
      <c r="AT124" s="348">
        <v>39062.281735523487</v>
      </c>
      <c r="AU124" s="348">
        <v>38987.91027075379</v>
      </c>
      <c r="AV124" s="348">
        <v>39501.806782418957</v>
      </c>
      <c r="AW124" s="348">
        <v>40351.776374395042</v>
      </c>
      <c r="AX124" s="348">
        <v>41075.824358084887</v>
      </c>
      <c r="AY124" s="348">
        <v>41613.148382142739</v>
      </c>
      <c r="AZ124" s="348">
        <v>42182.175863662393</v>
      </c>
      <c r="BA124" s="348">
        <v>41645.572207897487</v>
      </c>
      <c r="BB124" s="348">
        <v>39279.498871012023</v>
      </c>
      <c r="BC124" s="348">
        <v>40881.797242318462</v>
      </c>
      <c r="BD124" s="348">
        <v>40967.343140083212</v>
      </c>
      <c r="BE124" s="348">
        <v>41596.923803879632</v>
      </c>
      <c r="BF124" s="348">
        <v>42492.243956049781</v>
      </c>
      <c r="BG124" s="348">
        <v>42674.697630132068</v>
      </c>
      <c r="BH124" s="348">
        <v>43386.710073951283</v>
      </c>
      <c r="BI124" s="348">
        <v>43736.130507661212</v>
      </c>
      <c r="BJ124" s="348">
        <v>44505.279260368443</v>
      </c>
      <c r="BK124" s="348">
        <v>44848.489942179753</v>
      </c>
      <c r="BL124" s="348">
        <v>44730.91028449584</v>
      </c>
      <c r="BM124" s="348">
        <v>42992.479636532757</v>
      </c>
      <c r="BN124" s="348">
        <v>44355.3487163354</v>
      </c>
      <c r="BO124" s="348">
        <v>44972.343836220061</v>
      </c>
      <c r="BP124" s="348">
        <v>45858.659513143873</v>
      </c>
      <c r="BQ124" s="350">
        <v>46106.922923004407</v>
      </c>
    </row>
    <row r="125" spans="1:69" x14ac:dyDescent="0.25">
      <c r="A125" s="348" t="s">
        <v>1283</v>
      </c>
      <c r="B125" s="348" t="s">
        <v>1284</v>
      </c>
      <c r="C125" s="348" t="s">
        <v>1578</v>
      </c>
      <c r="D125" s="348" t="s">
        <v>1579</v>
      </c>
      <c r="AI125" s="348">
        <v>16837.69074900401</v>
      </c>
      <c r="AJ125" s="348">
        <v>14877.527354126951</v>
      </c>
      <c r="AK125" s="348">
        <v>14045.10357803752</v>
      </c>
      <c r="AL125" s="348">
        <v>12795.874642537239</v>
      </c>
      <c r="AM125" s="348">
        <v>11334.9831283773</v>
      </c>
      <c r="AN125" s="348">
        <v>10600.330227009459</v>
      </c>
      <c r="AO125" s="348">
        <v>10857.43538987367</v>
      </c>
      <c r="AP125" s="348">
        <v>11298.580549709501</v>
      </c>
      <c r="AQ125" s="348">
        <v>11364.030780931531</v>
      </c>
      <c r="AR125" s="348">
        <v>11815.773211542941</v>
      </c>
      <c r="AS125" s="348">
        <v>12935.864368307981</v>
      </c>
      <c r="AT125" s="348">
        <v>14612.029005049821</v>
      </c>
      <c r="AU125" s="348">
        <v>15960.87384500131</v>
      </c>
      <c r="AV125" s="348">
        <v>17344.752672995</v>
      </c>
      <c r="AW125" s="348">
        <v>18886.581190812161</v>
      </c>
      <c r="AX125" s="348">
        <v>20565.529447086548</v>
      </c>
      <c r="AY125" s="348">
        <v>22574.342957766508</v>
      </c>
      <c r="AZ125" s="348">
        <v>24351.346410254191</v>
      </c>
      <c r="BA125" s="348">
        <v>24895.66456832453</v>
      </c>
      <c r="BB125" s="348">
        <v>24901.352726008368</v>
      </c>
      <c r="BC125" s="348">
        <v>26374.84076727946</v>
      </c>
      <c r="BD125" s="348">
        <v>27946.160343294388</v>
      </c>
      <c r="BE125" s="348">
        <v>28881.241756372761</v>
      </c>
      <c r="BF125" s="348">
        <v>30177.488722173581</v>
      </c>
      <c r="BG125" s="348">
        <v>30986.437916899449</v>
      </c>
      <c r="BH125" s="348">
        <v>30893.759485104139</v>
      </c>
      <c r="BI125" s="348">
        <v>30758.322726059789</v>
      </c>
      <c r="BJ125" s="348">
        <v>31524.441633979401</v>
      </c>
      <c r="BK125" s="348">
        <v>32330.22745465675</v>
      </c>
      <c r="BL125" s="348">
        <v>33298.212369503453</v>
      </c>
      <c r="BM125" s="348">
        <v>32011.549149900398</v>
      </c>
      <c r="BN125" s="348">
        <v>32945.851572582309</v>
      </c>
      <c r="BO125" s="348">
        <v>33506.261489323741</v>
      </c>
      <c r="BP125" s="348">
        <v>34703.234928660357</v>
      </c>
      <c r="BQ125" s="350">
        <v>35973.963328701713</v>
      </c>
    </row>
    <row r="126" spans="1:69" x14ac:dyDescent="0.25">
      <c r="A126" s="348" t="s">
        <v>1285</v>
      </c>
      <c r="B126" s="348" t="s">
        <v>1286</v>
      </c>
      <c r="C126" s="348" t="s">
        <v>1578</v>
      </c>
      <c r="D126" s="348" t="s">
        <v>1579</v>
      </c>
      <c r="AI126" s="348">
        <v>4177.4860331034552</v>
      </c>
      <c r="AJ126" s="348">
        <v>4102.4767751296513</v>
      </c>
      <c r="AK126" s="348">
        <v>3946.8409343785079</v>
      </c>
      <c r="AL126" s="348">
        <v>3844.9202978359858</v>
      </c>
      <c r="AM126" s="348">
        <v>3833.223578385886</v>
      </c>
      <c r="AN126" s="348">
        <v>3890.0985511465019</v>
      </c>
      <c r="AO126" s="348">
        <v>3941.4091948135328</v>
      </c>
      <c r="AP126" s="348">
        <v>3853.3713928035449</v>
      </c>
      <c r="AQ126" s="348">
        <v>3871.821763224465</v>
      </c>
      <c r="AR126" s="348">
        <v>3848.464706127269</v>
      </c>
      <c r="AS126" s="348">
        <v>3756.6362229687888</v>
      </c>
      <c r="AT126" s="348">
        <v>3778.25854755615</v>
      </c>
      <c r="AU126" s="348">
        <v>3681.2569427490948</v>
      </c>
      <c r="AV126" s="348">
        <v>3674.0859275840862</v>
      </c>
      <c r="AW126" s="348">
        <v>3743.5678573692949</v>
      </c>
      <c r="AX126" s="348">
        <v>3844.7355712057779</v>
      </c>
      <c r="AY126" s="348">
        <v>3970.7334988768539</v>
      </c>
      <c r="AZ126" s="348">
        <v>4116.4509472085629</v>
      </c>
      <c r="BA126" s="348">
        <v>4002.8836407379158</v>
      </c>
      <c r="BB126" s="348">
        <v>4012.194283823972</v>
      </c>
      <c r="BC126" s="348">
        <v>4211.5246295778406</v>
      </c>
      <c r="BD126" s="348">
        <v>4307.1061155685848</v>
      </c>
      <c r="BE126" s="348">
        <v>4387.9379007540856</v>
      </c>
      <c r="BF126" s="348">
        <v>4443.3712156819984</v>
      </c>
      <c r="BG126" s="348">
        <v>4558.5515526637364</v>
      </c>
      <c r="BH126" s="348">
        <v>4679.6218283193821</v>
      </c>
      <c r="BI126" s="348">
        <v>4770.3104638808591</v>
      </c>
      <c r="BJ126" s="348">
        <v>4846.8621085193163</v>
      </c>
      <c r="BK126" s="348">
        <v>5017.6678467466381</v>
      </c>
      <c r="BL126" s="348">
        <v>5171.7126427925723</v>
      </c>
      <c r="BM126" s="348">
        <v>5057.4011553742866</v>
      </c>
      <c r="BN126" s="348">
        <v>5338.852433827813</v>
      </c>
      <c r="BO126" s="348">
        <v>5491.6937828024566</v>
      </c>
      <c r="BP126" s="348">
        <v>5691.8251347441656</v>
      </c>
      <c r="BQ126" s="350">
        <v>5845.2011771782454</v>
      </c>
    </row>
    <row r="127" spans="1:69" x14ac:dyDescent="0.25">
      <c r="A127" s="348" t="s">
        <v>1287</v>
      </c>
      <c r="B127" s="348" t="s">
        <v>1288</v>
      </c>
      <c r="C127" s="348" t="s">
        <v>1578</v>
      </c>
      <c r="D127" s="348" t="s">
        <v>1579</v>
      </c>
      <c r="AI127" s="348">
        <v>6095.6810861023469</v>
      </c>
      <c r="AJ127" s="348">
        <v>5520.4297989131346</v>
      </c>
      <c r="AK127" s="348">
        <v>4701.991380986582</v>
      </c>
      <c r="AL127" s="348">
        <v>3973.8832393103271</v>
      </c>
      <c r="AM127" s="348">
        <v>3176.923818827262</v>
      </c>
      <c r="AN127" s="348">
        <v>2974.7116389129442</v>
      </c>
      <c r="AO127" s="348">
        <v>3138.666156711145</v>
      </c>
      <c r="AP127" s="348">
        <v>3399.9342712666498</v>
      </c>
      <c r="AQ127" s="348">
        <v>3419.2233073621492</v>
      </c>
      <c r="AR127" s="348">
        <v>3491.937732687406</v>
      </c>
      <c r="AS127" s="348">
        <v>3638.46314292227</v>
      </c>
      <c r="AT127" s="348">
        <v>3795.8905934412901</v>
      </c>
      <c r="AU127" s="348">
        <v>3760.5323996525699</v>
      </c>
      <c r="AV127" s="348">
        <v>3982.9272201780159</v>
      </c>
      <c r="AW127" s="348">
        <v>4211.5224830785719</v>
      </c>
      <c r="AX127" s="348">
        <v>4156.9584923011571</v>
      </c>
      <c r="AY127" s="348">
        <v>4240.1701779755431</v>
      </c>
      <c r="AZ127" s="348">
        <v>4558.7126789417189</v>
      </c>
      <c r="BA127" s="348">
        <v>4894.9427801376032</v>
      </c>
      <c r="BB127" s="348">
        <v>4969.9613272037359</v>
      </c>
      <c r="BC127" s="348">
        <v>4876.4796488648326</v>
      </c>
      <c r="BD127" s="348">
        <v>5092.851657516775</v>
      </c>
      <c r="BE127" s="348">
        <v>4993.394316835278</v>
      </c>
      <c r="BF127" s="348">
        <v>5418.5406199393456</v>
      </c>
      <c r="BG127" s="348">
        <v>5513.7544695252027</v>
      </c>
      <c r="BH127" s="348">
        <v>5600.214334284603</v>
      </c>
      <c r="BI127" s="348">
        <v>5715.0104117900328</v>
      </c>
      <c r="BJ127" s="348">
        <v>5861.2220004050323</v>
      </c>
      <c r="BK127" s="348">
        <v>5951.8287675860574</v>
      </c>
      <c r="BL127" s="348">
        <v>6087.6019382692702</v>
      </c>
      <c r="BM127" s="348">
        <v>5537.7954731937698</v>
      </c>
      <c r="BN127" s="348">
        <v>5736.4788341515396</v>
      </c>
      <c r="BO127" s="348">
        <v>6139.7778882500606</v>
      </c>
      <c r="BP127" s="348">
        <v>6575.775412904989</v>
      </c>
      <c r="BQ127" s="350">
        <v>7048.9895211126441</v>
      </c>
    </row>
    <row r="128" spans="1:69" x14ac:dyDescent="0.25">
      <c r="A128" s="348" t="s">
        <v>1289</v>
      </c>
      <c r="B128" s="348" t="s">
        <v>1290</v>
      </c>
      <c r="C128" s="348" t="s">
        <v>1578</v>
      </c>
      <c r="D128" s="348" t="s">
        <v>1579</v>
      </c>
      <c r="AI128" s="348">
        <v>2646.0979883668701</v>
      </c>
      <c r="AJ128" s="348">
        <v>2731.379737203139</v>
      </c>
      <c r="AK128" s="348">
        <v>2769.4882552664958</v>
      </c>
      <c r="AL128" s="348">
        <v>2714.591500598835</v>
      </c>
      <c r="AM128" s="348">
        <v>1650.3910000181611</v>
      </c>
      <c r="AN128" s="348">
        <v>1672.7392851413631</v>
      </c>
      <c r="AO128" s="348">
        <v>1643.0157905831379</v>
      </c>
      <c r="AP128" s="348">
        <v>1595.171306569353</v>
      </c>
      <c r="AQ128" s="348">
        <v>1602.383712089309</v>
      </c>
      <c r="AR128" s="348">
        <v>1775.412398020434</v>
      </c>
      <c r="AS128" s="348">
        <v>1922.0317909259149</v>
      </c>
      <c r="AT128" s="348">
        <v>2032.0809202237269</v>
      </c>
      <c r="AU128" s="348">
        <v>2126.3415046898658</v>
      </c>
      <c r="AV128" s="348">
        <v>2309.8393148278769</v>
      </c>
      <c r="AW128" s="348">
        <v>2491.309300038381</v>
      </c>
      <c r="AX128" s="348">
        <v>2781.8902889525511</v>
      </c>
      <c r="AY128" s="348">
        <v>3041.1047122015279</v>
      </c>
      <c r="AZ128" s="348">
        <v>3308.1574724654361</v>
      </c>
      <c r="BA128" s="348">
        <v>3501.9257021931958</v>
      </c>
      <c r="BB128" s="348">
        <v>3587.6088958836249</v>
      </c>
      <c r="BC128" s="348">
        <v>3711.5375058015729</v>
      </c>
      <c r="BD128" s="348">
        <v>3921.9791156330812</v>
      </c>
      <c r="BE128" s="348">
        <v>4159.1635412344649</v>
      </c>
      <c r="BF128" s="348">
        <v>4419.3988680185976</v>
      </c>
      <c r="BG128" s="348">
        <v>4702.7306182320663</v>
      </c>
      <c r="BH128" s="348">
        <v>4968.5727669914304</v>
      </c>
      <c r="BI128" s="348">
        <v>5283.7296494377852</v>
      </c>
      <c r="BJ128" s="348">
        <v>5632.0312562934223</v>
      </c>
      <c r="BK128" s="348">
        <v>6050.590882622052</v>
      </c>
      <c r="BL128" s="348">
        <v>6448.8845595280509</v>
      </c>
      <c r="BM128" s="348">
        <v>6128.7824378333489</v>
      </c>
      <c r="BN128" s="348">
        <v>6225.5326547474051</v>
      </c>
      <c r="BO128" s="348">
        <v>6458.3681488083976</v>
      </c>
      <c r="BP128" s="348">
        <v>6695.2919476372263</v>
      </c>
      <c r="BQ128" s="350">
        <v>7008.8893455172602</v>
      </c>
    </row>
    <row r="129" spans="1:69" x14ac:dyDescent="0.25">
      <c r="A129" s="348" t="s">
        <v>1291</v>
      </c>
      <c r="B129" s="348" t="s">
        <v>1292</v>
      </c>
      <c r="C129" s="348" t="s">
        <v>1578</v>
      </c>
      <c r="D129" s="348" t="s">
        <v>1579</v>
      </c>
      <c r="AI129" s="348">
        <v>2213.540219711952</v>
      </c>
      <c r="AJ129" s="348">
        <v>2047.1537637678839</v>
      </c>
      <c r="AK129" s="348">
        <v>2495.9964020471411</v>
      </c>
      <c r="AL129" s="348">
        <v>2455.4498755704321</v>
      </c>
      <c r="AM129" s="348">
        <v>2468.7211900276639</v>
      </c>
      <c r="AN129" s="348">
        <v>2498.7876151916948</v>
      </c>
      <c r="AO129" s="348">
        <v>2455.5010736031322</v>
      </c>
      <c r="AP129" s="348">
        <v>2439.4101157848249</v>
      </c>
      <c r="AQ129" s="348">
        <v>2502.862069939421</v>
      </c>
      <c r="AR129" s="348">
        <v>2364.346191504831</v>
      </c>
      <c r="AS129" s="348">
        <v>2481.4152425758739</v>
      </c>
      <c r="AT129" s="348">
        <v>2357.581890145183</v>
      </c>
      <c r="AU129" s="348">
        <v>2341.6955387272201</v>
      </c>
      <c r="AV129" s="348">
        <v>2258.033818309847</v>
      </c>
      <c r="AW129" s="348">
        <v>2199.670741582167</v>
      </c>
      <c r="AX129" s="348">
        <v>2183.781138862329</v>
      </c>
      <c r="AY129" s="348">
        <v>2264.1615803371842</v>
      </c>
      <c r="AZ129" s="348">
        <v>2286.4464773202039</v>
      </c>
      <c r="BA129" s="348">
        <v>2172.3576758952499</v>
      </c>
      <c r="BB129" s="348">
        <v>2137.965939270553</v>
      </c>
      <c r="BC129" s="348">
        <v>2119.6401801394509</v>
      </c>
      <c r="BD129" s="348">
        <v>2150.3830183765381</v>
      </c>
      <c r="BE129" s="348">
        <v>2242.0137911452789</v>
      </c>
      <c r="BF129" s="348">
        <v>2382.3703445215792</v>
      </c>
      <c r="BG129" s="348">
        <v>2381.3483732560771</v>
      </c>
      <c r="BH129" s="348">
        <v>2615.841436573498</v>
      </c>
      <c r="BI129" s="348">
        <v>2761.9336523042962</v>
      </c>
      <c r="BJ129" s="348">
        <v>2822.6696529350011</v>
      </c>
      <c r="BK129" s="348">
        <v>2877.6020499923088</v>
      </c>
      <c r="BL129" s="348">
        <v>2927.4845336672188</v>
      </c>
      <c r="BM129" s="348">
        <v>2834.6858135436592</v>
      </c>
      <c r="BN129" s="348">
        <v>3020.4939993569519</v>
      </c>
      <c r="BO129" s="348">
        <v>3107.7760464268708</v>
      </c>
      <c r="BP129" s="348">
        <v>3140.58326370439</v>
      </c>
      <c r="BQ129" s="350">
        <v>3257.1362912530972</v>
      </c>
    </row>
    <row r="130" spans="1:69" x14ac:dyDescent="0.25">
      <c r="A130" s="348" t="s">
        <v>1293</v>
      </c>
      <c r="B130" s="348" t="s">
        <v>1294</v>
      </c>
      <c r="C130" s="348" t="s">
        <v>1578</v>
      </c>
      <c r="D130" s="348" t="s">
        <v>1579</v>
      </c>
      <c r="AI130" s="348">
        <v>14326.041065650659</v>
      </c>
      <c r="AJ130" s="348">
        <v>14084.683194010209</v>
      </c>
      <c r="AK130" s="348">
        <v>14557.184258304989</v>
      </c>
      <c r="AL130" s="348">
        <v>15348.688779984661</v>
      </c>
      <c r="AM130" s="348">
        <v>15955.837501002799</v>
      </c>
      <c r="AN130" s="348">
        <v>16596.265626628669</v>
      </c>
      <c r="AO130" s="348">
        <v>17340.223462422131</v>
      </c>
      <c r="AP130" s="348">
        <v>18288.494367165738</v>
      </c>
      <c r="AQ130" s="348">
        <v>17963.69923793475</v>
      </c>
      <c r="AR130" s="348">
        <v>18291.4229188676</v>
      </c>
      <c r="AS130" s="348">
        <v>19840.580064526712</v>
      </c>
      <c r="AT130" s="348">
        <v>20648.78897414721</v>
      </c>
      <c r="AU130" s="348">
        <v>20813.405002980569</v>
      </c>
      <c r="AV130" s="348">
        <v>19927.181831413749</v>
      </c>
      <c r="AW130" s="348">
        <v>20661.345864299339</v>
      </c>
      <c r="AX130" s="348">
        <v>22612.712655945539</v>
      </c>
      <c r="AY130" s="348">
        <v>23258.984225321092</v>
      </c>
      <c r="AZ130" s="348">
        <v>23330.044240419509</v>
      </c>
      <c r="BA130" s="348">
        <v>25898.782362098082</v>
      </c>
      <c r="BB130" s="348">
        <v>24973.804528630339</v>
      </c>
      <c r="BC130" s="348">
        <v>24997.567251342789</v>
      </c>
      <c r="BD130" s="348">
        <v>25380.008734821451</v>
      </c>
      <c r="BE130" s="348">
        <v>25114.05726032444</v>
      </c>
      <c r="BF130" s="348">
        <v>26532.10165617253</v>
      </c>
      <c r="BG130" s="348">
        <v>28530.307224901331</v>
      </c>
      <c r="BH130" s="348">
        <v>28729.566447667039</v>
      </c>
      <c r="BI130" s="348">
        <v>29867.02655897908</v>
      </c>
      <c r="BJ130" s="348">
        <v>29948.920006568231</v>
      </c>
      <c r="BK130" s="348">
        <v>30576.248674924409</v>
      </c>
      <c r="BL130" s="348">
        <v>31512.194310568411</v>
      </c>
      <c r="BM130" s="348">
        <v>26736.928356377091</v>
      </c>
      <c r="BN130" s="348">
        <v>26896.617706597841</v>
      </c>
      <c r="BO130" s="348">
        <v>29749.870086482319</v>
      </c>
      <c r="BP130" s="348">
        <v>30616.577281385991</v>
      </c>
      <c r="BQ130" s="350">
        <v>30656.441010936669</v>
      </c>
    </row>
    <row r="131" spans="1:69" x14ac:dyDescent="0.25">
      <c r="A131" s="348" t="s">
        <v>1295</v>
      </c>
      <c r="B131" s="348" t="s">
        <v>1296</v>
      </c>
      <c r="C131" s="348" t="s">
        <v>1578</v>
      </c>
      <c r="D131" s="348" t="s">
        <v>1579</v>
      </c>
      <c r="AI131" s="348">
        <v>14377.88392032676</v>
      </c>
      <c r="AJ131" s="348">
        <v>15784.4668669974</v>
      </c>
      <c r="AK131" s="348">
        <v>16613.490701598301</v>
      </c>
      <c r="AL131" s="348">
        <v>17595.903614843221</v>
      </c>
      <c r="AM131" s="348">
        <v>19052.299092626381</v>
      </c>
      <c r="AN131" s="348">
        <v>20697.896980834459</v>
      </c>
      <c r="AO131" s="348">
        <v>22139.796378541439</v>
      </c>
      <c r="AP131" s="348">
        <v>23311.042090174091</v>
      </c>
      <c r="AQ131" s="348">
        <v>22000.338760351558</v>
      </c>
      <c r="AR131" s="348">
        <v>24382.250851736921</v>
      </c>
      <c r="AS131" s="348">
        <v>26404.158857574552</v>
      </c>
      <c r="AT131" s="348">
        <v>27440.656491584661</v>
      </c>
      <c r="AU131" s="348">
        <v>29395.27660367962</v>
      </c>
      <c r="AV131" s="348">
        <v>30142.46055858137</v>
      </c>
      <c r="AW131" s="348">
        <v>31579.52830488668</v>
      </c>
      <c r="AX131" s="348">
        <v>32886.047245074296</v>
      </c>
      <c r="AY131" s="348">
        <v>34429.622201313723</v>
      </c>
      <c r="AZ131" s="348">
        <v>36257.340168970157</v>
      </c>
      <c r="BA131" s="348">
        <v>37064.151848410649</v>
      </c>
      <c r="BB131" s="348">
        <v>37176.193927096872</v>
      </c>
      <c r="BC131" s="348">
        <v>39574.050073294682</v>
      </c>
      <c r="BD131" s="348">
        <v>40719.227377167073</v>
      </c>
      <c r="BE131" s="348">
        <v>41537.672861111678</v>
      </c>
      <c r="BF131" s="348">
        <v>42709.975185788717</v>
      </c>
      <c r="BG131" s="348">
        <v>43806.925098566076</v>
      </c>
      <c r="BH131" s="348">
        <v>44849.106767088953</v>
      </c>
      <c r="BI131" s="348">
        <v>46088.243078538333</v>
      </c>
      <c r="BJ131" s="348">
        <v>47536.789856885123</v>
      </c>
      <c r="BK131" s="348">
        <v>48834.447115773342</v>
      </c>
      <c r="BL131" s="348">
        <v>49790.867988482147</v>
      </c>
      <c r="BM131" s="348">
        <v>49374.092614802532</v>
      </c>
      <c r="BN131" s="348">
        <v>51718.251865663107</v>
      </c>
      <c r="BO131" s="348">
        <v>53228.603565536541</v>
      </c>
      <c r="BP131" s="348">
        <v>54029.343499078503</v>
      </c>
      <c r="BQ131" s="350">
        <v>55070.938619412133</v>
      </c>
    </row>
    <row r="132" spans="1:69" x14ac:dyDescent="0.25">
      <c r="A132" s="348" t="s">
        <v>1297</v>
      </c>
      <c r="B132" s="348" t="s">
        <v>1298</v>
      </c>
      <c r="C132" s="348" t="s">
        <v>1578</v>
      </c>
      <c r="D132" s="348" t="s">
        <v>1579</v>
      </c>
      <c r="AI132" s="348">
        <v>38932.94352751461</v>
      </c>
      <c r="AJ132" s="348">
        <v>28633.96959224654</v>
      </c>
      <c r="AK132" s="348">
        <v>43266.932865167561</v>
      </c>
      <c r="AL132" s="348">
        <v>56684.186330939498</v>
      </c>
      <c r="AM132" s="348">
        <v>61753.848999006514</v>
      </c>
      <c r="AN132" s="348">
        <v>64093.517877894927</v>
      </c>
      <c r="AO132" s="348">
        <v>62665.224353642501</v>
      </c>
      <c r="AP132" s="348">
        <v>62151.951827033277</v>
      </c>
      <c r="AQ132" s="348">
        <v>62450.088442476452</v>
      </c>
      <c r="AR132" s="348">
        <v>59533.95427524524</v>
      </c>
      <c r="AS132" s="348">
        <v>60585.302678816362</v>
      </c>
      <c r="AT132" s="348">
        <v>59099.665313360099</v>
      </c>
      <c r="AU132" s="348">
        <v>59348.617274156502</v>
      </c>
      <c r="AV132" s="348">
        <v>67984.314506255381</v>
      </c>
      <c r="AW132" s="348">
        <v>73298.06218194768</v>
      </c>
      <c r="AX132" s="348">
        <v>78193.901212758545</v>
      </c>
      <c r="AY132" s="348">
        <v>79521.348433845473</v>
      </c>
      <c r="AZ132" s="348">
        <v>79474.761134637665</v>
      </c>
      <c r="BA132" s="348">
        <v>77036.50838330554</v>
      </c>
      <c r="BB132" s="348">
        <v>67896.268045199497</v>
      </c>
      <c r="BC132" s="348">
        <v>62956.215290412503</v>
      </c>
      <c r="BD132" s="348">
        <v>64844.501901940806</v>
      </c>
      <c r="BE132" s="348">
        <v>64908.262639237</v>
      </c>
      <c r="BF132" s="348">
        <v>62458.808922124903</v>
      </c>
      <c r="BG132" s="348">
        <v>60065.654407623202</v>
      </c>
      <c r="BH132" s="348">
        <v>57763.517457439542</v>
      </c>
      <c r="BI132" s="348">
        <v>56936.620842725977</v>
      </c>
      <c r="BJ132" s="348">
        <v>52285.587117569557</v>
      </c>
      <c r="BK132" s="348">
        <v>51623.807862205227</v>
      </c>
      <c r="BL132" s="348">
        <v>51380.64553546314</v>
      </c>
      <c r="BM132" s="348">
        <v>49372.818793855236</v>
      </c>
      <c r="BN132" s="348">
        <v>50651.957533709123</v>
      </c>
      <c r="BO132" s="348">
        <v>51379.883319411863</v>
      </c>
      <c r="BP132" s="348">
        <v>47777.401228484363</v>
      </c>
      <c r="BQ132" s="350">
        <v>46137.467425484538</v>
      </c>
    </row>
    <row r="133" spans="1:69" x14ac:dyDescent="0.25">
      <c r="A133" s="348" t="s">
        <v>1299</v>
      </c>
      <c r="B133" s="348" t="s">
        <v>1300</v>
      </c>
      <c r="C133" s="348" t="s">
        <v>1578</v>
      </c>
      <c r="D133" s="348" t="s">
        <v>1579</v>
      </c>
      <c r="AI133" s="348">
        <v>12298.985151302149</v>
      </c>
      <c r="AJ133" s="348">
        <v>12460.053426441489</v>
      </c>
      <c r="AK133" s="348">
        <v>12535.88036020045</v>
      </c>
      <c r="AL133" s="348">
        <v>12892.87338097899</v>
      </c>
      <c r="AM133" s="348">
        <v>13358.37610551597</v>
      </c>
      <c r="AN133" s="348">
        <v>13201.557119431591</v>
      </c>
      <c r="AO133" s="348">
        <v>13493.207480586219</v>
      </c>
      <c r="AP133" s="348">
        <v>13993.33873993198</v>
      </c>
      <c r="AQ133" s="348">
        <v>14165.31586433926</v>
      </c>
      <c r="AR133" s="348">
        <v>14010.29923207229</v>
      </c>
      <c r="AS133" s="348">
        <v>14299.56182827319</v>
      </c>
      <c r="AT133" s="348">
        <v>14121.59330314088</v>
      </c>
      <c r="AU133" s="348">
        <v>13988.18466155744</v>
      </c>
      <c r="AV133" s="348">
        <v>14139.233812569481</v>
      </c>
      <c r="AW133" s="348">
        <v>14694.953126764851</v>
      </c>
      <c r="AX133" s="348">
        <v>15084.742435184529</v>
      </c>
      <c r="AY133" s="348">
        <v>15675.90085658878</v>
      </c>
      <c r="AZ133" s="348">
        <v>16311.16829160379</v>
      </c>
      <c r="BA133" s="348">
        <v>16724.756124671851</v>
      </c>
      <c r="BB133" s="348">
        <v>16140.585272908829</v>
      </c>
      <c r="BC133" s="348">
        <v>17032.6099507094</v>
      </c>
      <c r="BD133" s="348">
        <v>17610.033163300061</v>
      </c>
      <c r="BE133" s="348">
        <v>17842.854628545891</v>
      </c>
      <c r="BF133" s="348">
        <v>18162.511575491812</v>
      </c>
      <c r="BG133" s="348">
        <v>18233.09932128865</v>
      </c>
      <c r="BH133" s="348">
        <v>18119.03606640561</v>
      </c>
      <c r="BI133" s="348">
        <v>17878.5427855339</v>
      </c>
      <c r="BJ133" s="348">
        <v>18061.808730885859</v>
      </c>
      <c r="BK133" s="348">
        <v>18164.4680971784</v>
      </c>
      <c r="BL133" s="348">
        <v>18111.578870561902</v>
      </c>
      <c r="BM133" s="348">
        <v>16785.131249920829</v>
      </c>
      <c r="BN133" s="348">
        <v>17874.274939402909</v>
      </c>
      <c r="BO133" s="348">
        <v>18478.297173568881</v>
      </c>
      <c r="BP133" s="348">
        <v>18750.384195778661</v>
      </c>
      <c r="BQ133" s="350">
        <v>18989.83239594505</v>
      </c>
    </row>
    <row r="134" spans="1:69" x14ac:dyDescent="0.25">
      <c r="A134" s="348" t="s">
        <v>1301</v>
      </c>
      <c r="B134" s="348" t="s">
        <v>1302</v>
      </c>
      <c r="C134" s="348" t="s">
        <v>1578</v>
      </c>
      <c r="D134" s="348" t="s">
        <v>1579</v>
      </c>
      <c r="AI134" s="348">
        <v>2005.5004941040081</v>
      </c>
      <c r="AJ134" s="348">
        <v>2033.582583032811</v>
      </c>
      <c r="AK134" s="348">
        <v>2088.0200408323808</v>
      </c>
      <c r="AL134" s="348">
        <v>2152.2765966407028</v>
      </c>
      <c r="AM134" s="348">
        <v>2267.7821552139658</v>
      </c>
      <c r="AN134" s="348">
        <v>2368.0547518253579</v>
      </c>
      <c r="AO134" s="348">
        <v>2473.772857531485</v>
      </c>
      <c r="AP134" s="348">
        <v>2589.2076286410152</v>
      </c>
      <c r="AQ134" s="348">
        <v>2642.5661869958521</v>
      </c>
      <c r="AR134" s="348">
        <v>2786.520397034712</v>
      </c>
      <c r="AS134" s="348">
        <v>2899.0196187974789</v>
      </c>
      <c r="AT134" s="348">
        <v>3015.632584806141</v>
      </c>
      <c r="AU134" s="348">
        <v>3143.2232757955639</v>
      </c>
      <c r="AV134" s="348">
        <v>3282.9853971272041</v>
      </c>
      <c r="AW134" s="348">
        <v>3441.169997065153</v>
      </c>
      <c r="AX134" s="348">
        <v>3630.5587876937798</v>
      </c>
      <c r="AY134" s="348">
        <v>3881.5373663265691</v>
      </c>
      <c r="AZ134" s="348">
        <v>4112.2530165975923</v>
      </c>
      <c r="BA134" s="348">
        <v>4367.1628802570049</v>
      </c>
      <c r="BB134" s="348">
        <v>4625.0717332451804</v>
      </c>
      <c r="BC134" s="348">
        <v>4946.1056367817246</v>
      </c>
      <c r="BD134" s="348">
        <v>5266.8786692420572</v>
      </c>
      <c r="BE134" s="348">
        <v>5608.9695633705942</v>
      </c>
      <c r="BF134" s="348">
        <v>5974.4736894341358</v>
      </c>
      <c r="BG134" s="348">
        <v>6341.2122967031964</v>
      </c>
      <c r="BH134" s="348">
        <v>6703.7412434888529</v>
      </c>
      <c r="BI134" s="348">
        <v>7063.2554534792616</v>
      </c>
      <c r="BJ134" s="348">
        <v>7432.4596330484956</v>
      </c>
      <c r="BK134" s="348">
        <v>7775.0857445188303</v>
      </c>
      <c r="BL134" s="348">
        <v>8075.2750237700266</v>
      </c>
      <c r="BM134" s="348">
        <v>7995.5950252781777</v>
      </c>
      <c r="BN134" s="348">
        <v>8080.4355324992312</v>
      </c>
      <c r="BO134" s="348">
        <v>8183.032864726526</v>
      </c>
      <c r="BP134" s="348">
        <v>8372.1559187440653</v>
      </c>
      <c r="BQ134" s="350">
        <v>8600.3245466555345</v>
      </c>
    </row>
    <row r="135" spans="1:69" x14ac:dyDescent="0.25">
      <c r="A135" s="348" t="s">
        <v>1303</v>
      </c>
      <c r="B135" s="348" t="s">
        <v>1304</v>
      </c>
      <c r="C135" s="348" t="s">
        <v>1578</v>
      </c>
      <c r="D135" s="348" t="s">
        <v>1579</v>
      </c>
      <c r="AI135" s="348">
        <v>5345.5120971841288</v>
      </c>
      <c r="AJ135" s="348">
        <v>7828.1720107765577</v>
      </c>
      <c r="AK135" s="348">
        <v>8924.1526455327112</v>
      </c>
      <c r="AL135" s="348">
        <v>9695.3154918275231</v>
      </c>
      <c r="AM135" s="348">
        <v>10294.812771264</v>
      </c>
      <c r="AN135" s="348">
        <v>10762.44269637762</v>
      </c>
      <c r="AO135" s="348">
        <v>11757.282488793489</v>
      </c>
      <c r="AP135" s="348">
        <v>11668.400685437249</v>
      </c>
      <c r="AQ135" s="348">
        <v>11885.307227840871</v>
      </c>
      <c r="AR135" s="348">
        <v>11617.24977085381</v>
      </c>
      <c r="AS135" s="348">
        <v>11571.73260410848</v>
      </c>
      <c r="AT135" s="348">
        <v>11817.930501284411</v>
      </c>
      <c r="AU135" s="348">
        <v>12053.83415638256</v>
      </c>
      <c r="AV135" s="348">
        <v>12272.344067749669</v>
      </c>
      <c r="AW135" s="348">
        <v>12882.0757995163</v>
      </c>
      <c r="AX135" s="348">
        <v>13024.66489249561</v>
      </c>
      <c r="AY135" s="348">
        <v>13003.68080390799</v>
      </c>
      <c r="AZ135" s="348">
        <v>13941.56142447672</v>
      </c>
      <c r="BA135" s="348">
        <v>14955.14135632523</v>
      </c>
      <c r="BB135" s="348">
        <v>16264.35061827061</v>
      </c>
      <c r="BC135" s="348">
        <v>17390.758401295829</v>
      </c>
      <c r="BD135" s="348">
        <v>17353.19608452942</v>
      </c>
      <c r="BE135" s="348">
        <v>17323.301376428219</v>
      </c>
      <c r="BF135" s="348">
        <v>16396.496930216341</v>
      </c>
      <c r="BG135" s="348">
        <v>15205.873265402</v>
      </c>
      <c r="BH135" s="348">
        <v>14980.020515614049</v>
      </c>
      <c r="BI135" s="348">
        <v>15572.36117397737</v>
      </c>
      <c r="BJ135" s="348">
        <v>16128.58381960507</v>
      </c>
      <c r="BK135" s="348">
        <v>16290.051647859171</v>
      </c>
      <c r="BL135" s="348">
        <v>15659.566104001169</v>
      </c>
      <c r="BM135" s="348">
        <v>12507.43663680785</v>
      </c>
      <c r="BN135" s="348">
        <v>11599.775508376541</v>
      </c>
      <c r="BO135" s="348">
        <v>11474.750584555841</v>
      </c>
      <c r="BP135" s="348">
        <v>11330.268738742219</v>
      </c>
    </row>
    <row r="136" spans="1:69" x14ac:dyDescent="0.25">
      <c r="A136" s="348" t="s">
        <v>1305</v>
      </c>
      <c r="B136" s="348" t="s">
        <v>1306</v>
      </c>
      <c r="C136" s="348" t="s">
        <v>1578</v>
      </c>
      <c r="D136" s="348" t="s">
        <v>1579</v>
      </c>
      <c r="AI136" s="348">
        <v>1866.405481258332</v>
      </c>
      <c r="AJ136" s="348">
        <v>1819.497852925218</v>
      </c>
      <c r="AK136" s="348">
        <v>1115.0377081685181</v>
      </c>
      <c r="AL136" s="348">
        <v>718.68323881476431</v>
      </c>
      <c r="AM136" s="348">
        <v>563.64036119664729</v>
      </c>
      <c r="AN136" s="348">
        <v>534.80971516540637</v>
      </c>
      <c r="AO136" s="348">
        <v>582.67798253609249</v>
      </c>
      <c r="AP136" s="348">
        <v>1111.937602513708</v>
      </c>
      <c r="AQ136" s="348">
        <v>1308.405683052936</v>
      </c>
      <c r="AR136" s="348">
        <v>1507.3147025459421</v>
      </c>
      <c r="AS136" s="348">
        <v>1868.1797558761759</v>
      </c>
      <c r="AT136" s="348">
        <v>1867.11910921753</v>
      </c>
      <c r="AU136" s="348">
        <v>1887.6460157073259</v>
      </c>
      <c r="AV136" s="348">
        <v>1308.1509014027411</v>
      </c>
      <c r="AW136" s="348">
        <v>1326.5356550269489</v>
      </c>
      <c r="AX136" s="348">
        <v>1335.6172888078499</v>
      </c>
      <c r="AY136" s="348">
        <v>1364.6034732370931</v>
      </c>
      <c r="AZ136" s="348">
        <v>1422.100196700045</v>
      </c>
      <c r="BA136" s="348">
        <v>1463.1240818729741</v>
      </c>
      <c r="BB136" s="348">
        <v>1492.998173840529</v>
      </c>
      <c r="BC136" s="348">
        <v>1538.850834885123</v>
      </c>
      <c r="BD136" s="348">
        <v>1601.033740459957</v>
      </c>
      <c r="BE136" s="348">
        <v>1668.9728958877629</v>
      </c>
      <c r="BF136" s="348">
        <v>1774.5205777394001</v>
      </c>
      <c r="BG136" s="348">
        <v>1750.1438489328029</v>
      </c>
      <c r="BH136" s="348">
        <v>1714.0904796046359</v>
      </c>
      <c r="BI136" s="348">
        <v>1653.3105021123311</v>
      </c>
      <c r="BJ136" s="348">
        <v>1661.3029078217139</v>
      </c>
      <c r="BK136" s="348">
        <v>1647.9744379384649</v>
      </c>
      <c r="BL136" s="348">
        <v>1575.766650012378</v>
      </c>
      <c r="BM136" s="348">
        <v>1497.376924362723</v>
      </c>
      <c r="BN136" s="348">
        <v>1539.20892304674</v>
      </c>
      <c r="BO136" s="348">
        <v>1578.998370691749</v>
      </c>
      <c r="BP136" s="348">
        <v>1616.9237335669529</v>
      </c>
      <c r="BQ136" s="350">
        <v>1646.0586136660079</v>
      </c>
    </row>
    <row r="137" spans="1:69" x14ac:dyDescent="0.25">
      <c r="A137" s="348" t="s">
        <v>1307</v>
      </c>
      <c r="B137" s="348" t="s">
        <v>1308</v>
      </c>
      <c r="C137" s="348" t="s">
        <v>1578</v>
      </c>
      <c r="D137" s="348" t="s">
        <v>1579</v>
      </c>
      <c r="AI137" s="348">
        <v>18126.586961260589</v>
      </c>
      <c r="AJ137" s="348">
        <v>20506.876269157819</v>
      </c>
      <c r="AK137" s="348">
        <v>19538.138704794001</v>
      </c>
      <c r="AL137" s="348">
        <v>18434.641128465038</v>
      </c>
      <c r="AM137" s="348">
        <v>18444.513361785899</v>
      </c>
      <c r="AN137" s="348">
        <v>17723.267921102921</v>
      </c>
      <c r="AO137" s="348">
        <v>17809.151922217061</v>
      </c>
      <c r="AP137" s="348">
        <v>18451.699845134539</v>
      </c>
      <c r="AQ137" s="348">
        <v>17532.926104375529</v>
      </c>
      <c r="AR137" s="348">
        <v>17402.568382047899</v>
      </c>
      <c r="AS137" s="348">
        <v>17747.018885583209</v>
      </c>
      <c r="AT137" s="348">
        <v>17115.988856426389</v>
      </c>
      <c r="AU137" s="348">
        <v>16629.436434600451</v>
      </c>
      <c r="AV137" s="348">
        <v>18422.73360324046</v>
      </c>
      <c r="AW137" s="348">
        <v>18851.203910996319</v>
      </c>
      <c r="AX137" s="348">
        <v>20649.462458017231</v>
      </c>
      <c r="AY137" s="348">
        <v>21545.29863844188</v>
      </c>
      <c r="AZ137" s="348">
        <v>22422.011759476161</v>
      </c>
      <c r="BA137" s="348">
        <v>21915.197620827352</v>
      </c>
      <c r="BB137" s="348">
        <v>20518.96424128384</v>
      </c>
      <c r="BC137" s="348">
        <v>21115.5259846154</v>
      </c>
      <c r="BD137" s="348">
        <v>10741.92067519081</v>
      </c>
      <c r="BE137" s="348">
        <v>20601.00266410003</v>
      </c>
      <c r="BF137" s="348">
        <v>16557.50094166497</v>
      </c>
      <c r="BG137" s="348">
        <v>12499.08299685231</v>
      </c>
      <c r="BH137" s="348">
        <v>12195.348699042061</v>
      </c>
      <c r="BI137" s="348">
        <v>11831.82576695593</v>
      </c>
      <c r="BJ137" s="348">
        <v>15428.11644118535</v>
      </c>
      <c r="BK137" s="348">
        <v>16385.164476126989</v>
      </c>
      <c r="BL137" s="348">
        <v>14337.19629875821</v>
      </c>
      <c r="BM137" s="348">
        <v>9978.6640011074269</v>
      </c>
      <c r="BN137" s="348">
        <v>12641.50977140746</v>
      </c>
      <c r="BO137" s="348">
        <v>11450.05985529284</v>
      </c>
      <c r="BP137" s="348">
        <v>12476.59749440825</v>
      </c>
      <c r="BQ137" s="350">
        <v>12583.833872681609</v>
      </c>
    </row>
    <row r="138" spans="1:69" x14ac:dyDescent="0.25">
      <c r="A138" s="348" t="s">
        <v>1309</v>
      </c>
      <c r="B138" s="348" t="s">
        <v>1310</v>
      </c>
      <c r="C138" s="348" t="s">
        <v>1578</v>
      </c>
      <c r="D138" s="348" t="s">
        <v>1579</v>
      </c>
      <c r="AI138" s="348">
        <v>17222.148665067551</v>
      </c>
      <c r="AJ138" s="348">
        <v>17080.798974653299</v>
      </c>
      <c r="AK138" s="348">
        <v>18166.20781092265</v>
      </c>
      <c r="AL138" s="348">
        <v>18004.032007303082</v>
      </c>
      <c r="AM138" s="348">
        <v>18020.512759063109</v>
      </c>
      <c r="AN138" s="348">
        <v>18048.780665013001</v>
      </c>
      <c r="AO138" s="348">
        <v>18301.152274564811</v>
      </c>
      <c r="AP138" s="348">
        <v>17920.034113687019</v>
      </c>
      <c r="AQ138" s="348">
        <v>18786.997602801752</v>
      </c>
      <c r="AR138" s="348">
        <v>19039.463021371761</v>
      </c>
      <c r="AS138" s="348">
        <v>18818.88559894311</v>
      </c>
      <c r="AT138" s="348">
        <v>17993.637266226811</v>
      </c>
      <c r="AU138" s="348">
        <v>17911.629776506801</v>
      </c>
      <c r="AV138" s="348">
        <v>18522.512963015699</v>
      </c>
      <c r="AW138" s="348">
        <v>19715.829774598529</v>
      </c>
      <c r="AX138" s="348">
        <v>19491.218226058401</v>
      </c>
      <c r="AY138" s="348">
        <v>20551.059950130671</v>
      </c>
      <c r="AZ138" s="348">
        <v>20759.304387230492</v>
      </c>
      <c r="BA138" s="348">
        <v>21651.233776083951</v>
      </c>
      <c r="BB138" s="348">
        <v>20907.3343580129</v>
      </c>
      <c r="BC138" s="348">
        <v>20849.055124224451</v>
      </c>
      <c r="BD138" s="348">
        <v>21637.868692599161</v>
      </c>
      <c r="BE138" s="348">
        <v>21515.899633619982</v>
      </c>
      <c r="BF138" s="348">
        <v>21029.288887213799</v>
      </c>
      <c r="BG138" s="348">
        <v>21214.47733463344</v>
      </c>
      <c r="BH138" s="348">
        <v>21142.973330436598</v>
      </c>
      <c r="BI138" s="348">
        <v>21775.473765862891</v>
      </c>
      <c r="BJ138" s="348">
        <v>22422.59703880185</v>
      </c>
      <c r="BK138" s="348">
        <v>22981.91792940129</v>
      </c>
      <c r="BL138" s="348">
        <v>22738.2471068581</v>
      </c>
      <c r="BM138" s="348">
        <v>17142.044063191959</v>
      </c>
      <c r="BN138" s="348">
        <v>19101.16529566755</v>
      </c>
      <c r="BO138" s="348">
        <v>22962.281814455411</v>
      </c>
      <c r="BP138" s="348">
        <v>23403.744026598819</v>
      </c>
      <c r="BQ138" s="350">
        <v>24252.468858849101</v>
      </c>
    </row>
    <row r="139" spans="1:69" x14ac:dyDescent="0.25">
      <c r="A139" s="348" t="s">
        <v>1311</v>
      </c>
      <c r="B139" s="348" t="s">
        <v>1312</v>
      </c>
      <c r="C139" s="348" t="s">
        <v>1578</v>
      </c>
      <c r="D139" s="348" t="s">
        <v>1579</v>
      </c>
      <c r="AI139" s="348">
        <v>12426.249644387441</v>
      </c>
      <c r="AJ139" s="348">
        <v>12604.22143827427</v>
      </c>
      <c r="AK139" s="348">
        <v>12735.488897695721</v>
      </c>
      <c r="AL139" s="348">
        <v>13103.560389090389</v>
      </c>
      <c r="AM139" s="348">
        <v>13570.51277112601</v>
      </c>
      <c r="AN139" s="348">
        <v>13464.1591461771</v>
      </c>
      <c r="AO139" s="348">
        <v>13773.65028138173</v>
      </c>
      <c r="AP139" s="348">
        <v>14298.49812838596</v>
      </c>
      <c r="AQ139" s="348">
        <v>14501.812362092391</v>
      </c>
      <c r="AR139" s="348">
        <v>14364.293933116571</v>
      </c>
      <c r="AS139" s="348">
        <v>14663.65469849997</v>
      </c>
      <c r="AT139" s="348">
        <v>14518.14733029315</v>
      </c>
      <c r="AU139" s="348">
        <v>14398.79210946925</v>
      </c>
      <c r="AV139" s="348">
        <v>14568.34605685854</v>
      </c>
      <c r="AW139" s="348">
        <v>15160.49243214546</v>
      </c>
      <c r="AX139" s="348">
        <v>15565.822392684309</v>
      </c>
      <c r="AY139" s="348">
        <v>16172.71010037883</v>
      </c>
      <c r="AZ139" s="348">
        <v>16820.952725622439</v>
      </c>
      <c r="BA139" s="348">
        <v>17243.326354264471</v>
      </c>
      <c r="BB139" s="348">
        <v>16665.796874158321</v>
      </c>
      <c r="BC139" s="348">
        <v>17552.03594702957</v>
      </c>
      <c r="BD139" s="348">
        <v>18151.834527875351</v>
      </c>
      <c r="BE139" s="348">
        <v>18434.94248797631</v>
      </c>
      <c r="BF139" s="348">
        <v>18767.87464994879</v>
      </c>
      <c r="BG139" s="348">
        <v>18853.407817327381</v>
      </c>
      <c r="BH139" s="348">
        <v>18763.833651436031</v>
      </c>
      <c r="BI139" s="348">
        <v>18551.818274960289</v>
      </c>
      <c r="BJ139" s="348">
        <v>18745.582435852579</v>
      </c>
      <c r="BK139" s="348">
        <v>18894.209543149049</v>
      </c>
      <c r="BL139" s="348">
        <v>18882.952025909559</v>
      </c>
      <c r="BM139" s="348">
        <v>17508.24304803415</v>
      </c>
      <c r="BN139" s="348">
        <v>18694.140774802469</v>
      </c>
      <c r="BO139" s="348">
        <v>19352.181916216421</v>
      </c>
      <c r="BP139" s="348">
        <v>19656.628566119951</v>
      </c>
      <c r="BQ139" s="350">
        <v>19959.440402198339</v>
      </c>
    </row>
    <row r="140" spans="1:69" x14ac:dyDescent="0.25">
      <c r="A140" s="348" t="s">
        <v>1313</v>
      </c>
      <c r="B140" s="348" t="s">
        <v>1314</v>
      </c>
      <c r="C140" s="348" t="s">
        <v>1578</v>
      </c>
      <c r="D140" s="348" t="s">
        <v>1579</v>
      </c>
      <c r="AI140" s="348">
        <v>1950.76740960445</v>
      </c>
      <c r="AJ140" s="348">
        <v>1935.2092119376121</v>
      </c>
      <c r="AK140" s="348">
        <v>1890.2048318622931</v>
      </c>
      <c r="AL140" s="348">
        <v>1831.60497342642</v>
      </c>
      <c r="AM140" s="348">
        <v>1792.3200720152211</v>
      </c>
      <c r="AN140" s="348">
        <v>1845.540281752418</v>
      </c>
      <c r="AO140" s="348">
        <v>1899.5086189076981</v>
      </c>
      <c r="AP140" s="348">
        <v>1949.65232269941</v>
      </c>
      <c r="AQ140" s="348">
        <v>1975.6137356647571</v>
      </c>
      <c r="AR140" s="348">
        <v>2008.373589813963</v>
      </c>
      <c r="AS140" s="348">
        <v>2047.423283582983</v>
      </c>
      <c r="AT140" s="348">
        <v>2099.6067395787059</v>
      </c>
      <c r="AU140" s="348">
        <v>2163.365106720883</v>
      </c>
      <c r="AV140" s="348">
        <v>2225.8635484517058</v>
      </c>
      <c r="AW140" s="348">
        <v>2320.0096980924682</v>
      </c>
      <c r="AX140" s="348">
        <v>2438.3468445958119</v>
      </c>
      <c r="AY140" s="348">
        <v>2554.758550873345</v>
      </c>
      <c r="AZ140" s="348">
        <v>2689.0322433579108</v>
      </c>
      <c r="BA140" s="348">
        <v>2804.8936950238822</v>
      </c>
      <c r="BB140" s="348">
        <v>2865.1306367388911</v>
      </c>
      <c r="BC140" s="348">
        <v>2978.171631239818</v>
      </c>
      <c r="BD140" s="348">
        <v>3056.2388051993739</v>
      </c>
      <c r="BE140" s="348">
        <v>3134.1448597563531</v>
      </c>
      <c r="BF140" s="348">
        <v>3238.9237909576168</v>
      </c>
      <c r="BG140" s="348">
        <v>3350.1187693095412</v>
      </c>
      <c r="BH140" s="348">
        <v>3441.6639945689858</v>
      </c>
      <c r="BI140" s="348">
        <v>3522.9189613940589</v>
      </c>
      <c r="BJ140" s="348">
        <v>3620.7595185267619</v>
      </c>
      <c r="BK140" s="348">
        <v>3718.4663155215849</v>
      </c>
      <c r="BL140" s="348">
        <v>3825.1451273743742</v>
      </c>
      <c r="BM140" s="348">
        <v>3739.0676637815991</v>
      </c>
      <c r="BN140" s="348">
        <v>3754.279287992495</v>
      </c>
      <c r="BO140" s="348">
        <v>3853.8327303073888</v>
      </c>
      <c r="BP140" s="348">
        <v>3892.8643306095018</v>
      </c>
      <c r="BQ140" s="350">
        <v>3958.1398482665768</v>
      </c>
    </row>
    <row r="141" spans="1:69" x14ac:dyDescent="0.25">
      <c r="A141" s="348" t="s">
        <v>1315</v>
      </c>
      <c r="B141" s="348" t="s">
        <v>1316</v>
      </c>
      <c r="C141" s="348" t="s">
        <v>1578</v>
      </c>
      <c r="D141" s="348" t="s">
        <v>1579</v>
      </c>
      <c r="AI141" s="348">
        <v>2091.5768658061638</v>
      </c>
      <c r="AJ141" s="348">
        <v>2086.3844754957222</v>
      </c>
      <c r="AK141" s="348">
        <v>2042.2125577438701</v>
      </c>
      <c r="AL141" s="348">
        <v>1978.61884653466</v>
      </c>
      <c r="AM141" s="348">
        <v>1942.9049833949091</v>
      </c>
      <c r="AN141" s="348">
        <v>1981.9554927547119</v>
      </c>
      <c r="AO141" s="348">
        <v>2036.176505161261</v>
      </c>
      <c r="AP141" s="348">
        <v>2109.0699489720369</v>
      </c>
      <c r="AQ141" s="348">
        <v>2148.3252765832372</v>
      </c>
      <c r="AR141" s="348">
        <v>2115.6119237368489</v>
      </c>
      <c r="AS141" s="348">
        <v>2100.0354469970248</v>
      </c>
      <c r="AT141" s="348">
        <v>2115.23420888908</v>
      </c>
      <c r="AU141" s="348">
        <v>2172.3686722398829</v>
      </c>
      <c r="AV141" s="348">
        <v>2247.3982210481499</v>
      </c>
      <c r="AW141" s="348">
        <v>2317.1029004034422</v>
      </c>
      <c r="AX141" s="348">
        <v>2392.5898926238719</v>
      </c>
      <c r="AY141" s="348">
        <v>2455.3108837097029</v>
      </c>
      <c r="AZ141" s="348">
        <v>2534.7455359812229</v>
      </c>
      <c r="BA141" s="348">
        <v>2592.987375342293</v>
      </c>
      <c r="BB141" s="348">
        <v>2614.3979299949629</v>
      </c>
      <c r="BC141" s="348">
        <v>2703.70385729291</v>
      </c>
      <c r="BD141" s="348">
        <v>2705.9164266920288</v>
      </c>
      <c r="BE141" s="348">
        <v>2496.4561984467982</v>
      </c>
      <c r="BF141" s="348">
        <v>2414.5006463144409</v>
      </c>
      <c r="BG141" s="348">
        <v>2419.5177095918621</v>
      </c>
      <c r="BH141" s="348">
        <v>2431.471172699954</v>
      </c>
      <c r="BI141" s="348">
        <v>2422.1920411687588</v>
      </c>
      <c r="BJ141" s="348">
        <v>2425.2116256831059</v>
      </c>
      <c r="BK141" s="348">
        <v>2432.9914939842238</v>
      </c>
      <c r="BL141" s="348">
        <v>2434.3191547106048</v>
      </c>
      <c r="BM141" s="348">
        <v>2347.0787911020329</v>
      </c>
      <c r="BN141" s="348">
        <v>2301.2909047434568</v>
      </c>
      <c r="BO141" s="348">
        <v>2312.3844305013408</v>
      </c>
      <c r="BP141" s="348">
        <v>2245.1287272548961</v>
      </c>
      <c r="BQ141" s="350">
        <v>2252.9510139720069</v>
      </c>
    </row>
    <row r="142" spans="1:69" x14ac:dyDescent="0.25">
      <c r="A142" s="348" t="s">
        <v>1317</v>
      </c>
      <c r="B142" s="348" t="s">
        <v>1318</v>
      </c>
      <c r="C142" s="348" t="s">
        <v>1578</v>
      </c>
      <c r="D142" s="348" t="s">
        <v>1579</v>
      </c>
    </row>
    <row r="143" spans="1:69" x14ac:dyDescent="0.25">
      <c r="A143" s="348" t="s">
        <v>1319</v>
      </c>
      <c r="B143" s="348" t="s">
        <v>1320</v>
      </c>
      <c r="C143" s="348" t="s">
        <v>1578</v>
      </c>
      <c r="D143" s="348" t="s">
        <v>1579</v>
      </c>
      <c r="AI143" s="348">
        <v>4561.5791326143844</v>
      </c>
      <c r="AJ143" s="348">
        <v>4735.8194002367763</v>
      </c>
      <c r="AK143" s="348">
        <v>4866.2394115313646</v>
      </c>
      <c r="AL143" s="348">
        <v>5114.4363039695081</v>
      </c>
      <c r="AM143" s="348">
        <v>5322.7296312714834</v>
      </c>
      <c r="AN143" s="348">
        <v>5523.3122539396454</v>
      </c>
      <c r="AO143" s="348">
        <v>5624.0239365059906</v>
      </c>
      <c r="AP143" s="348">
        <v>5871.7229755726776</v>
      </c>
      <c r="AQ143" s="348">
        <v>6032.6221263049847</v>
      </c>
      <c r="AR143" s="348">
        <v>6176.2354845594937</v>
      </c>
      <c r="AS143" s="348">
        <v>6428.6134189046325</v>
      </c>
      <c r="AT143" s="348">
        <v>6230.0305186485284</v>
      </c>
      <c r="AU143" s="348">
        <v>6409.8627889344589</v>
      </c>
      <c r="AV143" s="348">
        <v>6741.0124884942361</v>
      </c>
      <c r="AW143" s="348">
        <v>7059.9109806856814</v>
      </c>
      <c r="AX143" s="348">
        <v>7452.7423412451808</v>
      </c>
      <c r="AY143" s="348">
        <v>7970.6649102104539</v>
      </c>
      <c r="AZ143" s="348">
        <v>8454.2067533326008</v>
      </c>
      <c r="BA143" s="348">
        <v>8897.8268600686406</v>
      </c>
      <c r="BB143" s="348">
        <v>9156.319064831654</v>
      </c>
      <c r="BC143" s="348">
        <v>9832.1862233864304</v>
      </c>
      <c r="BD143" s="348">
        <v>10618.492600040499</v>
      </c>
      <c r="BE143" s="348">
        <v>11447.693773813529</v>
      </c>
      <c r="BF143" s="348">
        <v>12249.72233480957</v>
      </c>
      <c r="BG143" s="348">
        <v>12909.96630688848</v>
      </c>
      <c r="BH143" s="348">
        <v>13329.779343894739</v>
      </c>
      <c r="BI143" s="348">
        <v>13845.61467823678</v>
      </c>
      <c r="BJ143" s="348">
        <v>14572.48582145653</v>
      </c>
      <c r="BK143" s="348">
        <v>14759.82489457649</v>
      </c>
      <c r="BL143" s="348">
        <v>14637.444291320049</v>
      </c>
      <c r="BM143" s="348">
        <v>13886.651372865101</v>
      </c>
      <c r="BN143" s="348">
        <v>14316.135222568289</v>
      </c>
      <c r="BO143" s="348">
        <v>13249.06506460196</v>
      </c>
      <c r="BP143" s="348">
        <v>13024.940431985529</v>
      </c>
      <c r="BQ143" s="350">
        <v>13752.836740386019</v>
      </c>
    </row>
    <row r="144" spans="1:69" x14ac:dyDescent="0.25">
      <c r="A144" s="348" t="s">
        <v>1321</v>
      </c>
      <c r="B144" s="348" t="s">
        <v>1322</v>
      </c>
      <c r="C144" s="348" t="s">
        <v>1578</v>
      </c>
      <c r="D144" s="348" t="s">
        <v>1579</v>
      </c>
      <c r="AI144" s="348">
        <v>3015.4380049143788</v>
      </c>
      <c r="AJ144" s="348">
        <v>3003.4285013712788</v>
      </c>
      <c r="AK144" s="348">
        <v>3050.2703594091022</v>
      </c>
      <c r="AL144" s="348">
        <v>3055.997351199499</v>
      </c>
      <c r="AM144" s="348">
        <v>3115.167728647059</v>
      </c>
      <c r="AN144" s="348">
        <v>3212.7398346550308</v>
      </c>
      <c r="AO144" s="348">
        <v>3347.097234867641</v>
      </c>
      <c r="AP144" s="348">
        <v>3411.5458631402612</v>
      </c>
      <c r="AQ144" s="348">
        <v>3500.2630055341351</v>
      </c>
      <c r="AR144" s="348">
        <v>3626.887192507565</v>
      </c>
      <c r="AS144" s="348">
        <v>3707.9394958498701</v>
      </c>
      <c r="AT144" s="348">
        <v>3796.1543955112561</v>
      </c>
      <c r="AU144" s="348">
        <v>3892.3311954282872</v>
      </c>
      <c r="AV144" s="348">
        <v>4053.3739505882781</v>
      </c>
      <c r="AW144" s="348">
        <v>4263.3095205378468</v>
      </c>
      <c r="AX144" s="348">
        <v>4473.2186657123038</v>
      </c>
      <c r="AY144" s="348">
        <v>4707.4198045508156</v>
      </c>
      <c r="AZ144" s="348">
        <v>4946.4396782062477</v>
      </c>
      <c r="BA144" s="348">
        <v>5080.3005090726901</v>
      </c>
      <c r="BB144" s="348">
        <v>5301.5404421528101</v>
      </c>
      <c r="BC144" s="348">
        <v>5575.5378556500364</v>
      </c>
      <c r="BD144" s="348">
        <v>5746.0673212526244</v>
      </c>
      <c r="BE144" s="348">
        <v>5944.463274379762</v>
      </c>
      <c r="BF144" s="348">
        <v>6183.6758381957497</v>
      </c>
      <c r="BG144" s="348">
        <v>6464.0297157489667</v>
      </c>
      <c r="BH144" s="348">
        <v>6755.2260825585217</v>
      </c>
      <c r="BI144" s="348">
        <v>7049.0416011215266</v>
      </c>
      <c r="BJ144" s="348">
        <v>7334.5112046116083</v>
      </c>
      <c r="BK144" s="348">
        <v>7635.9789998846591</v>
      </c>
      <c r="BL144" s="348">
        <v>7843.6365544200917</v>
      </c>
      <c r="BM144" s="348">
        <v>7439.8074981213222</v>
      </c>
      <c r="BN144" s="348">
        <v>7837.4333483335786</v>
      </c>
      <c r="BO144" s="348">
        <v>8238.6953819357404</v>
      </c>
      <c r="BP144" s="348">
        <v>8649.7483603366509</v>
      </c>
      <c r="BQ144" s="350">
        <v>8995.8743882560175</v>
      </c>
    </row>
    <row r="145" spans="1:69" x14ac:dyDescent="0.25">
      <c r="A145" s="348" t="s">
        <v>1323</v>
      </c>
      <c r="B145" s="348" t="s">
        <v>1324</v>
      </c>
      <c r="C145" s="348" t="s">
        <v>1578</v>
      </c>
      <c r="D145" s="348" t="s">
        <v>1579</v>
      </c>
      <c r="AI145" s="348">
        <v>4469.298247091042</v>
      </c>
      <c r="AJ145" s="348">
        <v>4470.1025876268159</v>
      </c>
      <c r="AK145" s="348">
        <v>4536.6179773354324</v>
      </c>
      <c r="AL145" s="348">
        <v>4622.689301334276</v>
      </c>
      <c r="AM145" s="348">
        <v>4715.4849993075613</v>
      </c>
      <c r="AN145" s="348">
        <v>4832.2389314488528</v>
      </c>
      <c r="AO145" s="348">
        <v>5029.6669863690468</v>
      </c>
      <c r="AP145" s="348">
        <v>5199.8934990207172</v>
      </c>
      <c r="AQ145" s="348">
        <v>5262.6646002552934</v>
      </c>
      <c r="AR145" s="348">
        <v>5370.8064272136953</v>
      </c>
      <c r="AS145" s="348">
        <v>5569.7619757661232</v>
      </c>
      <c r="AT145" s="348">
        <v>5685.4063144973979</v>
      </c>
      <c r="AU145" s="348">
        <v>5862.9736039464096</v>
      </c>
      <c r="AV145" s="348">
        <v>6112.946698345866</v>
      </c>
      <c r="AW145" s="348">
        <v>6481.6921849055489</v>
      </c>
      <c r="AX145" s="348">
        <v>6835.948301010174</v>
      </c>
      <c r="AY145" s="348">
        <v>7264.938684361553</v>
      </c>
      <c r="AZ145" s="348">
        <v>7757.6658958623721</v>
      </c>
      <c r="BA145" s="348">
        <v>8067.1550087491951</v>
      </c>
      <c r="BB145" s="348">
        <v>8245.8856217138946</v>
      </c>
      <c r="BC145" s="348">
        <v>8764.7149067149876</v>
      </c>
      <c r="BD145" s="348">
        <v>9164.4286043734155</v>
      </c>
      <c r="BE145" s="348">
        <v>9500.7867549731363</v>
      </c>
      <c r="BF145" s="348">
        <v>9872.0880440826331</v>
      </c>
      <c r="BG145" s="348">
        <v>10227.53632016399</v>
      </c>
      <c r="BH145" s="348">
        <v>10563.43883453351</v>
      </c>
      <c r="BI145" s="348">
        <v>10932.029691960581</v>
      </c>
      <c r="BJ145" s="348">
        <v>11355.24999066187</v>
      </c>
      <c r="BK145" s="348">
        <v>11765.0267871468</v>
      </c>
      <c r="BL145" s="348">
        <v>12091.285538115009</v>
      </c>
      <c r="BM145" s="348">
        <v>11746.759617145321</v>
      </c>
      <c r="BN145" s="348">
        <v>12449.413438846879</v>
      </c>
      <c r="BO145" s="348">
        <v>12853.46426817992</v>
      </c>
      <c r="BP145" s="348">
        <v>13367.53346630711</v>
      </c>
      <c r="BQ145" s="350">
        <v>13825.500565310131</v>
      </c>
    </row>
    <row r="146" spans="1:69" x14ac:dyDescent="0.25">
      <c r="A146" s="348" t="s">
        <v>1325</v>
      </c>
      <c r="B146" s="348" t="s">
        <v>1326</v>
      </c>
      <c r="C146" s="348" t="s">
        <v>1578</v>
      </c>
      <c r="D146" s="348" t="s">
        <v>1579</v>
      </c>
      <c r="AI146" s="348">
        <v>1422.1505688128391</v>
      </c>
      <c r="AJ146" s="348">
        <v>1494.2403244677689</v>
      </c>
      <c r="AK146" s="348">
        <v>1571.8270420314041</v>
      </c>
      <c r="AL146" s="348">
        <v>1602.596332390953</v>
      </c>
      <c r="AM146" s="348">
        <v>1675.5977232422031</v>
      </c>
      <c r="AN146" s="348">
        <v>1709.6943351293951</v>
      </c>
      <c r="AO146" s="348">
        <v>1786.182290166</v>
      </c>
      <c r="AP146" s="348">
        <v>1837.696570499663</v>
      </c>
      <c r="AQ146" s="348">
        <v>1856.6907848871381</v>
      </c>
      <c r="AR146" s="348">
        <v>1860.700521786124</v>
      </c>
      <c r="AS146" s="348">
        <v>1932.157932234147</v>
      </c>
      <c r="AT146" s="348">
        <v>2004.033502159552</v>
      </c>
      <c r="AU146" s="348">
        <v>2024.7872730486361</v>
      </c>
      <c r="AV146" s="348">
        <v>2127.3730216013232</v>
      </c>
      <c r="AW146" s="348">
        <v>2178.6647467433199</v>
      </c>
      <c r="AX146" s="348">
        <v>2275.0161441925579</v>
      </c>
      <c r="AY146" s="348">
        <v>2381.0202456207321</v>
      </c>
      <c r="AZ146" s="348">
        <v>2470.3146212788538</v>
      </c>
      <c r="BA146" s="348">
        <v>2589.1663585468582</v>
      </c>
      <c r="BB146" s="348">
        <v>2538.193417518542</v>
      </c>
      <c r="BC146" s="348">
        <v>2651.378048982262</v>
      </c>
      <c r="BD146" s="348">
        <v>2749.319581665728</v>
      </c>
      <c r="BE146" s="348">
        <v>2894.2270504814219</v>
      </c>
      <c r="BF146" s="348">
        <v>2914.3751596673851</v>
      </c>
      <c r="BG146" s="348">
        <v>2930.6172403620571</v>
      </c>
      <c r="BH146" s="348">
        <v>2986.9586672987889</v>
      </c>
      <c r="BI146" s="348">
        <v>3057.2609156816211</v>
      </c>
      <c r="BJ146" s="348">
        <v>2924.680961932725</v>
      </c>
      <c r="BK146" s="348">
        <v>2846.4182812464942</v>
      </c>
      <c r="BL146" s="348">
        <v>2773.2863988723579</v>
      </c>
      <c r="BM146" s="348">
        <v>2517.1104448659321</v>
      </c>
      <c r="BN146" s="348">
        <v>2544.7824955121409</v>
      </c>
      <c r="BO146" s="348">
        <v>2577.5454412776912</v>
      </c>
      <c r="BP146" s="348">
        <v>2595.8295105854249</v>
      </c>
      <c r="BQ146" s="350">
        <v>2640.2854455253582</v>
      </c>
    </row>
    <row r="147" spans="1:69" x14ac:dyDescent="0.25">
      <c r="A147" s="348" t="s">
        <v>1327</v>
      </c>
      <c r="B147" s="348" t="s">
        <v>1328</v>
      </c>
      <c r="C147" s="348" t="s">
        <v>1578</v>
      </c>
      <c r="D147" s="348" t="s">
        <v>1579</v>
      </c>
      <c r="AI147" s="348">
        <v>6636.7162223125952</v>
      </c>
      <c r="AJ147" s="348">
        <v>6501.0924428471299</v>
      </c>
      <c r="AK147" s="348">
        <v>6287.4467748445804</v>
      </c>
      <c r="AL147" s="348">
        <v>6353.6788547065498</v>
      </c>
      <c r="AM147" s="348">
        <v>6413.6565451266952</v>
      </c>
      <c r="AN147" s="348">
        <v>6630.7392566113194</v>
      </c>
      <c r="AO147" s="348">
        <v>6836.6081904789417</v>
      </c>
      <c r="AP147" s="348">
        <v>7096.0292752908445</v>
      </c>
      <c r="AQ147" s="348">
        <v>7144.5980365080804</v>
      </c>
      <c r="AR147" s="348">
        <v>7402.4103720986213</v>
      </c>
      <c r="AS147" s="348">
        <v>7864.0361996050724</v>
      </c>
      <c r="AT147" s="348">
        <v>8196.8439257535611</v>
      </c>
      <c r="AU147" s="348">
        <v>8613.7547857329682</v>
      </c>
      <c r="AV147" s="348">
        <v>9136.669163297518</v>
      </c>
      <c r="AW147" s="348">
        <v>9800.4391448441802</v>
      </c>
      <c r="AX147" s="348">
        <v>10463.941917770549</v>
      </c>
      <c r="AY147" s="348">
        <v>11330.41618487835</v>
      </c>
      <c r="AZ147" s="348">
        <v>12358.023202763199</v>
      </c>
      <c r="BA147" s="348">
        <v>13094.41381658221</v>
      </c>
      <c r="BB147" s="348">
        <v>13330.25906595306</v>
      </c>
      <c r="BC147" s="348">
        <v>14252.09205755782</v>
      </c>
      <c r="BD147" s="348">
        <v>15113.79764002533</v>
      </c>
      <c r="BE147" s="348">
        <v>15847.43595254006</v>
      </c>
      <c r="BF147" s="348">
        <v>16549.39017825104</v>
      </c>
      <c r="BG147" s="348">
        <v>17214.913795953031</v>
      </c>
      <c r="BH147" s="348">
        <v>17783.958356023679</v>
      </c>
      <c r="BI147" s="348">
        <v>18377.100444705789</v>
      </c>
      <c r="BJ147" s="348">
        <v>19161.72504644419</v>
      </c>
      <c r="BK147" s="348">
        <v>20046.35482030813</v>
      </c>
      <c r="BL147" s="348">
        <v>20852.682066276659</v>
      </c>
      <c r="BM147" s="348">
        <v>20730.060645778609</v>
      </c>
      <c r="BN147" s="348">
        <v>22189.5949316763</v>
      </c>
      <c r="BO147" s="348">
        <v>22841.994408202339</v>
      </c>
      <c r="BP147" s="348">
        <v>23800.746366579369</v>
      </c>
      <c r="BQ147" s="350">
        <v>24836.82040194135</v>
      </c>
    </row>
    <row r="148" spans="1:69" x14ac:dyDescent="0.25">
      <c r="A148" s="348" t="s">
        <v>1329</v>
      </c>
      <c r="B148" s="348" t="s">
        <v>1330</v>
      </c>
      <c r="C148" s="348" t="s">
        <v>1578</v>
      </c>
      <c r="D148" s="348" t="s">
        <v>1579</v>
      </c>
      <c r="AI148" s="348">
        <v>20586.22775324099</v>
      </c>
      <c r="AJ148" s="348">
        <v>19384.817931225829</v>
      </c>
      <c r="AK148" s="348">
        <v>15280.38860063806</v>
      </c>
      <c r="AL148" s="348">
        <v>12861.69491410979</v>
      </c>
      <c r="AM148" s="348">
        <v>11686.43865960941</v>
      </c>
      <c r="AN148" s="348">
        <v>12164.203715999631</v>
      </c>
      <c r="AO148" s="348">
        <v>12873.2007572979</v>
      </c>
      <c r="AP148" s="348">
        <v>14045.004514454389</v>
      </c>
      <c r="AQ148" s="348">
        <v>15202.911802793271</v>
      </c>
      <c r="AR148" s="348">
        <v>15143.193710293859</v>
      </c>
      <c r="AS148" s="348">
        <v>15771.42695953277</v>
      </c>
      <c r="AT148" s="348">
        <v>16933.022549049601</v>
      </c>
      <c r="AU148" s="348">
        <v>18216.54525812716</v>
      </c>
      <c r="AV148" s="348">
        <v>20302.984879840271</v>
      </c>
      <c r="AW148" s="348">
        <v>21867.286146479069</v>
      </c>
      <c r="AX148" s="348">
        <v>23944.701994871899</v>
      </c>
      <c r="AY148" s="348">
        <v>26129.339256693849</v>
      </c>
      <c r="AZ148" s="348">
        <v>29370.773973717609</v>
      </c>
      <c r="BA148" s="348">
        <v>30445.780946493622</v>
      </c>
      <c r="BB148" s="348">
        <v>26217.544929389111</v>
      </c>
      <c r="BC148" s="348">
        <v>26887.49130577008</v>
      </c>
      <c r="BD148" s="348">
        <v>29240.748785139189</v>
      </c>
      <c r="BE148" s="348">
        <v>30920.33040220803</v>
      </c>
      <c r="BF148" s="348">
        <v>32474.64135335539</v>
      </c>
      <c r="BG148" s="348">
        <v>33975.08437569633</v>
      </c>
      <c r="BH148" s="348">
        <v>35251.298693177509</v>
      </c>
      <c r="BI148" s="348">
        <v>36618.146841783782</v>
      </c>
      <c r="BJ148" s="348">
        <v>38774.489201182223</v>
      </c>
      <c r="BK148" s="348">
        <v>41019.790163287762</v>
      </c>
      <c r="BL148" s="348">
        <v>43062.322842531452</v>
      </c>
      <c r="BM148" s="348">
        <v>43091.797372352557</v>
      </c>
      <c r="BN148" s="348">
        <v>45873.527323948569</v>
      </c>
      <c r="BO148" s="348">
        <v>46651.214581024688</v>
      </c>
      <c r="BP148" s="348">
        <v>46159.708173308311</v>
      </c>
      <c r="BQ148" s="350">
        <v>47165.366564305077</v>
      </c>
    </row>
    <row r="149" spans="1:69" x14ac:dyDescent="0.25">
      <c r="A149" s="348" t="s">
        <v>1331</v>
      </c>
      <c r="B149" s="348" t="s">
        <v>1332</v>
      </c>
      <c r="C149" s="348" t="s">
        <v>1578</v>
      </c>
      <c r="D149" s="348" t="s">
        <v>1579</v>
      </c>
      <c r="AI149" s="348">
        <v>81450.572406405874</v>
      </c>
      <c r="AJ149" s="348">
        <v>87313.717618106559</v>
      </c>
      <c r="AK149" s="348">
        <v>87729.398597958061</v>
      </c>
      <c r="AL149" s="348">
        <v>90195.662900999741</v>
      </c>
      <c r="AM149" s="348">
        <v>92375.358807513854</v>
      </c>
      <c r="AN149" s="348">
        <v>92391.339862554538</v>
      </c>
      <c r="AO149" s="348">
        <v>92416.518664069779</v>
      </c>
      <c r="AP149" s="348">
        <v>96211.730804036721</v>
      </c>
      <c r="AQ149" s="348">
        <v>101364.6753340858</v>
      </c>
      <c r="AR149" s="348">
        <v>108180.4027402122</v>
      </c>
      <c r="AS149" s="348">
        <v>114141.5852956224</v>
      </c>
      <c r="AT149" s="348">
        <v>116258.4268129258</v>
      </c>
      <c r="AU149" s="348">
        <v>118757.5305262364</v>
      </c>
      <c r="AV149" s="348">
        <v>120396.2578431787</v>
      </c>
      <c r="AW149" s="348">
        <v>123720.26149948841</v>
      </c>
      <c r="AX149" s="348">
        <v>124866.8588104123</v>
      </c>
      <c r="AY149" s="348">
        <v>130284.9675023805</v>
      </c>
      <c r="AZ149" s="348">
        <v>138677.96549187589</v>
      </c>
      <c r="BA149" s="348">
        <v>135812.22230327019</v>
      </c>
      <c r="BB149" s="348">
        <v>129002.2401875167</v>
      </c>
      <c r="BC149" s="348">
        <v>131432.05961631559</v>
      </c>
      <c r="BD149" s="348">
        <v>129885.36976070621</v>
      </c>
      <c r="BE149" s="348">
        <v>128895.4051450476</v>
      </c>
      <c r="BF149" s="348">
        <v>129945.4537836208</v>
      </c>
      <c r="BG149" s="348">
        <v>130247.66168706919</v>
      </c>
      <c r="BH149" s="348">
        <v>130097.2561798004</v>
      </c>
      <c r="BI149" s="348">
        <v>133661.6497291316</v>
      </c>
      <c r="BJ149" s="348">
        <v>132169.83404536769</v>
      </c>
      <c r="BK149" s="348">
        <v>131733.88464929981</v>
      </c>
      <c r="BL149" s="348">
        <v>132724.75274388809</v>
      </c>
      <c r="BM149" s="348">
        <v>129865.629988164</v>
      </c>
      <c r="BN149" s="348">
        <v>136772.4437532922</v>
      </c>
      <c r="BO149" s="348">
        <v>132570.8264634189</v>
      </c>
      <c r="BP149" s="348">
        <v>130048.92038753</v>
      </c>
      <c r="BQ149" s="350">
        <v>128475.27980273819</v>
      </c>
    </row>
    <row r="150" spans="1:69" x14ac:dyDescent="0.25">
      <c r="A150" s="348" t="s">
        <v>1333</v>
      </c>
      <c r="B150" s="348" t="s">
        <v>1334</v>
      </c>
      <c r="C150" s="348" t="s">
        <v>1578</v>
      </c>
      <c r="D150" s="348" t="s">
        <v>1579</v>
      </c>
      <c r="AI150" s="348">
        <v>17508.7863191492</v>
      </c>
      <c r="AJ150" s="348">
        <v>15376.09057690103</v>
      </c>
      <c r="AK150" s="348">
        <v>10582.20701866639</v>
      </c>
      <c r="AL150" s="348">
        <v>10255.141377610071</v>
      </c>
      <c r="AM150" s="348">
        <v>10656.60876543943</v>
      </c>
      <c r="AN150" s="348">
        <v>10707.514996900651</v>
      </c>
      <c r="AO150" s="348">
        <v>11077.86184225967</v>
      </c>
      <c r="AP150" s="348">
        <v>12215.015194018861</v>
      </c>
      <c r="AQ150" s="348">
        <v>13138.40125242551</v>
      </c>
      <c r="AR150" s="348">
        <v>13619.09879948504</v>
      </c>
      <c r="AS150" s="348">
        <v>14554.21317240369</v>
      </c>
      <c r="AT150" s="348">
        <v>15695.90671815301</v>
      </c>
      <c r="AU150" s="348">
        <v>17096.559444025501</v>
      </c>
      <c r="AV150" s="348">
        <v>18717.667552553768</v>
      </c>
      <c r="AW150" s="348">
        <v>20574.11820125104</v>
      </c>
      <c r="AX150" s="348">
        <v>23213.35393558806</v>
      </c>
      <c r="AY150" s="348">
        <v>26431.814022276649</v>
      </c>
      <c r="AZ150" s="348">
        <v>29423.737123506278</v>
      </c>
      <c r="BA150" s="348">
        <v>28726.972286952161</v>
      </c>
      <c r="BB150" s="348">
        <v>24520.679147548861</v>
      </c>
      <c r="BC150" s="348">
        <v>24119.73078489392</v>
      </c>
      <c r="BD150" s="348">
        <v>25308.732207462599</v>
      </c>
      <c r="BE150" s="348">
        <v>27496.54545836354</v>
      </c>
      <c r="BF150" s="348">
        <v>28375.18428872629</v>
      </c>
      <c r="BG150" s="348">
        <v>29243.741250262861</v>
      </c>
      <c r="BH150" s="348">
        <v>30599.613313414731</v>
      </c>
      <c r="BI150" s="348">
        <v>31668.51484426617</v>
      </c>
      <c r="BJ150" s="348">
        <v>33036.391594343688</v>
      </c>
      <c r="BK150" s="348">
        <v>34729.706276305653</v>
      </c>
      <c r="BL150" s="348">
        <v>35208.193459085873</v>
      </c>
      <c r="BM150" s="348">
        <v>34225.897604405807</v>
      </c>
      <c r="BN150" s="348">
        <v>36912.013060216057</v>
      </c>
      <c r="BO150" s="348">
        <v>37718.709795836723</v>
      </c>
      <c r="BP150" s="348">
        <v>37277.721722131733</v>
      </c>
      <c r="BQ150" s="350">
        <v>37611.669935940423</v>
      </c>
    </row>
    <row r="151" spans="1:69" x14ac:dyDescent="0.25">
      <c r="A151" s="348" t="s">
        <v>1335</v>
      </c>
      <c r="B151" s="348" t="s">
        <v>1336</v>
      </c>
      <c r="C151" s="348" t="s">
        <v>1578</v>
      </c>
      <c r="D151" s="348" t="s">
        <v>1579</v>
      </c>
      <c r="AI151" s="348">
        <v>55300.744264988833</v>
      </c>
      <c r="AJ151" s="348">
        <v>54602.054490162132</v>
      </c>
      <c r="AK151" s="348">
        <v>58652.789919492832</v>
      </c>
      <c r="AL151" s="348">
        <v>59589.975909515961</v>
      </c>
      <c r="AM151" s="348">
        <v>60120.658244040897</v>
      </c>
      <c r="AN151" s="348">
        <v>60205.708639414712</v>
      </c>
      <c r="AO151" s="348">
        <v>59115.23361383356</v>
      </c>
      <c r="AP151" s="348">
        <v>58639.525029681899</v>
      </c>
      <c r="AQ151" s="348">
        <v>55296.500764498553</v>
      </c>
      <c r="AR151" s="348">
        <v>53348.012691565527</v>
      </c>
      <c r="AS151" s="348">
        <v>55994.760697992977</v>
      </c>
      <c r="AT151" s="348">
        <v>57173.859098706293</v>
      </c>
      <c r="AU151" s="348">
        <v>61625.956006811422</v>
      </c>
      <c r="AV151" s="348">
        <v>67994.777526458973</v>
      </c>
      <c r="AW151" s="348">
        <v>84004.455806130238</v>
      </c>
      <c r="AX151" s="348">
        <v>87185.525444155326</v>
      </c>
      <c r="AY151" s="348">
        <v>93828.319875841669</v>
      </c>
      <c r="AZ151" s="348">
        <v>102879.6391645585</v>
      </c>
      <c r="BA151" s="348">
        <v>102474.6685629261</v>
      </c>
      <c r="BB151" s="348">
        <v>104911.14033646209</v>
      </c>
      <c r="BC151" s="348">
        <v>130758.2806978998</v>
      </c>
      <c r="BD151" s="348">
        <v>155385.32420854119</v>
      </c>
      <c r="BE151" s="348">
        <v>164239.26192345659</v>
      </c>
      <c r="BF151" s="348">
        <v>174569.5231712668</v>
      </c>
      <c r="BG151" s="348">
        <v>162813.43934858931</v>
      </c>
      <c r="BH151" s="348">
        <v>123194.0672912747</v>
      </c>
      <c r="BI151" s="348">
        <v>120530.0528583142</v>
      </c>
      <c r="BJ151" s="348">
        <v>133322.6326777444</v>
      </c>
      <c r="BK151" s="348">
        <v>139541.15724876919</v>
      </c>
      <c r="BL151" s="348">
        <v>133453.89602603731</v>
      </c>
      <c r="BM151" s="348">
        <v>59662.485586455063</v>
      </c>
      <c r="BN151" s="348">
        <v>73374.448682958886</v>
      </c>
      <c r="BO151" s="348">
        <v>59921.441691873013</v>
      </c>
      <c r="BP151" s="348">
        <v>104815.20003062001</v>
      </c>
      <c r="BQ151" s="350">
        <v>111693.50283143439</v>
      </c>
    </row>
    <row r="152" spans="1:69" x14ac:dyDescent="0.25">
      <c r="A152" s="348" t="s">
        <v>1337</v>
      </c>
      <c r="B152" s="348" t="s">
        <v>1338</v>
      </c>
      <c r="C152" s="348" t="s">
        <v>1578</v>
      </c>
      <c r="D152" s="348" t="s">
        <v>1579</v>
      </c>
    </row>
    <row r="153" spans="1:69" x14ac:dyDescent="0.25">
      <c r="A153" s="348" t="s">
        <v>1339</v>
      </c>
      <c r="B153" s="348" t="s">
        <v>1340</v>
      </c>
      <c r="C153" s="348" t="s">
        <v>1578</v>
      </c>
      <c r="D153" s="348" t="s">
        <v>1579</v>
      </c>
      <c r="AI153" s="348">
        <v>4418.66015625</v>
      </c>
      <c r="AJ153" s="348">
        <v>4656.1259765625</v>
      </c>
      <c r="AK153" s="348">
        <v>4483.24951171875</v>
      </c>
      <c r="AL153" s="348">
        <v>4379.76416015625</v>
      </c>
      <c r="AM153" s="348">
        <v>4771.0927734375</v>
      </c>
      <c r="AN153" s="348">
        <v>4444.228515625</v>
      </c>
      <c r="AO153" s="348">
        <v>4916.47998046875</v>
      </c>
      <c r="AP153" s="348">
        <v>4766.1103515625</v>
      </c>
      <c r="AQ153" s="348">
        <v>5033.92333984375</v>
      </c>
      <c r="AR153" s="348">
        <v>5043.6650390625</v>
      </c>
      <c r="AS153" s="348">
        <v>5100.11572265625</v>
      </c>
      <c r="AT153" s="348">
        <v>5417.57861328125</v>
      </c>
      <c r="AU153" s="348">
        <v>5544.07177734375</v>
      </c>
      <c r="AV153" s="348">
        <v>5810.05322265625</v>
      </c>
      <c r="AW153" s="348">
        <v>5996.39013671875</v>
      </c>
      <c r="AX153" s="348">
        <v>6103.42236328125</v>
      </c>
      <c r="AY153" s="348">
        <v>6488.673828125</v>
      </c>
      <c r="AZ153" s="348">
        <v>6620.59033203125</v>
      </c>
      <c r="BA153" s="348">
        <v>6901.95068359375</v>
      </c>
      <c r="BB153" s="348">
        <v>7063.72705078125</v>
      </c>
      <c r="BC153" s="348">
        <v>7210.63671875</v>
      </c>
      <c r="BD153" s="348">
        <v>7503.79296875</v>
      </c>
      <c r="BE153" s="348">
        <v>7628.64404296875</v>
      </c>
      <c r="BF153" s="348">
        <v>7839.0322265625</v>
      </c>
      <c r="BG153" s="348">
        <v>7951.79833984375</v>
      </c>
      <c r="BH153" s="348">
        <v>8198.80859375</v>
      </c>
      <c r="BI153" s="348">
        <v>8141.9404296875</v>
      </c>
      <c r="BJ153" s="348">
        <v>8450.0087890625</v>
      </c>
      <c r="BK153" s="348">
        <v>8611.75</v>
      </c>
      <c r="BL153" s="348">
        <v>8768.17578125</v>
      </c>
      <c r="BM153" s="348">
        <v>8054.56298828125</v>
      </c>
      <c r="BN153" s="348">
        <v>8623.265625</v>
      </c>
      <c r="BO153" s="348">
        <v>8690.4482421875</v>
      </c>
      <c r="BP153" s="348">
        <v>8915.3515625</v>
      </c>
      <c r="BQ153" s="350">
        <v>9162.7470703125</v>
      </c>
    </row>
    <row r="154" spans="1:69" x14ac:dyDescent="0.25">
      <c r="A154" s="348" t="s">
        <v>1341</v>
      </c>
      <c r="B154" s="348" t="s">
        <v>1342</v>
      </c>
      <c r="C154" s="348" t="s">
        <v>1578</v>
      </c>
      <c r="D154" s="348" t="s">
        <v>1579</v>
      </c>
    </row>
    <row r="155" spans="1:69" x14ac:dyDescent="0.25">
      <c r="A155" s="348" t="s">
        <v>1343</v>
      </c>
      <c r="B155" s="348" t="s">
        <v>1344</v>
      </c>
      <c r="C155" s="348" t="s">
        <v>1578</v>
      </c>
      <c r="D155" s="348" t="s">
        <v>1579</v>
      </c>
      <c r="AI155" s="348">
        <v>15902.89432322782</v>
      </c>
      <c r="AJ155" s="348">
        <v>13342.06002379623</v>
      </c>
      <c r="AK155" s="348">
        <v>9461.4277260657746</v>
      </c>
      <c r="AL155" s="348">
        <v>9363.5930993511793</v>
      </c>
      <c r="AM155" s="348">
        <v>6490.3531027176932</v>
      </c>
      <c r="AN155" s="348">
        <v>6428.8397944875214</v>
      </c>
      <c r="AO155" s="348">
        <v>6063.1405169366444</v>
      </c>
      <c r="AP155" s="348">
        <v>6185.8395247323188</v>
      </c>
      <c r="AQ155" s="348">
        <v>5783.4859375148262</v>
      </c>
      <c r="AR155" s="348">
        <v>5597.4651285029549</v>
      </c>
      <c r="AS155" s="348">
        <v>5727.0792252535184</v>
      </c>
      <c r="AT155" s="348">
        <v>6090.0347435611202</v>
      </c>
      <c r="AU155" s="348">
        <v>6580.2784143683784</v>
      </c>
      <c r="AV155" s="348">
        <v>7034.3578491168691</v>
      </c>
      <c r="AW155" s="348">
        <v>7573.6178454750952</v>
      </c>
      <c r="AX155" s="348">
        <v>8161.4734472476484</v>
      </c>
      <c r="AY155" s="348">
        <v>8577.0285803728621</v>
      </c>
      <c r="AZ155" s="348">
        <v>8854.8339761672432</v>
      </c>
      <c r="BA155" s="348">
        <v>9563.6981429093867</v>
      </c>
      <c r="BB155" s="348">
        <v>9001.2343208162165</v>
      </c>
      <c r="BC155" s="348">
        <v>9649.9509930271015</v>
      </c>
      <c r="BD155" s="348">
        <v>10217.30877612553</v>
      </c>
      <c r="BE155" s="348">
        <v>10158.385467688289</v>
      </c>
      <c r="BF155" s="348">
        <v>11080.06345853405</v>
      </c>
      <c r="BG155" s="348">
        <v>11641.120843657691</v>
      </c>
      <c r="BH155" s="348">
        <v>11691.0797484184</v>
      </c>
      <c r="BI155" s="348">
        <v>12377.366678394041</v>
      </c>
      <c r="BJ155" s="348">
        <v>13118.821936960539</v>
      </c>
      <c r="BK155" s="348">
        <v>13895.50436556919</v>
      </c>
      <c r="BL155" s="348">
        <v>14621.240136228589</v>
      </c>
      <c r="BM155" s="348">
        <v>13559.26002174829</v>
      </c>
      <c r="BN155" s="348">
        <v>15682.07032846535</v>
      </c>
      <c r="BO155" s="348">
        <v>15358.015354886669</v>
      </c>
      <c r="BP155" s="348">
        <v>15990.479331115201</v>
      </c>
      <c r="BQ155" s="350">
        <v>16376.611370426461</v>
      </c>
    </row>
    <row r="156" spans="1:69" x14ac:dyDescent="0.25">
      <c r="A156" s="348" t="s">
        <v>1345</v>
      </c>
      <c r="B156" s="348" t="s">
        <v>1346</v>
      </c>
      <c r="C156" s="348" t="s">
        <v>1578</v>
      </c>
      <c r="D156" s="348" t="s">
        <v>1579</v>
      </c>
      <c r="AI156" s="348">
        <v>1968.2723977142359</v>
      </c>
      <c r="AJ156" s="348">
        <v>1789.8416936624881</v>
      </c>
      <c r="AK156" s="348">
        <v>1757.294597752594</v>
      </c>
      <c r="AL156" s="348">
        <v>1740.295135942031</v>
      </c>
      <c r="AM156" s="348">
        <v>1686.341908333515</v>
      </c>
      <c r="AN156" s="348">
        <v>1661.2706246706091</v>
      </c>
      <c r="AO156" s="348">
        <v>1643.3257962889049</v>
      </c>
      <c r="AP156" s="348">
        <v>1649.448090063059</v>
      </c>
      <c r="AQ156" s="348">
        <v>1658.8884925306611</v>
      </c>
      <c r="AR156" s="348">
        <v>1681.359332264931</v>
      </c>
      <c r="AS156" s="348">
        <v>1701.443202535824</v>
      </c>
      <c r="AT156" s="348">
        <v>1748.5035092917769</v>
      </c>
      <c r="AU156" s="348">
        <v>1486.4342974177109</v>
      </c>
      <c r="AV156" s="348">
        <v>1584.7492523236399</v>
      </c>
      <c r="AW156" s="348">
        <v>1620.1195379329311</v>
      </c>
      <c r="AX156" s="348">
        <v>1648.176315540089</v>
      </c>
      <c r="AY156" s="348">
        <v>1686.8633546001649</v>
      </c>
      <c r="AZ156" s="348">
        <v>1731.6175179497559</v>
      </c>
      <c r="BA156" s="348">
        <v>1794.4023588732921</v>
      </c>
      <c r="BB156" s="348">
        <v>1673.1555146672331</v>
      </c>
      <c r="BC156" s="348">
        <v>1635.2451147305881</v>
      </c>
      <c r="BD156" s="348">
        <v>1614.551377737849</v>
      </c>
      <c r="BE156" s="348">
        <v>1617.79082882481</v>
      </c>
      <c r="BF156" s="348">
        <v>1610.6023078965979</v>
      </c>
      <c r="BG156" s="348">
        <v>1620.357889066004</v>
      </c>
      <c r="BH156" s="348">
        <v>1627.5806134224019</v>
      </c>
      <c r="BI156" s="348">
        <v>1648.9122697929581</v>
      </c>
      <c r="BJ156" s="348">
        <v>1669.727642672779</v>
      </c>
      <c r="BK156" s="348">
        <v>1678.7862326949121</v>
      </c>
      <c r="BL156" s="348">
        <v>1707.8315383003901</v>
      </c>
      <c r="BM156" s="348">
        <v>1545.727143792039</v>
      </c>
      <c r="BN156" s="348">
        <v>1577.432460565288</v>
      </c>
      <c r="BO156" s="348">
        <v>1602.713683523368</v>
      </c>
      <c r="BP156" s="348">
        <v>1629.4609724864199</v>
      </c>
      <c r="BQ156" s="350">
        <v>1657.0497062296849</v>
      </c>
    </row>
    <row r="157" spans="1:69" x14ac:dyDescent="0.25">
      <c r="A157" s="348" t="s">
        <v>1347</v>
      </c>
      <c r="B157" s="348" t="s">
        <v>1348</v>
      </c>
      <c r="C157" s="348" t="s">
        <v>1578</v>
      </c>
      <c r="D157" s="348" t="s">
        <v>1579</v>
      </c>
      <c r="AI157" s="348">
        <v>8945.8047866527686</v>
      </c>
      <c r="AJ157" s="348">
        <v>8799.2551092746235</v>
      </c>
      <c r="AK157" s="348">
        <v>9120.9918309279001</v>
      </c>
      <c r="AL157" s="348">
        <v>9378.5224365304293</v>
      </c>
      <c r="AM157" s="348">
        <v>9866.0750283699253</v>
      </c>
      <c r="AN157" s="348">
        <v>10894.17302365851</v>
      </c>
      <c r="AO157" s="348">
        <v>11495.09886390628</v>
      </c>
      <c r="AP157" s="348">
        <v>12210.96872089158</v>
      </c>
      <c r="AQ157" s="348">
        <v>12884.722319376269</v>
      </c>
      <c r="AR157" s="348">
        <v>13449.202673015279</v>
      </c>
      <c r="AS157" s="348">
        <v>13738.28094088754</v>
      </c>
      <c r="AT157" s="348">
        <v>12977.999066561169</v>
      </c>
      <c r="AU157" s="348">
        <v>13689.806556194921</v>
      </c>
      <c r="AV157" s="348">
        <v>15316.11928149985</v>
      </c>
      <c r="AW157" s="348">
        <v>15958.655775946359</v>
      </c>
      <c r="AX157" s="348">
        <v>13942.87538916618</v>
      </c>
      <c r="AY157" s="348">
        <v>16829.976820815689</v>
      </c>
      <c r="AZ157" s="348">
        <v>17439.950486262529</v>
      </c>
      <c r="BA157" s="348">
        <v>18344.486645543609</v>
      </c>
      <c r="BB157" s="348">
        <v>16230.008936126351</v>
      </c>
      <c r="BC157" s="348">
        <v>16730.014420016709</v>
      </c>
      <c r="BD157" s="348">
        <v>17581.767669775159</v>
      </c>
      <c r="BE157" s="348">
        <v>17390.14749954217</v>
      </c>
      <c r="BF157" s="348">
        <v>17986.890736164522</v>
      </c>
      <c r="BG157" s="348">
        <v>18765.35921183438</v>
      </c>
      <c r="BH157" s="348">
        <v>18829.448152911151</v>
      </c>
      <c r="BI157" s="348">
        <v>19345.179234354091</v>
      </c>
      <c r="BJ157" s="348">
        <v>20036.71653549491</v>
      </c>
      <c r="BK157" s="348">
        <v>21072.58052496942</v>
      </c>
      <c r="BL157" s="348">
        <v>21855.501224578969</v>
      </c>
      <c r="BM157" s="348">
        <v>14242.97507011623</v>
      </c>
      <c r="BN157" s="348">
        <v>19052.622490431058</v>
      </c>
      <c r="BO157" s="348">
        <v>21357.811251115309</v>
      </c>
      <c r="BP157" s="348">
        <v>22333.047713817461</v>
      </c>
      <c r="BQ157" s="350">
        <v>23034.40984048391</v>
      </c>
    </row>
    <row r="158" spans="1:69" x14ac:dyDescent="0.25">
      <c r="A158" s="348" t="s">
        <v>1349</v>
      </c>
      <c r="B158" s="348" t="s">
        <v>1350</v>
      </c>
      <c r="C158" s="348" t="s">
        <v>1578</v>
      </c>
      <c r="D158" s="348" t="s">
        <v>1579</v>
      </c>
      <c r="AI158" s="348">
        <v>9205.1446947803306</v>
      </c>
      <c r="AJ158" s="348">
        <v>9095.2618631446549</v>
      </c>
      <c r="AK158" s="348">
        <v>9368.715748676057</v>
      </c>
      <c r="AL158" s="348">
        <v>9318.9038437747986</v>
      </c>
      <c r="AM158" s="348">
        <v>9316.9312146231805</v>
      </c>
      <c r="AN158" s="348">
        <v>9366.0826222558608</v>
      </c>
      <c r="AO158" s="348">
        <v>9618.5687984538399</v>
      </c>
      <c r="AP158" s="348">
        <v>9752.916413503528</v>
      </c>
      <c r="AQ158" s="348">
        <v>9957.3272538444853</v>
      </c>
      <c r="AR158" s="348">
        <v>10015.55268574519</v>
      </c>
      <c r="AS158" s="348">
        <v>10377.118633577749</v>
      </c>
      <c r="AT158" s="348">
        <v>10360.03973765222</v>
      </c>
      <c r="AU158" s="348">
        <v>10367.43330954094</v>
      </c>
      <c r="AV158" s="348">
        <v>10569.360550919189</v>
      </c>
      <c r="AW158" s="348">
        <v>11141.106356157061</v>
      </c>
      <c r="AX158" s="348">
        <v>11442.411443594379</v>
      </c>
      <c r="AY158" s="348">
        <v>11811.968610274</v>
      </c>
      <c r="AZ158" s="348">
        <v>12144.084037952989</v>
      </c>
      <c r="BA158" s="348">
        <v>12379.39172964625</v>
      </c>
      <c r="BB158" s="348">
        <v>12295.78326389167</v>
      </c>
      <c r="BC158" s="348">
        <v>12616.921437154049</v>
      </c>
      <c r="BD158" s="348">
        <v>12850.982950665421</v>
      </c>
      <c r="BE158" s="348">
        <v>12973.57331473677</v>
      </c>
      <c r="BF158" s="348">
        <v>12954.75618441078</v>
      </c>
      <c r="BG158" s="348">
        <v>13111.288027431439</v>
      </c>
      <c r="BH158" s="348">
        <v>13259.93102421123</v>
      </c>
      <c r="BI158" s="348">
        <v>13645.835900334831</v>
      </c>
      <c r="BJ158" s="348">
        <v>13723.83570904613</v>
      </c>
      <c r="BK158" s="348">
        <v>13842.640083517421</v>
      </c>
      <c r="BL158" s="348">
        <v>13860.93439860189</v>
      </c>
      <c r="BM158" s="348">
        <v>13244.125517565009</v>
      </c>
      <c r="BN158" s="348">
        <v>13650.495830150059</v>
      </c>
      <c r="BO158" s="348">
        <v>14243.88485771484</v>
      </c>
      <c r="BP158" s="348">
        <v>14296.295432109229</v>
      </c>
      <c r="BQ158" s="350">
        <v>14355.140595786301</v>
      </c>
    </row>
    <row r="159" spans="1:69" x14ac:dyDescent="0.25">
      <c r="A159" s="348" t="s">
        <v>1351</v>
      </c>
      <c r="B159" s="348" t="s">
        <v>1352</v>
      </c>
      <c r="C159" s="348" t="s">
        <v>1578</v>
      </c>
      <c r="D159" s="348" t="s">
        <v>1579</v>
      </c>
      <c r="AI159" s="348">
        <v>17169.592584049638</v>
      </c>
      <c r="AJ159" s="348">
        <v>17511.73130928084</v>
      </c>
      <c r="AK159" s="348">
        <v>17796.405964286299</v>
      </c>
      <c r="AL159" s="348">
        <v>17970.587184949389</v>
      </c>
      <c r="AM159" s="348">
        <v>18422.819927555971</v>
      </c>
      <c r="AN159" s="348">
        <v>17028.121500369689</v>
      </c>
      <c r="AO159" s="348">
        <v>17775.872786914751</v>
      </c>
      <c r="AP159" s="348">
        <v>18737.64264432307</v>
      </c>
      <c r="AQ159" s="348">
        <v>19573.065453932752</v>
      </c>
      <c r="AR159" s="348">
        <v>19793.28528410447</v>
      </c>
      <c r="AS159" s="348">
        <v>20470.493764614839</v>
      </c>
      <c r="AT159" s="348">
        <v>20078.218390873892</v>
      </c>
      <c r="AU159" s="348">
        <v>19744.79336534156</v>
      </c>
      <c r="AV159" s="348">
        <v>19701.463387656899</v>
      </c>
      <c r="AW159" s="348">
        <v>20127.22428477721</v>
      </c>
      <c r="AX159" s="348">
        <v>20277.255281850292</v>
      </c>
      <c r="AY159" s="348">
        <v>20965.825607404629</v>
      </c>
      <c r="AZ159" s="348">
        <v>21102.268831462941</v>
      </c>
      <c r="BA159" s="348">
        <v>20992.560261822931</v>
      </c>
      <c r="BB159" s="348">
        <v>19385.543723008781</v>
      </c>
      <c r="BC159" s="348">
        <v>20058.385485975548</v>
      </c>
      <c r="BD159" s="348">
        <v>20457.60016646238</v>
      </c>
      <c r="BE159" s="348">
        <v>20898.93571952917</v>
      </c>
      <c r="BF159" s="348">
        <v>20805.348041191199</v>
      </c>
      <c r="BG159" s="348">
        <v>21069.76616491286</v>
      </c>
      <c r="BH159" s="348">
        <v>21408.928320149331</v>
      </c>
      <c r="BI159" s="348">
        <v>21578.263355409199</v>
      </c>
      <c r="BJ159" s="348">
        <v>21777.522511198229</v>
      </c>
      <c r="BK159" s="348">
        <v>21997.773016747229</v>
      </c>
      <c r="BL159" s="348">
        <v>21704.1859494071</v>
      </c>
      <c r="BM159" s="348">
        <v>19728.481782315819</v>
      </c>
      <c r="BN159" s="348">
        <v>20782.587741754542</v>
      </c>
      <c r="BO159" s="348">
        <v>21391.857369242662</v>
      </c>
      <c r="BP159" s="348">
        <v>21917.248583659999</v>
      </c>
      <c r="BQ159" s="350">
        <v>22039.628701901569</v>
      </c>
    </row>
    <row r="160" spans="1:69" x14ac:dyDescent="0.25">
      <c r="A160" s="348" t="s">
        <v>1353</v>
      </c>
      <c r="B160" s="348" t="s">
        <v>1354</v>
      </c>
      <c r="C160" s="348" t="s">
        <v>1578</v>
      </c>
      <c r="D160" s="348" t="s">
        <v>1579</v>
      </c>
      <c r="AI160" s="348">
        <v>3905.585848915026</v>
      </c>
      <c r="AJ160" s="348">
        <v>3828.4635523026559</v>
      </c>
      <c r="AK160" s="348">
        <v>4029.3412509265709</v>
      </c>
      <c r="AL160" s="348">
        <v>4207.4097745689214</v>
      </c>
      <c r="AM160" s="348">
        <v>4396.9146487618327</v>
      </c>
      <c r="AN160" s="348">
        <v>4703.4330544793838</v>
      </c>
      <c r="AO160" s="348">
        <v>4174.8139215810643</v>
      </c>
      <c r="AP160" s="348">
        <v>3867.3428678170112</v>
      </c>
      <c r="AQ160" s="348">
        <v>3805.886914988349</v>
      </c>
      <c r="AR160" s="348">
        <v>3718.8111208627529</v>
      </c>
      <c r="AS160" s="348">
        <v>3772.2158024994969</v>
      </c>
      <c r="AT160" s="348">
        <v>4000.7305118518079</v>
      </c>
      <c r="AU160" s="348">
        <v>4121.8396455533612</v>
      </c>
      <c r="AV160" s="348">
        <v>4040.655119349829</v>
      </c>
      <c r="AW160" s="348">
        <v>4012.3445001607961</v>
      </c>
      <c r="AX160" s="348">
        <v>4075.1586476741982</v>
      </c>
      <c r="AY160" s="348">
        <v>4075.5764317974272</v>
      </c>
      <c r="AZ160" s="348">
        <v>4222.4129227355643</v>
      </c>
      <c r="BA160" s="348">
        <v>3903.3055874287688</v>
      </c>
      <c r="BB160" s="348">
        <v>4047.2268061788418</v>
      </c>
      <c r="BC160" s="348">
        <v>4269.3584327385388</v>
      </c>
      <c r="BD160" s="348">
        <v>4259.1160160660374</v>
      </c>
      <c r="BE160" s="348">
        <v>4244.0443441374864</v>
      </c>
      <c r="BF160" s="348">
        <v>4469.8535840160721</v>
      </c>
      <c r="BG160" s="348">
        <v>4491.9919386453566</v>
      </c>
      <c r="BH160" s="348">
        <v>4670.1091824367459</v>
      </c>
      <c r="BI160" s="348">
        <v>4896.521954607766</v>
      </c>
      <c r="BJ160" s="348">
        <v>5199.3444796298008</v>
      </c>
      <c r="BK160" s="348">
        <v>5635.3075042686769</v>
      </c>
      <c r="BL160" s="348">
        <v>6405.0756493052459</v>
      </c>
      <c r="BM160" s="348">
        <v>6417.1844121772756</v>
      </c>
      <c r="BN160" s="348">
        <v>6767.9578551052846</v>
      </c>
      <c r="BO160" s="348">
        <v>6936.8651091180318</v>
      </c>
      <c r="BP160" s="348">
        <v>6801.6146924192399</v>
      </c>
      <c r="BQ160" s="350">
        <v>7209.2665499753566</v>
      </c>
    </row>
    <row r="161" spans="1:69" x14ac:dyDescent="0.25">
      <c r="A161" s="348" t="s">
        <v>1355</v>
      </c>
      <c r="B161" s="348" t="s">
        <v>1356</v>
      </c>
      <c r="C161" s="348" t="s">
        <v>1578</v>
      </c>
      <c r="D161" s="348" t="s">
        <v>1579</v>
      </c>
      <c r="AI161" s="348">
        <v>4636.877801882496</v>
      </c>
      <c r="AJ161" s="348">
        <v>4638.6605306089077</v>
      </c>
      <c r="AK161" s="348">
        <v>4713.1654834667715</v>
      </c>
      <c r="AL161" s="348">
        <v>4810.4601492984284</v>
      </c>
      <c r="AM161" s="348">
        <v>4913.2882107950409</v>
      </c>
      <c r="AN161" s="348">
        <v>5037.8461171216786</v>
      </c>
      <c r="AO161" s="348">
        <v>5247.9489612689504</v>
      </c>
      <c r="AP161" s="348">
        <v>5428.1748546821309</v>
      </c>
      <c r="AQ161" s="348">
        <v>5495.9239652760507</v>
      </c>
      <c r="AR161" s="348">
        <v>5616.2977039116813</v>
      </c>
      <c r="AS161" s="348">
        <v>5832.6501072649089</v>
      </c>
      <c r="AT161" s="348">
        <v>5958.7782992948523</v>
      </c>
      <c r="AU161" s="348">
        <v>6149.9507626090644</v>
      </c>
      <c r="AV161" s="348">
        <v>6418.3029393976649</v>
      </c>
      <c r="AW161" s="348">
        <v>6814.6189082376331</v>
      </c>
      <c r="AX161" s="348">
        <v>7196.0106271352861</v>
      </c>
      <c r="AY161" s="348">
        <v>7660.0331350215374</v>
      </c>
      <c r="AZ161" s="348">
        <v>8192.6864619963508</v>
      </c>
      <c r="BA161" s="348">
        <v>8529.9308866859647</v>
      </c>
      <c r="BB161" s="348">
        <v>8729.2056726089104</v>
      </c>
      <c r="BC161" s="348">
        <v>9292.0063727625438</v>
      </c>
      <c r="BD161" s="348">
        <v>9733.0089959260658</v>
      </c>
      <c r="BE161" s="348">
        <v>10120.572525314659</v>
      </c>
      <c r="BF161" s="348">
        <v>10537.11620277315</v>
      </c>
      <c r="BG161" s="348">
        <v>10930.862711205</v>
      </c>
      <c r="BH161" s="348">
        <v>11304.39874797728</v>
      </c>
      <c r="BI161" s="348">
        <v>11717.362961609169</v>
      </c>
      <c r="BJ161" s="348">
        <v>12191.125924447269</v>
      </c>
      <c r="BK161" s="348">
        <v>12652.62276328697</v>
      </c>
      <c r="BL161" s="348">
        <v>13026.192122765109</v>
      </c>
      <c r="BM161" s="348">
        <v>12674.201064598201</v>
      </c>
      <c r="BN161" s="348">
        <v>13466.488875365811</v>
      </c>
      <c r="BO161" s="348">
        <v>13929.302303305611</v>
      </c>
      <c r="BP161" s="348">
        <v>14521.68098165166</v>
      </c>
      <c r="BQ161" s="350">
        <v>15048.55263226506</v>
      </c>
    </row>
    <row r="162" spans="1:69" x14ac:dyDescent="0.25">
      <c r="A162" s="348" t="s">
        <v>1357</v>
      </c>
      <c r="B162" s="348" t="s">
        <v>1358</v>
      </c>
      <c r="C162" s="348" t="s">
        <v>1578</v>
      </c>
      <c r="D162" s="348" t="s">
        <v>1579</v>
      </c>
      <c r="AI162" s="348">
        <v>12904.54033596929</v>
      </c>
      <c r="AJ162" s="348">
        <v>12153.54879653275</v>
      </c>
      <c r="AK162" s="348">
        <v>11486.77593476477</v>
      </c>
      <c r="AL162" s="348">
        <v>10764.746877022229</v>
      </c>
      <c r="AM162" s="348">
        <v>10650.783346660301</v>
      </c>
      <c r="AN162" s="348">
        <v>10501.132395323661</v>
      </c>
      <c r="AO162" s="348">
        <v>10551.566266625619</v>
      </c>
      <c r="AP162" s="348">
        <v>10787.575361565579</v>
      </c>
      <c r="AQ162" s="348">
        <v>11092.874619503071</v>
      </c>
      <c r="AR162" s="348">
        <v>11519.004502086231</v>
      </c>
      <c r="AS162" s="348">
        <v>11988.29459788245</v>
      </c>
      <c r="AT162" s="348">
        <v>11571.85921989435</v>
      </c>
      <c r="AU162" s="348">
        <v>11830.311673290291</v>
      </c>
      <c r="AV162" s="348">
        <v>12077.899092249399</v>
      </c>
      <c r="AW162" s="348">
        <v>12683.433509040729</v>
      </c>
      <c r="AX162" s="348">
        <v>13354.516528262529</v>
      </c>
      <c r="AY162" s="348">
        <v>14118.28833599021</v>
      </c>
      <c r="AZ162" s="348">
        <v>15118.30636724611</v>
      </c>
      <c r="BA162" s="348">
        <v>16038.107862745839</v>
      </c>
      <c r="BB162" s="348">
        <v>16084.29467428026</v>
      </c>
      <c r="BC162" s="348">
        <v>16731.15956760084</v>
      </c>
      <c r="BD162" s="348">
        <v>17201.30749609568</v>
      </c>
      <c r="BE162" s="348">
        <v>17190.066917382868</v>
      </c>
      <c r="BF162" s="348">
        <v>17758.30120273383</v>
      </c>
      <c r="BG162" s="348">
        <v>18452.28274923396</v>
      </c>
      <c r="BH162" s="348">
        <v>19215.153722947849</v>
      </c>
      <c r="BI162" s="348">
        <v>19825.85468589811</v>
      </c>
      <c r="BJ162" s="348">
        <v>20121.134459983859</v>
      </c>
      <c r="BK162" s="348">
        <v>20806.008401324241</v>
      </c>
      <c r="BL162" s="348">
        <v>21766.974473423001</v>
      </c>
      <c r="BM162" s="348">
        <v>20971.52907183874</v>
      </c>
      <c r="BN162" s="348">
        <v>22144.28425714311</v>
      </c>
      <c r="BO162" s="348">
        <v>22822.3280431288</v>
      </c>
      <c r="BP162" s="348">
        <v>23455.319400522039</v>
      </c>
      <c r="BQ162" s="350">
        <v>24203.28595052442</v>
      </c>
    </row>
    <row r="163" spans="1:69" x14ac:dyDescent="0.25">
      <c r="A163" s="348" t="s">
        <v>1359</v>
      </c>
      <c r="B163" s="348" t="s">
        <v>1360</v>
      </c>
      <c r="C163" s="348" t="s">
        <v>1578</v>
      </c>
      <c r="D163" s="348" t="s">
        <v>1579</v>
      </c>
      <c r="AI163" s="348">
        <v>1890.502129912632</v>
      </c>
      <c r="AJ163" s="348">
        <v>2087.9190293987008</v>
      </c>
      <c r="AK163" s="348">
        <v>1942.7285714280749</v>
      </c>
      <c r="AL163" s="348">
        <v>1985.38064863365</v>
      </c>
      <c r="AM163" s="348">
        <v>2051.7547843068328</v>
      </c>
      <c r="AN163" s="348">
        <v>2022.403782678703</v>
      </c>
      <c r="AO163" s="348">
        <v>2105.2753013378001</v>
      </c>
      <c r="AP163" s="348">
        <v>2142.787692987461</v>
      </c>
      <c r="AQ163" s="348">
        <v>2228.2005552848609</v>
      </c>
      <c r="AR163" s="348">
        <v>2269.087411535118</v>
      </c>
      <c r="AS163" s="348">
        <v>2187.7189420960381</v>
      </c>
      <c r="AT163" s="348">
        <v>2458.4615567229371</v>
      </c>
      <c r="AU163" s="348">
        <v>2455.619357041136</v>
      </c>
      <c r="AV163" s="348">
        <v>2611.836855300402</v>
      </c>
      <c r="AW163" s="348">
        <v>2565.9774456253449</v>
      </c>
      <c r="AX163" s="348">
        <v>2546.3328140637709</v>
      </c>
      <c r="AY163" s="348">
        <v>2555.0747625965419</v>
      </c>
      <c r="AZ163" s="348">
        <v>2515.9469236787768</v>
      </c>
      <c r="BA163" s="348">
        <v>2523.1996127255052</v>
      </c>
      <c r="BB163" s="348">
        <v>2575.5454977362101</v>
      </c>
      <c r="BC163" s="348">
        <v>2632.2646822017232</v>
      </c>
      <c r="BD163" s="348">
        <v>2623.3462700896262</v>
      </c>
      <c r="BE163" s="348">
        <v>2520.5293108743699</v>
      </c>
      <c r="BF163" s="348">
        <v>2528.5300676705801</v>
      </c>
      <c r="BG163" s="348">
        <v>2609.1673304875821</v>
      </c>
      <c r="BH163" s="348">
        <v>2686.5606507458788</v>
      </c>
      <c r="BI163" s="348">
        <v>2759.11051294151</v>
      </c>
      <c r="BJ163" s="348">
        <v>2816.1942390220051</v>
      </c>
      <c r="BK163" s="348">
        <v>2862.40728989634</v>
      </c>
      <c r="BL163" s="348">
        <v>2916.17167790759</v>
      </c>
      <c r="BM163" s="348">
        <v>2796.410384448945</v>
      </c>
      <c r="BN163" s="348">
        <v>2796.2279379543279</v>
      </c>
      <c r="BO163" s="348">
        <v>2813.8109596284312</v>
      </c>
      <c r="BP163" s="348">
        <v>2860.428190022782</v>
      </c>
      <c r="BQ163" s="350">
        <v>2916.185295371537</v>
      </c>
    </row>
    <row r="164" spans="1:69" x14ac:dyDescent="0.25">
      <c r="A164" s="348" t="s">
        <v>1361</v>
      </c>
      <c r="B164" s="348" t="s">
        <v>1362</v>
      </c>
      <c r="C164" s="348" t="s">
        <v>1578</v>
      </c>
      <c r="D164" s="348" t="s">
        <v>1579</v>
      </c>
      <c r="AI164" s="348">
        <v>18207.428349921411</v>
      </c>
      <c r="AJ164" s="348">
        <v>18832.130198351129</v>
      </c>
      <c r="AK164" s="348">
        <v>19513.184822204839</v>
      </c>
      <c r="AL164" s="348">
        <v>20184.913724538601</v>
      </c>
      <c r="AM164" s="348">
        <v>21127.063508652351</v>
      </c>
      <c r="AN164" s="348">
        <v>22310.96319821028</v>
      </c>
      <c r="AO164" s="348">
        <v>23002.211196481479</v>
      </c>
      <c r="AP164" s="348">
        <v>24028.89428557525</v>
      </c>
      <c r="AQ164" s="348">
        <v>25096.874613792359</v>
      </c>
      <c r="AR164" s="348">
        <v>26126.089669045541</v>
      </c>
      <c r="AS164" s="348">
        <v>31066.922890322119</v>
      </c>
      <c r="AT164" s="348">
        <v>30600.971945790079</v>
      </c>
      <c r="AU164" s="348">
        <v>31206.271676293181</v>
      </c>
      <c r="AV164" s="348">
        <v>32146.680184233599</v>
      </c>
      <c r="AW164" s="348">
        <v>32061.5717383591</v>
      </c>
      <c r="AX164" s="348">
        <v>32775.749018224182</v>
      </c>
      <c r="AY164" s="348">
        <v>33419.471051446722</v>
      </c>
      <c r="AZ164" s="348">
        <v>34980.400946234877</v>
      </c>
      <c r="BA164" s="348">
        <v>36286.376269384498</v>
      </c>
      <c r="BB164" s="348">
        <v>35511.356393161848</v>
      </c>
      <c r="BC164" s="348">
        <v>37527.338314072957</v>
      </c>
      <c r="BD164" s="348">
        <v>37739.443692533307</v>
      </c>
      <c r="BE164" s="348">
        <v>38935.700353787986</v>
      </c>
      <c r="BF164" s="348">
        <v>40919.79454006278</v>
      </c>
      <c r="BG164" s="348">
        <v>43161.541981516137</v>
      </c>
      <c r="BH164" s="348">
        <v>46170.172177212713</v>
      </c>
      <c r="BI164" s="348">
        <v>46965.601581458053</v>
      </c>
      <c r="BJ164" s="348">
        <v>51626.347304978313</v>
      </c>
      <c r="BK164" s="348">
        <v>53417.015494622712</v>
      </c>
      <c r="BL164" s="348">
        <v>53391.437385609119</v>
      </c>
      <c r="BM164" s="348">
        <v>50387.822036858161</v>
      </c>
      <c r="BN164" s="348">
        <v>56852.32185122669</v>
      </c>
      <c r="BO164" s="348">
        <v>56841.958125813013</v>
      </c>
      <c r="BP164" s="348">
        <v>60418.39493110677</v>
      </c>
      <c r="BQ164" s="350">
        <v>62700.494218046129</v>
      </c>
    </row>
    <row r="165" spans="1:69" x14ac:dyDescent="0.25">
      <c r="A165" s="348" t="s">
        <v>1363</v>
      </c>
      <c r="B165" s="348" t="s">
        <v>1364</v>
      </c>
      <c r="C165" s="348" t="s">
        <v>1578</v>
      </c>
      <c r="D165" s="348" t="s">
        <v>1579</v>
      </c>
      <c r="AI165" s="348">
        <v>775.32825438199848</v>
      </c>
      <c r="AJ165" s="348">
        <v>759.28276416972597</v>
      </c>
      <c r="AK165" s="348">
        <v>821.32775504712458</v>
      </c>
      <c r="AL165" s="348">
        <v>859.34552673359633</v>
      </c>
      <c r="AM165" s="348">
        <v>911.46842795461578</v>
      </c>
      <c r="AN165" s="348">
        <v>962.20942182452097</v>
      </c>
      <c r="AO165" s="348">
        <v>1011.159934232744</v>
      </c>
      <c r="AP165" s="348">
        <v>1054.7674279126511</v>
      </c>
      <c r="AQ165" s="348">
        <v>1102.7909636939939</v>
      </c>
      <c r="AR165" s="348">
        <v>1209.016428099965</v>
      </c>
      <c r="AS165" s="348">
        <v>1359.930387780365</v>
      </c>
      <c r="AT165" s="348">
        <v>1498.311632365253</v>
      </c>
      <c r="AU165" s="348">
        <v>1661.73588517132</v>
      </c>
      <c r="AV165" s="348">
        <v>1874.171282693891</v>
      </c>
      <c r="AW165" s="348">
        <v>2110.2372849583089</v>
      </c>
      <c r="AX165" s="348">
        <v>2377.9025816297572</v>
      </c>
      <c r="AY165" s="348">
        <v>2669.3270037999928</v>
      </c>
      <c r="AZ165" s="348">
        <v>2968.3033151236041</v>
      </c>
      <c r="BA165" s="348">
        <v>3254.7389788810051</v>
      </c>
      <c r="BB165" s="348">
        <v>3578.1742470451481</v>
      </c>
      <c r="BC165" s="348">
        <v>3893.7903066587378</v>
      </c>
      <c r="BD165" s="348">
        <v>4078.612209199654</v>
      </c>
      <c r="BE165" s="348">
        <v>4340.9994506917419</v>
      </c>
      <c r="BF165" s="348">
        <v>4666.9537614139181</v>
      </c>
      <c r="BG165" s="348">
        <v>5006.5066714976674</v>
      </c>
      <c r="BH165" s="348">
        <v>5313.8861590147599</v>
      </c>
      <c r="BI165" s="348">
        <v>5580.9897727323159</v>
      </c>
      <c r="BJ165" s="348">
        <v>5877.8746555817534</v>
      </c>
      <c r="BK165" s="348">
        <v>6201.2634142980314</v>
      </c>
      <c r="BL165" s="348">
        <v>6562.9889847862514</v>
      </c>
      <c r="BM165" s="348">
        <v>5926.8345020668103</v>
      </c>
      <c r="BN165" s="348">
        <v>5178.4471821716361</v>
      </c>
      <c r="BO165" s="348">
        <v>5350.4766689993139</v>
      </c>
      <c r="BP165" s="348">
        <v>5364.1379703442917</v>
      </c>
      <c r="BQ165" s="350">
        <v>5276.2943398785274</v>
      </c>
    </row>
    <row r="166" spans="1:69" x14ac:dyDescent="0.25">
      <c r="A166" s="348" t="s">
        <v>1365</v>
      </c>
      <c r="B166" s="348" t="s">
        <v>1366</v>
      </c>
      <c r="C166" s="348" t="s">
        <v>1578</v>
      </c>
      <c r="D166" s="348" t="s">
        <v>1579</v>
      </c>
      <c r="AI166" s="348">
        <v>6449.1258942774357</v>
      </c>
      <c r="AJ166" s="348">
        <v>6297.0175112919396</v>
      </c>
      <c r="AK166" s="348">
        <v>6445.5185550346096</v>
      </c>
      <c r="AL166" s="348">
        <v>6382.2169725082667</v>
      </c>
      <c r="AM166" s="348">
        <v>6361.3813647351808</v>
      </c>
      <c r="AN166" s="348">
        <v>6409.3663958624766</v>
      </c>
      <c r="AO166" s="348">
        <v>6637.3896393216974</v>
      </c>
      <c r="AP166" s="348">
        <v>6709.9641375590709</v>
      </c>
      <c r="AQ166" s="348">
        <v>6926.2086351777089</v>
      </c>
      <c r="AR166" s="348">
        <v>7058.9593619857505</v>
      </c>
      <c r="AS166" s="348">
        <v>7302.9472638160441</v>
      </c>
      <c r="AT166" s="348">
        <v>7349.0371728226628</v>
      </c>
      <c r="AU166" s="348">
        <v>7431.518754955493</v>
      </c>
      <c r="AV166" s="348">
        <v>7463.4997859343002</v>
      </c>
      <c r="AW166" s="348">
        <v>7856.0220346418937</v>
      </c>
      <c r="AX166" s="348">
        <v>8051.2860380137572</v>
      </c>
      <c r="AY166" s="348">
        <v>8305.9316385202419</v>
      </c>
      <c r="AZ166" s="348">
        <v>8609.1240742635619</v>
      </c>
      <c r="BA166" s="348">
        <v>8733.8059611895533</v>
      </c>
      <c r="BB166" s="348">
        <v>8811.6542938103521</v>
      </c>
      <c r="BC166" s="348">
        <v>9031.3197557514741</v>
      </c>
      <c r="BD166" s="348">
        <v>8967.4198358763078</v>
      </c>
      <c r="BE166" s="348">
        <v>8965.99659380495</v>
      </c>
      <c r="BF166" s="348">
        <v>8889.8694235626208</v>
      </c>
      <c r="BG166" s="348">
        <v>8974.1558261207647</v>
      </c>
      <c r="BH166" s="348">
        <v>9021.4615542532247</v>
      </c>
      <c r="BI166" s="348">
        <v>9395.4547476803509</v>
      </c>
      <c r="BJ166" s="348">
        <v>9541.2062131753119</v>
      </c>
      <c r="BK166" s="348">
        <v>9593.4954810550516</v>
      </c>
      <c r="BL166" s="348">
        <v>9605.5242014606229</v>
      </c>
      <c r="BM166" s="348">
        <v>9289.5119298425579</v>
      </c>
      <c r="BN166" s="348">
        <v>9497.2576911168253</v>
      </c>
      <c r="BO166" s="348">
        <v>9771.3211591945947</v>
      </c>
      <c r="BP166" s="348">
        <v>9881.8478721717129</v>
      </c>
      <c r="BQ166" s="350">
        <v>9960.201766313774</v>
      </c>
    </row>
    <row r="167" spans="1:69" x14ac:dyDescent="0.25">
      <c r="A167" s="348" t="s">
        <v>1367</v>
      </c>
      <c r="B167" s="348" t="s">
        <v>1368</v>
      </c>
      <c r="C167" s="348" t="s">
        <v>1578</v>
      </c>
      <c r="D167" s="348" t="s">
        <v>1579</v>
      </c>
      <c r="AP167" s="348">
        <v>14638.79709389072</v>
      </c>
      <c r="AQ167" s="348">
        <v>15403.052135799369</v>
      </c>
      <c r="AR167" s="348">
        <v>13993.415510220921</v>
      </c>
      <c r="AS167" s="348">
        <v>14452.27627937394</v>
      </c>
      <c r="AT167" s="348">
        <v>14552.55591327603</v>
      </c>
      <c r="AU167" s="348">
        <v>14770.31644859239</v>
      </c>
      <c r="AV167" s="348">
        <v>15076.713930844149</v>
      </c>
      <c r="AW167" s="348">
        <v>15716.14065199367</v>
      </c>
      <c r="AX167" s="348">
        <v>16348.96753258207</v>
      </c>
      <c r="AY167" s="348">
        <v>17727.43956025035</v>
      </c>
      <c r="AZ167" s="348">
        <v>18966.53161184453</v>
      </c>
      <c r="BA167" s="348">
        <v>20239.005576633692</v>
      </c>
      <c r="BB167" s="348">
        <v>18985.016644064799</v>
      </c>
      <c r="BC167" s="348">
        <v>19476.243385510541</v>
      </c>
      <c r="BD167" s="348">
        <v>20110.570370606911</v>
      </c>
      <c r="BE167" s="348">
        <v>19576.493234754791</v>
      </c>
      <c r="BF167" s="348">
        <v>20201.37540910556</v>
      </c>
      <c r="BG167" s="348">
        <v>20641.850118963961</v>
      </c>
      <c r="BH167" s="348">
        <v>21131.92866527773</v>
      </c>
      <c r="BI167" s="348">
        <v>21834.182420076639</v>
      </c>
      <c r="BJ167" s="348">
        <v>22513.874128268129</v>
      </c>
      <c r="BK167" s="348">
        <v>23562.273968138321</v>
      </c>
      <c r="BL167" s="348">
        <v>24585.217907284859</v>
      </c>
      <c r="BM167" s="348">
        <v>20904.686622736419</v>
      </c>
      <c r="BN167" s="348">
        <v>23690.07735130563</v>
      </c>
      <c r="BO167" s="348">
        <v>25583.421662960449</v>
      </c>
      <c r="BP167" s="348">
        <v>27243.517207260051</v>
      </c>
      <c r="BQ167" s="350">
        <v>28105.709326433549</v>
      </c>
    </row>
    <row r="168" spans="1:69" x14ac:dyDescent="0.25">
      <c r="A168" s="348" t="s">
        <v>1369</v>
      </c>
      <c r="B168" s="348" t="s">
        <v>1370</v>
      </c>
      <c r="C168" s="348" t="s">
        <v>1578</v>
      </c>
      <c r="D168" s="348" t="s">
        <v>1579</v>
      </c>
      <c r="AI168" s="348">
        <v>6637.819267311982</v>
      </c>
      <c r="AJ168" s="348">
        <v>5874.25558231388</v>
      </c>
      <c r="AK168" s="348">
        <v>5324.4875968998676</v>
      </c>
      <c r="AL168" s="348">
        <v>5162.0998701037997</v>
      </c>
      <c r="AM168" s="348">
        <v>5213.8463260807584</v>
      </c>
      <c r="AN168" s="348">
        <v>5457.6850157000481</v>
      </c>
      <c r="AO168" s="348">
        <v>5494.3213398189719</v>
      </c>
      <c r="AP168" s="348">
        <v>5628.1066348422282</v>
      </c>
      <c r="AQ168" s="348">
        <v>5735.8438364577096</v>
      </c>
      <c r="AR168" s="348">
        <v>5829.1664145592886</v>
      </c>
      <c r="AS168" s="348">
        <v>5818.2430784290082</v>
      </c>
      <c r="AT168" s="348">
        <v>5917.0708839634271</v>
      </c>
      <c r="AU168" s="348">
        <v>6117.9824222592024</v>
      </c>
      <c r="AV168" s="348">
        <v>6463.7896665176168</v>
      </c>
      <c r="AW168" s="348">
        <v>7070.6671584509986</v>
      </c>
      <c r="AX168" s="348">
        <v>7499.8480393542786</v>
      </c>
      <c r="AY168" s="348">
        <v>8043.996781085566</v>
      </c>
      <c r="AZ168" s="348">
        <v>8750.1340744229929</v>
      </c>
      <c r="BA168" s="348">
        <v>9379.8548968776504</v>
      </c>
      <c r="BB168" s="348">
        <v>9095.9769892529039</v>
      </c>
      <c r="BC168" s="348">
        <v>9507.118823625</v>
      </c>
      <c r="BD168" s="348">
        <v>10960.09592838643</v>
      </c>
      <c r="BE168" s="348">
        <v>12078.918532006181</v>
      </c>
      <c r="BF168" s="348">
        <v>13210.09456656678</v>
      </c>
      <c r="BG168" s="348">
        <v>13943.427714865251</v>
      </c>
      <c r="BH168" s="348">
        <v>13974.59672603652</v>
      </c>
      <c r="BI168" s="348">
        <v>13898.145695358529</v>
      </c>
      <c r="BJ168" s="348">
        <v>14401.53750675622</v>
      </c>
      <c r="BK168" s="348">
        <v>15230.24088288468</v>
      </c>
      <c r="BL168" s="348">
        <v>15790.696112644129</v>
      </c>
      <c r="BM168" s="348">
        <v>14801.342082918471</v>
      </c>
      <c r="BN168" s="348">
        <v>14792.250908642211</v>
      </c>
      <c r="BO168" s="348">
        <v>15310.43494691635</v>
      </c>
      <c r="BP168" s="348">
        <v>16222.86388985287</v>
      </c>
      <c r="BQ168" s="350">
        <v>16842.650587379681</v>
      </c>
    </row>
    <row r="169" spans="1:69" x14ac:dyDescent="0.25">
      <c r="A169" s="348" t="s">
        <v>1371</v>
      </c>
      <c r="B169" s="348" t="s">
        <v>1372</v>
      </c>
      <c r="C169" s="348" t="s">
        <v>1578</v>
      </c>
      <c r="D169" s="348" t="s">
        <v>1579</v>
      </c>
    </row>
    <row r="170" spans="1:69" x14ac:dyDescent="0.25">
      <c r="A170" s="348" t="s">
        <v>1373</v>
      </c>
      <c r="B170" s="348" t="s">
        <v>1374</v>
      </c>
      <c r="C170" s="348" t="s">
        <v>1578</v>
      </c>
      <c r="D170" s="348" t="s">
        <v>1579</v>
      </c>
      <c r="AI170" s="348">
        <v>547.62278143219567</v>
      </c>
      <c r="AJ170" s="348">
        <v>563.51210341623153</v>
      </c>
      <c r="AK170" s="348">
        <v>510.82282292831007</v>
      </c>
      <c r="AL170" s="348">
        <v>549.04875977095514</v>
      </c>
      <c r="AM170" s="348">
        <v>546.20968816426307</v>
      </c>
      <c r="AN170" s="348">
        <v>525.41867183749889</v>
      </c>
      <c r="AO170" s="348">
        <v>562.8574563416563</v>
      </c>
      <c r="AP170" s="348">
        <v>612.37155126591529</v>
      </c>
      <c r="AQ170" s="348">
        <v>660.65017782074779</v>
      </c>
      <c r="AR170" s="348">
        <v>722.30556137997939</v>
      </c>
      <c r="AS170" s="348">
        <v>711.97639352739589</v>
      </c>
      <c r="AT170" s="348">
        <v>785.79017361624562</v>
      </c>
      <c r="AU170" s="348">
        <v>842.64526617276135</v>
      </c>
      <c r="AV170" s="348">
        <v>883.23912147219403</v>
      </c>
      <c r="AW170" s="348">
        <v>934.13396484442126</v>
      </c>
      <c r="AX170" s="348">
        <v>970.3899560986298</v>
      </c>
      <c r="AY170" s="348">
        <v>1041.8047170959519</v>
      </c>
      <c r="AZ170" s="348">
        <v>1095.1256870159821</v>
      </c>
      <c r="BA170" s="348">
        <v>1141.9425616101889</v>
      </c>
      <c r="BB170" s="348">
        <v>1178.70909947834</v>
      </c>
      <c r="BC170" s="348">
        <v>1224.2302047130941</v>
      </c>
      <c r="BD170" s="348">
        <v>1275.5295982258069</v>
      </c>
      <c r="BE170" s="348">
        <v>1338.515948661043</v>
      </c>
      <c r="BF170" s="348">
        <v>1385.83254864214</v>
      </c>
      <c r="BG170" s="348">
        <v>1449.929266327224</v>
      </c>
      <c r="BH170" s="348">
        <v>1512.5997455553961</v>
      </c>
      <c r="BI170" s="348">
        <v>1537.908532712165</v>
      </c>
      <c r="BJ170" s="348">
        <v>1532.0073576114</v>
      </c>
      <c r="BK170" s="348">
        <v>1538.8351212702221</v>
      </c>
      <c r="BL170" s="348">
        <v>1528.889883543734</v>
      </c>
      <c r="BM170" s="348">
        <v>1466.124764744761</v>
      </c>
      <c r="BN170" s="348">
        <v>1457.2354093092149</v>
      </c>
      <c r="BO170" s="348">
        <v>1476.665602980974</v>
      </c>
      <c r="BP170" s="348">
        <v>1512.2764079148119</v>
      </c>
      <c r="BQ170" s="350">
        <v>1500.3142744635049</v>
      </c>
    </row>
    <row r="171" spans="1:69" x14ac:dyDescent="0.25">
      <c r="A171" s="348" t="s">
        <v>1375</v>
      </c>
      <c r="B171" s="348" t="s">
        <v>1376</v>
      </c>
      <c r="C171" s="348" t="s">
        <v>1578</v>
      </c>
      <c r="D171" s="348" t="s">
        <v>1579</v>
      </c>
      <c r="AI171" s="348">
        <v>5519.6103364338696</v>
      </c>
      <c r="AJ171" s="348">
        <v>5456.5557603236502</v>
      </c>
      <c r="AK171" s="348">
        <v>5350.1180367308971</v>
      </c>
      <c r="AL171" s="348">
        <v>5439.8222876695754</v>
      </c>
      <c r="AM171" s="348">
        <v>5097.2083903223684</v>
      </c>
      <c r="AN171" s="348">
        <v>5446.2695610544442</v>
      </c>
      <c r="AO171" s="348">
        <v>5650.3411811269043</v>
      </c>
      <c r="AP171" s="348">
        <v>5302.3666333721958</v>
      </c>
      <c r="AQ171" s="348">
        <v>5310.1581913834107</v>
      </c>
      <c r="AR171" s="348">
        <v>5359.988819962321</v>
      </c>
      <c r="AS171" s="348">
        <v>5008.6080669001394</v>
      </c>
      <c r="AT171" s="348">
        <v>4847.410860885665</v>
      </c>
      <c r="AU171" s="348">
        <v>4806.8985341716643</v>
      </c>
      <c r="AV171" s="348">
        <v>5023.6521342446731</v>
      </c>
      <c r="AW171" s="348">
        <v>5139.2255200245054</v>
      </c>
      <c r="AX171" s="348">
        <v>5445.8295122771779</v>
      </c>
      <c r="AY171" s="348">
        <v>6284.7020902529566</v>
      </c>
      <c r="AZ171" s="348">
        <v>6002.7783216517419</v>
      </c>
      <c r="BA171" s="348">
        <v>5813.356083683052</v>
      </c>
      <c r="BB171" s="348">
        <v>5639.7874501861206</v>
      </c>
      <c r="BC171" s="348">
        <v>5605.7638875443563</v>
      </c>
      <c r="BD171" s="348">
        <v>5653.2171995669314</v>
      </c>
      <c r="BE171" s="348">
        <v>5716.2519532829556</v>
      </c>
      <c r="BF171" s="348">
        <v>5769.7287083559904</v>
      </c>
      <c r="BG171" s="348">
        <v>5837.8520312228957</v>
      </c>
      <c r="BH171" s="348">
        <v>5969.5423933980637</v>
      </c>
      <c r="BI171" s="348">
        <v>5866.2814475940477</v>
      </c>
      <c r="BJ171" s="348">
        <v>6050.6218027382474</v>
      </c>
      <c r="BK171" s="348">
        <v>6153.637902952185</v>
      </c>
      <c r="BL171" s="348">
        <v>6162.210445120867</v>
      </c>
      <c r="BM171" s="348">
        <v>5963.2354979348793</v>
      </c>
      <c r="BN171" s="348">
        <v>5836.5658082189693</v>
      </c>
      <c r="BO171" s="348">
        <v>6053.261781555093</v>
      </c>
      <c r="BP171" s="348">
        <v>6276.4752107935947</v>
      </c>
      <c r="BQ171" s="350">
        <v>6482.690167243336</v>
      </c>
    </row>
    <row r="172" spans="1:69" x14ac:dyDescent="0.25">
      <c r="A172" s="348" t="s">
        <v>1377</v>
      </c>
      <c r="B172" s="348" t="s">
        <v>1378</v>
      </c>
      <c r="C172" s="348" t="s">
        <v>1578</v>
      </c>
      <c r="D172" s="348" t="s">
        <v>1579</v>
      </c>
      <c r="AI172" s="348">
        <v>9058.6665019237498</v>
      </c>
      <c r="AJ172" s="348">
        <v>9358.8857833800539</v>
      </c>
      <c r="AK172" s="348">
        <v>9838.1023277476615</v>
      </c>
      <c r="AL172" s="348">
        <v>10216.24238356778</v>
      </c>
      <c r="AM172" s="348">
        <v>10490.88854089596</v>
      </c>
      <c r="AN172" s="348">
        <v>10847.03074539869</v>
      </c>
      <c r="AO172" s="348">
        <v>11336.60416869722</v>
      </c>
      <c r="AP172" s="348">
        <v>11832.28779245312</v>
      </c>
      <c r="AQ172" s="348">
        <v>12419.467372695201</v>
      </c>
      <c r="AR172" s="348">
        <v>12582.75215443561</v>
      </c>
      <c r="AS172" s="348">
        <v>13481.754054174469</v>
      </c>
      <c r="AT172" s="348">
        <v>13823.41713910478</v>
      </c>
      <c r="AU172" s="348">
        <v>13949.474292318389</v>
      </c>
      <c r="AV172" s="348">
        <v>14669.5001844577</v>
      </c>
      <c r="AW172" s="348">
        <v>15209.016426781651</v>
      </c>
      <c r="AX172" s="348">
        <v>15387.980784225399</v>
      </c>
      <c r="AY172" s="348">
        <v>16061.60300303959</v>
      </c>
      <c r="AZ172" s="348">
        <v>16904.274517179641</v>
      </c>
      <c r="BA172" s="348">
        <v>17750.593622898781</v>
      </c>
      <c r="BB172" s="348">
        <v>18290.407007786209</v>
      </c>
      <c r="BC172" s="348">
        <v>19045.654283286749</v>
      </c>
      <c r="BD172" s="348">
        <v>19790.530058605211</v>
      </c>
      <c r="BE172" s="348">
        <v>20425.70701768795</v>
      </c>
      <c r="BF172" s="348">
        <v>21061.029343286911</v>
      </c>
      <c r="BG172" s="348">
        <v>21827.480232605209</v>
      </c>
      <c r="BH172" s="348">
        <v>22603.088521871421</v>
      </c>
      <c r="BI172" s="348">
        <v>23460.001151632321</v>
      </c>
      <c r="BJ172" s="348">
        <v>24361.875854205809</v>
      </c>
      <c r="BK172" s="348">
        <v>25324.178595812431</v>
      </c>
      <c r="BL172" s="348">
        <v>26047.975357328422</v>
      </c>
      <c r="BM172" s="348">
        <v>22258.386810626769</v>
      </c>
      <c r="BN172" s="348">
        <v>23010.20138269052</v>
      </c>
      <c r="BO172" s="348">
        <v>25085.989195945142</v>
      </c>
      <c r="BP172" s="348">
        <v>26635.0124048697</v>
      </c>
      <c r="BQ172" s="350">
        <v>28011.15798062992</v>
      </c>
    </row>
    <row r="173" spans="1:69" x14ac:dyDescent="0.25">
      <c r="A173" s="348" t="s">
        <v>1379</v>
      </c>
      <c r="B173" s="348" t="s">
        <v>1380</v>
      </c>
      <c r="C173" s="348" t="s">
        <v>1578</v>
      </c>
      <c r="D173" s="348" t="s">
        <v>1579</v>
      </c>
      <c r="AI173" s="348">
        <v>1047.4643635113171</v>
      </c>
      <c r="AJ173" s="348">
        <v>1104.3904622212019</v>
      </c>
      <c r="AK173" s="348">
        <v>994.03650479047064</v>
      </c>
      <c r="AL173" s="348">
        <v>1074.5848521326859</v>
      </c>
      <c r="AM173" s="348">
        <v>975.84964014339903</v>
      </c>
      <c r="AN173" s="348">
        <v>1140.7560936507859</v>
      </c>
      <c r="AO173" s="348">
        <v>1200.320582324221</v>
      </c>
      <c r="AP173" s="348">
        <v>1221.094045553534</v>
      </c>
      <c r="AQ173" s="348">
        <v>1241.5243318182629</v>
      </c>
      <c r="AR173" s="348">
        <v>1249.775232988706</v>
      </c>
      <c r="AS173" s="348">
        <v>1239.3917483867599</v>
      </c>
      <c r="AT173" s="348">
        <v>1149.580396018983</v>
      </c>
      <c r="AU173" s="348">
        <v>1140.8427464241761</v>
      </c>
      <c r="AV173" s="348">
        <v>1176.12385998737</v>
      </c>
      <c r="AW173" s="348">
        <v>1208.219697507503</v>
      </c>
      <c r="AX173" s="348">
        <v>1214.7426419187991</v>
      </c>
      <c r="AY173" s="348">
        <v>1237.273865199468</v>
      </c>
      <c r="AZ173" s="348">
        <v>1318.331963972136</v>
      </c>
      <c r="BA173" s="348">
        <v>1378.4288669046471</v>
      </c>
      <c r="BB173" s="348">
        <v>1449.726015221361</v>
      </c>
      <c r="BC173" s="348">
        <v>1504.3751411321459</v>
      </c>
      <c r="BD173" s="348">
        <v>1533.2288957240539</v>
      </c>
      <c r="BE173" s="348">
        <v>1518.1480384923821</v>
      </c>
      <c r="BF173" s="348">
        <v>1555.5060741051129</v>
      </c>
      <c r="BG173" s="348">
        <v>1597.56484331405</v>
      </c>
      <c r="BH173" s="348">
        <v>1597.6914532485471</v>
      </c>
      <c r="BI173" s="348">
        <v>1593.5954926480811</v>
      </c>
      <c r="BJ173" s="348">
        <v>1613.0593571461959</v>
      </c>
      <c r="BK173" s="348">
        <v>1638.916657610765</v>
      </c>
      <c r="BL173" s="348">
        <v>1687.289449178915</v>
      </c>
      <c r="BM173" s="348">
        <v>1656.4398519253259</v>
      </c>
      <c r="BN173" s="348">
        <v>1687.5935817965069</v>
      </c>
      <c r="BO173" s="348">
        <v>1659.95933825168</v>
      </c>
      <c r="BP173" s="348">
        <v>1649.298732345505</v>
      </c>
      <c r="BQ173" s="350">
        <v>1634.2466026659699</v>
      </c>
    </row>
    <row r="174" spans="1:69" x14ac:dyDescent="0.25">
      <c r="A174" s="348" t="s">
        <v>1381</v>
      </c>
      <c r="B174" s="348" t="s">
        <v>1382</v>
      </c>
      <c r="C174" s="348" t="s">
        <v>1578</v>
      </c>
      <c r="D174" s="348" t="s">
        <v>1579</v>
      </c>
      <c r="AI174" s="348">
        <v>12013.69694831121</v>
      </c>
      <c r="AJ174" s="348">
        <v>12795.04989642277</v>
      </c>
      <c r="AK174" s="348">
        <v>13567.89361211807</v>
      </c>
      <c r="AL174" s="348">
        <v>14533.79039700696</v>
      </c>
      <c r="AM174" s="348">
        <v>15474.0144648307</v>
      </c>
      <c r="AN174" s="348">
        <v>16568.516059020891</v>
      </c>
      <c r="AO174" s="348">
        <v>17771.711879505609</v>
      </c>
      <c r="AP174" s="348">
        <v>18604.51452746502</v>
      </c>
      <c r="AQ174" s="348">
        <v>16817.171919040091</v>
      </c>
      <c r="AR174" s="348">
        <v>17428.625656304292</v>
      </c>
      <c r="AS174" s="348">
        <v>18532.909670622659</v>
      </c>
      <c r="AT174" s="348">
        <v>18186.441133014599</v>
      </c>
      <c r="AU174" s="348">
        <v>18708.869487727901</v>
      </c>
      <c r="AV174" s="348">
        <v>19329.00627575376</v>
      </c>
      <c r="AW174" s="348">
        <v>20168.50620994249</v>
      </c>
      <c r="AX174" s="348">
        <v>20767.585724334629</v>
      </c>
      <c r="AY174" s="348">
        <v>21444.485771502761</v>
      </c>
      <c r="AZ174" s="348">
        <v>22305.11826311699</v>
      </c>
      <c r="BA174" s="348">
        <v>22898.00275754424</v>
      </c>
      <c r="BB174" s="348">
        <v>22106.641731180051</v>
      </c>
      <c r="BC174" s="348">
        <v>23307.969854378462</v>
      </c>
      <c r="BD174" s="348">
        <v>24115.81812039579</v>
      </c>
      <c r="BE174" s="348">
        <v>25006.358778153721</v>
      </c>
      <c r="BF174" s="348">
        <v>25736.3525554142</v>
      </c>
      <c r="BG174" s="348">
        <v>26818.43172816588</v>
      </c>
      <c r="BH174" s="348">
        <v>27699.627886038681</v>
      </c>
      <c r="BI174" s="348">
        <v>28425.370760941161</v>
      </c>
      <c r="BJ174" s="348">
        <v>29551.54575971972</v>
      </c>
      <c r="BK174" s="348">
        <v>30459.965533806091</v>
      </c>
      <c r="BL174" s="348">
        <v>31300.508655484911</v>
      </c>
      <c r="BM174" s="348">
        <v>29200.452632127039</v>
      </c>
      <c r="BN174" s="348">
        <v>29822.84918316183</v>
      </c>
      <c r="BO174" s="348">
        <v>32129.221782011249</v>
      </c>
      <c r="BP174" s="348">
        <v>32857.66766007743</v>
      </c>
      <c r="BQ174" s="350">
        <v>34116.231784888529</v>
      </c>
    </row>
    <row r="175" spans="1:69" x14ac:dyDescent="0.25">
      <c r="A175" s="348" t="s">
        <v>1383</v>
      </c>
      <c r="B175" s="348" t="s">
        <v>1384</v>
      </c>
      <c r="C175" s="348" t="s">
        <v>1578</v>
      </c>
      <c r="D175" s="348" t="s">
        <v>1579</v>
      </c>
      <c r="AI175" s="348">
        <v>43996.170277866702</v>
      </c>
      <c r="AJ175" s="348">
        <v>43289.634507758463</v>
      </c>
      <c r="AK175" s="348">
        <v>44104.365763590191</v>
      </c>
      <c r="AL175" s="348">
        <v>44730.615569629539</v>
      </c>
      <c r="AM175" s="348">
        <v>45989.267396224357</v>
      </c>
      <c r="AN175" s="348">
        <v>46672.279918968969</v>
      </c>
      <c r="AO175" s="348">
        <v>47793.414787038128</v>
      </c>
      <c r="AP175" s="348">
        <v>49324.945898969781</v>
      </c>
      <c r="AQ175" s="348">
        <v>50930.857126320821</v>
      </c>
      <c r="AR175" s="348">
        <v>52792.798939440101</v>
      </c>
      <c r="AS175" s="348">
        <v>54395.987276444408</v>
      </c>
      <c r="AT175" s="348">
        <v>54414.231605486209</v>
      </c>
      <c r="AU175" s="348">
        <v>54880.999645203658</v>
      </c>
      <c r="AV175" s="348">
        <v>55882.538802172618</v>
      </c>
      <c r="AW175" s="348">
        <v>57460.65048685862</v>
      </c>
      <c r="AX175" s="348">
        <v>58901.375131674868</v>
      </c>
      <c r="AY175" s="348">
        <v>59950.813794740418</v>
      </c>
      <c r="AZ175" s="348">
        <v>60574.89587872861</v>
      </c>
      <c r="BA175" s="348">
        <v>60110.462087086482</v>
      </c>
      <c r="BB175" s="348">
        <v>58016.860884841357</v>
      </c>
      <c r="BC175" s="348">
        <v>59082.018933499799</v>
      </c>
      <c r="BD175" s="348">
        <v>59602.136503456757</v>
      </c>
      <c r="BE175" s="348">
        <v>60435.074755198788</v>
      </c>
      <c r="BF175" s="348">
        <v>61242.503564654333</v>
      </c>
      <c r="BG175" s="348">
        <v>62295.500348289374</v>
      </c>
      <c r="BH175" s="348">
        <v>63496.15682340863</v>
      </c>
      <c r="BI175" s="348">
        <v>64079.960980191703</v>
      </c>
      <c r="BJ175" s="348">
        <v>65200.665098404548</v>
      </c>
      <c r="BK175" s="348">
        <v>66672.044578691173</v>
      </c>
      <c r="BL175" s="348">
        <v>67938.394418951706</v>
      </c>
      <c r="BM175" s="348">
        <v>65982.810170861761</v>
      </c>
      <c r="BN175" s="348">
        <v>69833.494876101526</v>
      </c>
      <c r="BO175" s="348">
        <v>71184.957298336521</v>
      </c>
      <c r="BP175" s="348">
        <v>72394.124127502553</v>
      </c>
      <c r="BQ175" s="350">
        <v>73462.039413894672</v>
      </c>
    </row>
    <row r="176" spans="1:69" x14ac:dyDescent="0.25">
      <c r="A176" s="348" t="s">
        <v>1385</v>
      </c>
      <c r="B176" s="348" t="s">
        <v>1386</v>
      </c>
      <c r="C176" s="348" t="s">
        <v>1578</v>
      </c>
      <c r="D176" s="348" t="s">
        <v>1579</v>
      </c>
      <c r="AI176" s="348">
        <v>7281.7789257788854</v>
      </c>
      <c r="AJ176" s="348">
        <v>7618.3327818444941</v>
      </c>
      <c r="AK176" s="348">
        <v>7911.0102580428074</v>
      </c>
      <c r="AL176" s="348">
        <v>7541.5608179184464</v>
      </c>
      <c r="AM176" s="348">
        <v>7437.3352903610912</v>
      </c>
      <c r="AN176" s="348">
        <v>7506.1048403408622</v>
      </c>
      <c r="AO176" s="348">
        <v>7538.9246234220072</v>
      </c>
      <c r="AP176" s="348">
        <v>7656.325125429863</v>
      </c>
      <c r="AQ176" s="348">
        <v>7709.8900437013408</v>
      </c>
      <c r="AR176" s="348">
        <v>7773.943541487135</v>
      </c>
      <c r="AS176" s="348">
        <v>7858.3878952125306</v>
      </c>
      <c r="AT176" s="348">
        <v>7786.5416949676073</v>
      </c>
      <c r="AU176" s="348">
        <v>8017.2813412855876</v>
      </c>
      <c r="AV176" s="348">
        <v>8237.3659724559693</v>
      </c>
      <c r="AW176" s="348">
        <v>9130.8244233769383</v>
      </c>
      <c r="AX176" s="348">
        <v>9245.1365329555028</v>
      </c>
      <c r="AY176" s="348">
        <v>9773.2983319979758</v>
      </c>
      <c r="AZ176" s="348">
        <v>10162.24007087455</v>
      </c>
      <c r="BA176" s="348">
        <v>10286.512406760459</v>
      </c>
      <c r="BB176" s="348">
        <v>10166.289945393861</v>
      </c>
      <c r="BC176" s="348">
        <v>10614.62015766705</v>
      </c>
      <c r="BD176" s="348">
        <v>10965.27297595353</v>
      </c>
      <c r="BE176" s="348">
        <v>11266.608948646361</v>
      </c>
      <c r="BF176" s="348">
        <v>11593.575376868919</v>
      </c>
      <c r="BG176" s="348">
        <v>11982.696364834799</v>
      </c>
      <c r="BH176" s="348">
        <v>12166.565839205799</v>
      </c>
      <c r="BI176" s="348">
        <v>11846.788083275669</v>
      </c>
      <c r="BJ176" s="348">
        <v>11408.725309996669</v>
      </c>
      <c r="BK176" s="348">
        <v>11214.386043059971</v>
      </c>
      <c r="BL176" s="348">
        <v>10813.30446819441</v>
      </c>
      <c r="BM176" s="348">
        <v>9652.2482721946253</v>
      </c>
      <c r="BN176" s="348">
        <v>9709.0993064677059</v>
      </c>
      <c r="BO176" s="348">
        <v>9953.0975240349089</v>
      </c>
      <c r="BP176" s="348">
        <v>10137.67261200254</v>
      </c>
      <c r="BQ176" s="350">
        <v>10281.335640298839</v>
      </c>
    </row>
    <row r="177" spans="1:69" x14ac:dyDescent="0.25">
      <c r="A177" s="348" t="s">
        <v>1387</v>
      </c>
      <c r="B177" s="348" t="s">
        <v>1388</v>
      </c>
      <c r="C177" s="348" t="s">
        <v>1578</v>
      </c>
      <c r="D177" s="348" t="s">
        <v>1579</v>
      </c>
    </row>
    <row r="178" spans="1:69" x14ac:dyDescent="0.25">
      <c r="A178" s="348" t="s">
        <v>1389</v>
      </c>
      <c r="B178" s="348" t="s">
        <v>1390</v>
      </c>
      <c r="C178" s="348" t="s">
        <v>1578</v>
      </c>
      <c r="D178" s="348" t="s">
        <v>1579</v>
      </c>
      <c r="AI178" s="348">
        <v>1411.8489220028071</v>
      </c>
      <c r="AJ178" s="348">
        <v>1362.7454534352601</v>
      </c>
      <c r="AK178" s="348">
        <v>1347.332297419837</v>
      </c>
      <c r="AL178" s="348">
        <v>1309.611211099404</v>
      </c>
      <c r="AM178" s="348">
        <v>1291.6816102900229</v>
      </c>
      <c r="AN178" s="348">
        <v>1280.3354211913991</v>
      </c>
      <c r="AO178" s="348">
        <v>1239.476641151738</v>
      </c>
      <c r="AP178" s="348">
        <v>1217.3125356792179</v>
      </c>
      <c r="AQ178" s="348">
        <v>1294.16191156539</v>
      </c>
      <c r="AR178" s="348">
        <v>1247.6471289275621</v>
      </c>
      <c r="AS178" s="348">
        <v>1190.566745432232</v>
      </c>
      <c r="AT178" s="348">
        <v>1233.0651180827799</v>
      </c>
      <c r="AU178" s="348">
        <v>1248.8231366060061</v>
      </c>
      <c r="AV178" s="348">
        <v>1231.2780915085029</v>
      </c>
      <c r="AW178" s="348">
        <v>1192.0823507557011</v>
      </c>
      <c r="AX178" s="348">
        <v>1233.875510522048</v>
      </c>
      <c r="AY178" s="348">
        <v>1260.1204667129821</v>
      </c>
      <c r="AZ178" s="348">
        <v>1252.7482725293851</v>
      </c>
      <c r="BA178" s="348">
        <v>1300.554185001771</v>
      </c>
      <c r="BB178" s="348">
        <v>1277.692309576363</v>
      </c>
      <c r="BC178" s="348">
        <v>1336.564102374469</v>
      </c>
      <c r="BD178" s="348">
        <v>1318.101309978442</v>
      </c>
      <c r="BE178" s="348">
        <v>1403.189710678568</v>
      </c>
      <c r="BF178" s="348">
        <v>1423.261690347005</v>
      </c>
      <c r="BG178" s="348">
        <v>1462.821229984909</v>
      </c>
      <c r="BH178" s="348">
        <v>1471.661353292237</v>
      </c>
      <c r="BI178" s="348">
        <v>1500.008586812879</v>
      </c>
      <c r="BJ178" s="348">
        <v>1520.001537123198</v>
      </c>
      <c r="BK178" s="348">
        <v>1574.338382626659</v>
      </c>
      <c r="BL178" s="348">
        <v>1612.637346932589</v>
      </c>
      <c r="BM178" s="348">
        <v>1615.6927244894389</v>
      </c>
      <c r="BN178" s="348">
        <v>1585.5992202118821</v>
      </c>
      <c r="BO178" s="348">
        <v>1717.5189145768411</v>
      </c>
      <c r="BP178" s="348">
        <v>1689.5642536706689</v>
      </c>
      <c r="BQ178" s="350">
        <v>1803.436930053198</v>
      </c>
    </row>
    <row r="179" spans="1:69" x14ac:dyDescent="0.25">
      <c r="A179" s="348" t="s">
        <v>1391</v>
      </c>
      <c r="B179" s="348" t="s">
        <v>1392</v>
      </c>
      <c r="C179" s="348" t="s">
        <v>1578</v>
      </c>
      <c r="D179" s="348" t="s">
        <v>1579</v>
      </c>
      <c r="AI179" s="348">
        <v>5423.8068960708952</v>
      </c>
      <c r="AJ179" s="348">
        <v>5301.3634229909503</v>
      </c>
      <c r="AK179" s="348">
        <v>5403.1531181684368</v>
      </c>
      <c r="AL179" s="348">
        <v>5154.7575791892496</v>
      </c>
      <c r="AM179" s="348">
        <v>4929.26827930529</v>
      </c>
      <c r="AN179" s="348">
        <v>4797.5115215486812</v>
      </c>
      <c r="AO179" s="348">
        <v>4869.8211334148918</v>
      </c>
      <c r="AP179" s="348">
        <v>4884.0474327987913</v>
      </c>
      <c r="AQ179" s="348">
        <v>4880.8799712803784</v>
      </c>
      <c r="AR179" s="348">
        <v>4781.6731100201814</v>
      </c>
      <c r="AS179" s="348">
        <v>4889.0032193942598</v>
      </c>
      <c r="AT179" s="348">
        <v>5039.5486977267619</v>
      </c>
      <c r="AU179" s="348">
        <v>5654.8970606501798</v>
      </c>
      <c r="AV179" s="348">
        <v>5905.3148280316536</v>
      </c>
      <c r="AW179" s="348">
        <v>6275.2989452958263</v>
      </c>
      <c r="AX179" s="348">
        <v>6496.9322820009083</v>
      </c>
      <c r="AY179" s="348">
        <v>6702.9453335877824</v>
      </c>
      <c r="AZ179" s="348">
        <v>6949.4265073750603</v>
      </c>
      <c r="BA179" s="348">
        <v>7215.7694622242207</v>
      </c>
      <c r="BB179" s="348">
        <v>7581.4057211700911</v>
      </c>
      <c r="BC179" s="348">
        <v>7962.6395731075954</v>
      </c>
      <c r="BD179" s="348">
        <v>8153.5317868036673</v>
      </c>
      <c r="BE179" s="348">
        <v>8265.9055121162</v>
      </c>
      <c r="BF179" s="348">
        <v>8581.2078229559993</v>
      </c>
      <c r="BG179" s="348">
        <v>8884.7742866165681</v>
      </c>
      <c r="BH179" s="348">
        <v>8892.0579870674792</v>
      </c>
      <c r="BI179" s="348">
        <v>8534.6928151389802</v>
      </c>
      <c r="BJ179" s="348">
        <v>8396.7845227433081</v>
      </c>
      <c r="BK179" s="348">
        <v>8362.6233089133948</v>
      </c>
      <c r="BL179" s="348">
        <v>8361.7866485719751</v>
      </c>
      <c r="BM179" s="348">
        <v>7664.210995911928</v>
      </c>
      <c r="BN179" s="348">
        <v>7588.4788559635899</v>
      </c>
      <c r="BO179" s="348">
        <v>7752.2620653200865</v>
      </c>
      <c r="BP179" s="348">
        <v>7843.8346199040498</v>
      </c>
      <c r="BQ179" s="350">
        <v>7994.2156386145934</v>
      </c>
    </row>
    <row r="180" spans="1:69" x14ac:dyDescent="0.25">
      <c r="A180" s="348" t="s">
        <v>1393</v>
      </c>
      <c r="B180" s="348" t="s">
        <v>1394</v>
      </c>
      <c r="C180" s="348" t="s">
        <v>1578</v>
      </c>
      <c r="D180" s="348" t="s">
        <v>1579</v>
      </c>
      <c r="AI180" s="348">
        <v>4217.608884994841</v>
      </c>
      <c r="AJ180" s="348">
        <v>4113.6874989365388</v>
      </c>
      <c r="AK180" s="348">
        <v>4037.275489047976</v>
      </c>
      <c r="AL180" s="348">
        <v>3934.0927571674888</v>
      </c>
      <c r="AM180" s="348">
        <v>3979.985336972612</v>
      </c>
      <c r="AN180" s="348">
        <v>4130.286126758715</v>
      </c>
      <c r="AO180" s="348">
        <v>4311.493168534822</v>
      </c>
      <c r="AP180" s="348">
        <v>4408.3288998793596</v>
      </c>
      <c r="AQ180" s="348">
        <v>4502.5983661988739</v>
      </c>
      <c r="AR180" s="348">
        <v>4750.9488682261835</v>
      </c>
      <c r="AS180" s="348">
        <v>4878.2477698166686</v>
      </c>
      <c r="AT180" s="348">
        <v>4958.3277112683672</v>
      </c>
      <c r="AU180" s="348">
        <v>4935.4853900512771</v>
      </c>
      <c r="AV180" s="348">
        <v>5000.6117655633998</v>
      </c>
      <c r="AW180" s="348">
        <v>5204.3820280175669</v>
      </c>
      <c r="AX180" s="348">
        <v>5356.9585097053823</v>
      </c>
      <c r="AY180" s="348">
        <v>5500.4057757679702</v>
      </c>
      <c r="AZ180" s="348">
        <v>5697.2110954959126</v>
      </c>
      <c r="BA180" s="348">
        <v>5809.0996446461686</v>
      </c>
      <c r="BB180" s="348">
        <v>5538.3658931707041</v>
      </c>
      <c r="BC180" s="348">
        <v>5701.1279018056366</v>
      </c>
      <c r="BD180" s="348">
        <v>5976.2528449584142</v>
      </c>
      <c r="BE180" s="348">
        <v>6275.7876907774007</v>
      </c>
      <c r="BF180" s="348">
        <v>6494.1496110319886</v>
      </c>
      <c r="BG180" s="348">
        <v>6712.2174981631606</v>
      </c>
      <c r="BH180" s="348">
        <v>6939.0328620773107</v>
      </c>
      <c r="BI180" s="348">
        <v>7158.7579976037796</v>
      </c>
      <c r="BJ180" s="348">
        <v>7391.1968394629412</v>
      </c>
      <c r="BK180" s="348">
        <v>7049.0275344235188</v>
      </c>
      <c r="BL180" s="348">
        <v>6756.5937582908136</v>
      </c>
      <c r="BM180" s="348">
        <v>6523.3698502277985</v>
      </c>
      <c r="BN180" s="348">
        <v>7119.169233600418</v>
      </c>
      <c r="BO180" s="348">
        <v>7277.8226480456151</v>
      </c>
      <c r="BP180" s="348">
        <v>7496.5292687685014</v>
      </c>
      <c r="BQ180" s="350">
        <v>7661.602027228183</v>
      </c>
    </row>
    <row r="181" spans="1:69" x14ac:dyDescent="0.25">
      <c r="A181" s="348" t="s">
        <v>1395</v>
      </c>
      <c r="B181" s="348" t="s">
        <v>1396</v>
      </c>
      <c r="C181" s="348" t="s">
        <v>1578</v>
      </c>
      <c r="D181" s="348" t="s">
        <v>1579</v>
      </c>
      <c r="AI181" s="348">
        <v>43128.312639093849</v>
      </c>
      <c r="AJ181" s="348">
        <v>43833.484171269753</v>
      </c>
      <c r="AK181" s="348">
        <v>44245.525485032878</v>
      </c>
      <c r="AL181" s="348">
        <v>44490.756185568229</v>
      </c>
      <c r="AM181" s="348">
        <v>45532.804525384927</v>
      </c>
      <c r="AN181" s="348">
        <v>46720.287922014417</v>
      </c>
      <c r="AO181" s="348">
        <v>48095.966024712048</v>
      </c>
      <c r="AP181" s="348">
        <v>49881.875832346101</v>
      </c>
      <c r="AQ181" s="348">
        <v>51879.380325907267</v>
      </c>
      <c r="AR181" s="348">
        <v>54134.362286511307</v>
      </c>
      <c r="AS181" s="348">
        <v>56016.872721841581</v>
      </c>
      <c r="AT181" s="348">
        <v>56887.433273111063</v>
      </c>
      <c r="AU181" s="348">
        <v>56664.413437230301</v>
      </c>
      <c r="AV181" s="348">
        <v>56452.867480564368</v>
      </c>
      <c r="AW181" s="348">
        <v>57391.364520246832</v>
      </c>
      <c r="AX181" s="348">
        <v>58422.013519744418</v>
      </c>
      <c r="AY181" s="348">
        <v>60391.544265121032</v>
      </c>
      <c r="AZ181" s="348">
        <v>62601.620571818297</v>
      </c>
      <c r="BA181" s="348">
        <v>63678.403283499589</v>
      </c>
      <c r="BB181" s="348">
        <v>61029.729885571433</v>
      </c>
      <c r="BC181" s="348">
        <v>61518.554008871659</v>
      </c>
      <c r="BD181" s="348">
        <v>62318.141622623123</v>
      </c>
      <c r="BE181" s="348">
        <v>61480.812601496138</v>
      </c>
      <c r="BF181" s="348">
        <v>61281.288807751989</v>
      </c>
      <c r="BG181" s="348">
        <v>62045.856380208519</v>
      </c>
      <c r="BH181" s="348">
        <v>63081.39413506772</v>
      </c>
      <c r="BI181" s="348">
        <v>64267.736357935028</v>
      </c>
      <c r="BJ181" s="348">
        <v>65666.003659323746</v>
      </c>
      <c r="BK181" s="348">
        <v>66758.264014575296</v>
      </c>
      <c r="BL181" s="348">
        <v>67847.854292679549</v>
      </c>
      <c r="BM181" s="348">
        <v>64862.192249636602</v>
      </c>
      <c r="BN181" s="348">
        <v>68573.564878644625</v>
      </c>
      <c r="BO181" s="348">
        <v>71324.036034927689</v>
      </c>
      <c r="BP181" s="348">
        <v>70198.929790902228</v>
      </c>
      <c r="BQ181" s="350">
        <v>70498.884039607088</v>
      </c>
    </row>
    <row r="182" spans="1:69" x14ac:dyDescent="0.25">
      <c r="A182" s="348" t="s">
        <v>1397</v>
      </c>
      <c r="B182" s="348" t="s">
        <v>1398</v>
      </c>
      <c r="C182" s="348" t="s">
        <v>1578</v>
      </c>
      <c r="D182" s="348" t="s">
        <v>1579</v>
      </c>
      <c r="AI182" s="348">
        <v>57106.883947700517</v>
      </c>
      <c r="AJ182" s="348">
        <v>58588.468379367107</v>
      </c>
      <c r="AK182" s="348">
        <v>60333.44946612756</v>
      </c>
      <c r="AL182" s="348">
        <v>61681.80328307749</v>
      </c>
      <c r="AM182" s="348">
        <v>64432.072371696901</v>
      </c>
      <c r="AN182" s="348">
        <v>66762.158727686445</v>
      </c>
      <c r="AO182" s="348">
        <v>69764.381424618696</v>
      </c>
      <c r="AP182" s="348">
        <v>73053.965525643449</v>
      </c>
      <c r="AQ182" s="348">
        <v>74558.294898956243</v>
      </c>
      <c r="AR182" s="348">
        <v>75583.834403853994</v>
      </c>
      <c r="AS182" s="348">
        <v>77587.20731825578</v>
      </c>
      <c r="AT182" s="348">
        <v>78791.304570712862</v>
      </c>
      <c r="AU182" s="348">
        <v>79447.091482442585</v>
      </c>
      <c r="AV182" s="348">
        <v>79728.784997330906</v>
      </c>
      <c r="AW182" s="348">
        <v>82440.955880111273</v>
      </c>
      <c r="AX182" s="348">
        <v>84079.99624188905</v>
      </c>
      <c r="AY182" s="348">
        <v>85458.546693402299</v>
      </c>
      <c r="AZ182" s="348">
        <v>87043.497935759267</v>
      </c>
      <c r="BA182" s="348">
        <v>86379.662483229113</v>
      </c>
      <c r="BB182" s="348">
        <v>83642.06957477727</v>
      </c>
      <c r="BC182" s="348">
        <v>83256.788072255731</v>
      </c>
      <c r="BD182" s="348">
        <v>83092.434221644144</v>
      </c>
      <c r="BE182" s="348">
        <v>84237.149566381617</v>
      </c>
      <c r="BF182" s="348">
        <v>84070.458394047804</v>
      </c>
      <c r="BG182" s="348">
        <v>84830.255801696127</v>
      </c>
      <c r="BH182" s="348">
        <v>85550.294261449453</v>
      </c>
      <c r="BI182" s="348">
        <v>85787.617441042414</v>
      </c>
      <c r="BJ182" s="348">
        <v>87194.111542137369</v>
      </c>
      <c r="BK182" s="348">
        <v>87338.470800898533</v>
      </c>
      <c r="BL182" s="348">
        <v>87725.728325461343</v>
      </c>
      <c r="BM182" s="348">
        <v>86096.050894750588</v>
      </c>
      <c r="BN182" s="348">
        <v>88984.138673651498</v>
      </c>
      <c r="BO182" s="348">
        <v>91051.0831968407</v>
      </c>
      <c r="BP182" s="348">
        <v>90085.438205978557</v>
      </c>
      <c r="BQ182" s="350">
        <v>91105.246799622983</v>
      </c>
    </row>
    <row r="183" spans="1:69" x14ac:dyDescent="0.25">
      <c r="A183" s="348" t="s">
        <v>1399</v>
      </c>
      <c r="B183" s="348" t="s">
        <v>1400</v>
      </c>
      <c r="C183" s="348" t="s">
        <v>1578</v>
      </c>
      <c r="D183" s="348" t="s">
        <v>1579</v>
      </c>
      <c r="AI183" s="348">
        <v>1808.264900416536</v>
      </c>
      <c r="AJ183" s="348">
        <v>1874.275135952118</v>
      </c>
      <c r="AK183" s="348">
        <v>1896.9716629774709</v>
      </c>
      <c r="AL183" s="348">
        <v>1916.9435266615619</v>
      </c>
      <c r="AM183" s="348">
        <v>2023.115196821549</v>
      </c>
      <c r="AN183" s="348">
        <v>2043.6051716006909</v>
      </c>
      <c r="AO183" s="348">
        <v>2105.5083271385729</v>
      </c>
      <c r="AP183" s="348">
        <v>2166.3126334504968</v>
      </c>
      <c r="AQ183" s="348">
        <v>2188.2220157023048</v>
      </c>
      <c r="AR183" s="348">
        <v>2242.6501182209499</v>
      </c>
      <c r="AS183" s="348">
        <v>2340.815631412976</v>
      </c>
      <c r="AT183" s="348">
        <v>2413.8142127556039</v>
      </c>
      <c r="AU183" s="348">
        <v>2380.2442458757132</v>
      </c>
      <c r="AV183" s="348">
        <v>2439.4947960155569</v>
      </c>
      <c r="AW183" s="348">
        <v>2521.541051714275</v>
      </c>
      <c r="AX183" s="348">
        <v>2580.2310630836419</v>
      </c>
      <c r="AY183" s="348">
        <v>2641.3479949474859</v>
      </c>
      <c r="AZ183" s="348">
        <v>2708.7143922588971</v>
      </c>
      <c r="BA183" s="348">
        <v>2852.6098316796501</v>
      </c>
      <c r="BB183" s="348">
        <v>2961.8390036591209</v>
      </c>
      <c r="BC183" s="348">
        <v>3085.3140700450172</v>
      </c>
      <c r="BD183" s="348">
        <v>3176.6504060241682</v>
      </c>
      <c r="BE183" s="348">
        <v>3316.500734520208</v>
      </c>
      <c r="BF183" s="348">
        <v>3426.5579593795978</v>
      </c>
      <c r="BG183" s="348">
        <v>3621.7316893711231</v>
      </c>
      <c r="BH183" s="348">
        <v>3745.261822494766</v>
      </c>
      <c r="BI183" s="348">
        <v>3743.7445783577969</v>
      </c>
      <c r="BJ183" s="348">
        <v>4071.7043175579788</v>
      </c>
      <c r="BK183" s="348">
        <v>4371.3857177189666</v>
      </c>
      <c r="BL183" s="348">
        <v>4607.5245471711241</v>
      </c>
      <c r="BM183" s="348">
        <v>4412.5420439395002</v>
      </c>
      <c r="BN183" s="348">
        <v>4546.2297000628923</v>
      </c>
      <c r="BO183" s="348">
        <v>4763.387510739456</v>
      </c>
      <c r="BP183" s="348">
        <v>4861.2303038763876</v>
      </c>
      <c r="BQ183" s="350">
        <v>5046.8159297294624</v>
      </c>
    </row>
    <row r="184" spans="1:69" x14ac:dyDescent="0.25">
      <c r="A184" s="348" t="s">
        <v>1401</v>
      </c>
      <c r="B184" s="348" t="s">
        <v>1402</v>
      </c>
      <c r="C184" s="348" t="s">
        <v>1578</v>
      </c>
      <c r="D184" s="348" t="s">
        <v>1579</v>
      </c>
      <c r="AI184" s="348">
        <v>30123.366206368031</v>
      </c>
      <c r="AJ184" s="348">
        <v>23836.964593396071</v>
      </c>
      <c r="AK184" s="348">
        <v>19620.383633736001</v>
      </c>
      <c r="AL184" s="348">
        <v>16326.13794846549</v>
      </c>
      <c r="AM184" s="348">
        <v>15640.758376005489</v>
      </c>
      <c r="AN184" s="348">
        <v>14361.79469198173</v>
      </c>
      <c r="AO184" s="348">
        <v>12636.18159030939</v>
      </c>
      <c r="AP184" s="348">
        <v>11488.99132619688</v>
      </c>
      <c r="AQ184" s="348">
        <v>10133.678060697081</v>
      </c>
      <c r="AR184" s="348">
        <v>9478.3005069290484</v>
      </c>
      <c r="AS184" s="348">
        <v>8844.9467937300833</v>
      </c>
      <c r="AT184" s="348">
        <v>8277.8682522194249</v>
      </c>
      <c r="AU184" s="348">
        <v>7487.9310772770668</v>
      </c>
      <c r="AV184" s="348">
        <v>7526.4159499219704</v>
      </c>
      <c r="AW184" s="348">
        <v>7200.9482884552808</v>
      </c>
      <c r="AX184" s="348">
        <v>7208.8307077181926</v>
      </c>
      <c r="AY184" s="348">
        <v>7829.7149736013398</v>
      </c>
      <c r="AZ184" s="348">
        <v>6109.6010611335223</v>
      </c>
      <c r="BA184" s="348">
        <v>7339.578695081369</v>
      </c>
      <c r="BB184" s="348">
        <v>6926.9797973474606</v>
      </c>
      <c r="BC184" s="348">
        <v>6908.3570297950973</v>
      </c>
      <c r="BD184" s="348">
        <v>7881.1312559244534</v>
      </c>
      <c r="BE184" s="348">
        <v>9639.5663377132441</v>
      </c>
      <c r="BF184" s="348">
        <v>9798.4825613900375</v>
      </c>
      <c r="BG184" s="348">
        <v>11112.967336947329</v>
      </c>
      <c r="BH184" s="348">
        <v>11270.468198130789</v>
      </c>
      <c r="BI184" s="348">
        <v>11529.88569761181</v>
      </c>
      <c r="BJ184" s="348">
        <v>10631.914386320779</v>
      </c>
      <c r="BK184" s="348">
        <v>10401.28039849161</v>
      </c>
      <c r="BL184" s="348">
        <v>11183.09561625797</v>
      </c>
      <c r="BM184" s="348">
        <v>11304.57233187312</v>
      </c>
      <c r="BN184" s="348">
        <v>12112.235838422819</v>
      </c>
      <c r="BO184" s="348">
        <v>12363.64570298527</v>
      </c>
      <c r="BP184" s="348">
        <v>12372.52095310641</v>
      </c>
      <c r="BQ184" s="350">
        <v>12468.761452461489</v>
      </c>
    </row>
    <row r="185" spans="1:69" x14ac:dyDescent="0.25">
      <c r="A185" s="348" t="s">
        <v>1403</v>
      </c>
      <c r="B185" s="348" t="s">
        <v>1404</v>
      </c>
      <c r="C185" s="348" t="s">
        <v>1578</v>
      </c>
      <c r="D185" s="348" t="s">
        <v>1579</v>
      </c>
      <c r="AI185" s="348">
        <v>30695.46734863922</v>
      </c>
      <c r="AJ185" s="348">
        <v>28924.74320090871</v>
      </c>
      <c r="AK185" s="348">
        <v>28938.098022364429</v>
      </c>
      <c r="AL185" s="348">
        <v>30438.627856666099</v>
      </c>
      <c r="AM185" s="348">
        <v>31574.356897992511</v>
      </c>
      <c r="AN185" s="348">
        <v>32584.65498514393</v>
      </c>
      <c r="AO185" s="348">
        <v>33231.447797141547</v>
      </c>
      <c r="AP185" s="348">
        <v>33480.145052926237</v>
      </c>
      <c r="AQ185" s="348">
        <v>33469.253425493727</v>
      </c>
      <c r="AR185" s="348">
        <v>35084.291368525999</v>
      </c>
      <c r="AS185" s="348">
        <v>35879.791131076629</v>
      </c>
      <c r="AT185" s="348">
        <v>36885.644684201019</v>
      </c>
      <c r="AU185" s="348">
        <v>37959.065063812333</v>
      </c>
      <c r="AV185" s="348">
        <v>38976.912625757817</v>
      </c>
      <c r="AW185" s="348">
        <v>39971.770500758503</v>
      </c>
      <c r="AX185" s="348">
        <v>40848.298138742837</v>
      </c>
      <c r="AY185" s="348">
        <v>41475.121744179487</v>
      </c>
      <c r="AZ185" s="348">
        <v>42346.089483872813</v>
      </c>
      <c r="BA185" s="348">
        <v>41561.182071315103</v>
      </c>
      <c r="BB185" s="348">
        <v>41132.33684565009</v>
      </c>
      <c r="BC185" s="348">
        <v>41270.928509913319</v>
      </c>
      <c r="BD185" s="348">
        <v>41814.885183405189</v>
      </c>
      <c r="BE185" s="348">
        <v>42570.333282334323</v>
      </c>
      <c r="BF185" s="348">
        <v>43338.43737829609</v>
      </c>
      <c r="BG185" s="348">
        <v>44255.504663745953</v>
      </c>
      <c r="BH185" s="348">
        <v>44963.833915918207</v>
      </c>
      <c r="BI185" s="348">
        <v>45626.681843501843</v>
      </c>
      <c r="BJ185" s="348">
        <v>46193.288477169597</v>
      </c>
      <c r="BK185" s="348">
        <v>46947.937247913993</v>
      </c>
      <c r="BL185" s="348">
        <v>47362.319933235252</v>
      </c>
      <c r="BM185" s="348">
        <v>46266.395472895092</v>
      </c>
      <c r="BN185" s="348">
        <v>48248.717672989238</v>
      </c>
      <c r="BO185" s="348">
        <v>49964.176552315817</v>
      </c>
      <c r="BP185" s="348">
        <v>49508.269723017191</v>
      </c>
      <c r="BQ185" s="350">
        <v>49316.399943370787</v>
      </c>
    </row>
    <row r="186" spans="1:69" x14ac:dyDescent="0.25">
      <c r="A186" s="348" t="s">
        <v>1405</v>
      </c>
      <c r="B186" s="348" t="s">
        <v>1406</v>
      </c>
      <c r="C186" s="348" t="s">
        <v>1578</v>
      </c>
      <c r="D186" s="348" t="s">
        <v>1579</v>
      </c>
      <c r="AI186" s="348">
        <v>33043.762312588377</v>
      </c>
      <c r="AJ186" s="348">
        <v>33121.720862429189</v>
      </c>
      <c r="AK186" s="348">
        <v>33501.62852439515</v>
      </c>
      <c r="AL186" s="348">
        <v>33675.14266689634</v>
      </c>
      <c r="AM186" s="348">
        <v>34468.652458501427</v>
      </c>
      <c r="AN186" s="348">
        <v>35125.084477988312</v>
      </c>
      <c r="AO186" s="348">
        <v>35956.733991877503</v>
      </c>
      <c r="AP186" s="348">
        <v>36997.489594452061</v>
      </c>
      <c r="AQ186" s="348">
        <v>37811.653302447048</v>
      </c>
      <c r="AR186" s="348">
        <v>38768.125945405453</v>
      </c>
      <c r="AS186" s="348">
        <v>40100.073663528463</v>
      </c>
      <c r="AT186" s="348">
        <v>40359.774295581083</v>
      </c>
      <c r="AU186" s="348">
        <v>40691.724690750387</v>
      </c>
      <c r="AV186" s="348">
        <v>41219.289085189354</v>
      </c>
      <c r="AW186" s="348">
        <v>42284.871166412733</v>
      </c>
      <c r="AX186" s="348">
        <v>43196.360176215363</v>
      </c>
      <c r="AY186" s="348">
        <v>44265.620166680768</v>
      </c>
      <c r="AZ186" s="348">
        <v>45160.767242549671</v>
      </c>
      <c r="BA186" s="348">
        <v>45022.463792421622</v>
      </c>
      <c r="BB186" s="348">
        <v>43146.984673413397</v>
      </c>
      <c r="BC186" s="348">
        <v>44163.50000198483</v>
      </c>
      <c r="BD186" s="348">
        <v>44837.896321733482</v>
      </c>
      <c r="BE186" s="348">
        <v>45146.160247840169</v>
      </c>
      <c r="BF186" s="348">
        <v>45604.65007742028</v>
      </c>
      <c r="BG186" s="348">
        <v>46327.075056020578</v>
      </c>
      <c r="BH186" s="348">
        <v>47222.426414319889</v>
      </c>
      <c r="BI186" s="348">
        <v>47815.360682943887</v>
      </c>
      <c r="BJ186" s="348">
        <v>48824.200508716713</v>
      </c>
      <c r="BK186" s="348">
        <v>49687.007807674789</v>
      </c>
      <c r="BL186" s="348">
        <v>50306.681467933828</v>
      </c>
      <c r="BM186" s="348">
        <v>48089.314305965148</v>
      </c>
      <c r="BN186" s="348">
        <v>50955.601838224502</v>
      </c>
      <c r="BO186" s="348">
        <v>52344.690361524561</v>
      </c>
      <c r="BP186" s="348">
        <v>52929.428422708188</v>
      </c>
      <c r="BQ186" s="350">
        <v>53534.165621646483</v>
      </c>
    </row>
    <row r="187" spans="1:69" x14ac:dyDescent="0.25">
      <c r="A187" s="348" t="s">
        <v>1407</v>
      </c>
      <c r="B187" s="348" t="s">
        <v>1408</v>
      </c>
      <c r="C187" s="348" t="s">
        <v>1578</v>
      </c>
      <c r="D187" s="348" t="s">
        <v>1579</v>
      </c>
      <c r="AI187" s="348">
        <v>35201.552487108929</v>
      </c>
      <c r="AJ187" s="348">
        <v>35574.676136959919</v>
      </c>
      <c r="AK187" s="348">
        <v>36841.401155565793</v>
      </c>
      <c r="AL187" s="348">
        <v>37455.340258394986</v>
      </c>
      <c r="AM187" s="348">
        <v>37782.723828977993</v>
      </c>
      <c r="AN187" s="348">
        <v>38946.774271517497</v>
      </c>
      <c r="AO187" s="348">
        <v>39455.826411998467</v>
      </c>
      <c r="AP187" s="348">
        <v>41191.03124024436</v>
      </c>
      <c r="AQ187" s="348">
        <v>40574.674486188989</v>
      </c>
      <c r="AR187" s="348">
        <v>40145.931284169143</v>
      </c>
      <c r="AS187" s="348">
        <v>42086.043153630068</v>
      </c>
      <c r="AT187" s="348">
        <v>43492.286375455747</v>
      </c>
      <c r="AU187" s="348">
        <v>42654.148267162331</v>
      </c>
      <c r="AV187" s="348">
        <v>41247.587373310453</v>
      </c>
      <c r="AW187" s="348">
        <v>41351.768738507177</v>
      </c>
      <c r="AX187" s="348">
        <v>41551.141384455179</v>
      </c>
      <c r="AY187" s="348">
        <v>42540.439848533439</v>
      </c>
      <c r="AZ187" s="348">
        <v>43696.969144091687</v>
      </c>
      <c r="BA187" s="348">
        <v>46586.395592676672</v>
      </c>
      <c r="BB187" s="348">
        <v>48304.117892316717</v>
      </c>
      <c r="BC187" s="348">
        <v>48191.614513573702</v>
      </c>
      <c r="BD187" s="348">
        <v>44440.309261612543</v>
      </c>
      <c r="BE187" s="348">
        <v>41964.082857855232</v>
      </c>
      <c r="BF187" s="348">
        <v>40854.48535489053</v>
      </c>
      <c r="BG187" s="348">
        <v>39639.987051480217</v>
      </c>
      <c r="BH187" s="348">
        <v>39813.78870546745</v>
      </c>
      <c r="BI187" s="348">
        <v>39860.98939096884</v>
      </c>
      <c r="BJ187" s="348">
        <v>38691.107710509663</v>
      </c>
      <c r="BK187" s="348">
        <v>38673.604536085651</v>
      </c>
      <c r="BL187" s="348">
        <v>38292.385968275223</v>
      </c>
      <c r="BM187" s="348">
        <v>37560.599871495317</v>
      </c>
      <c r="BN187" s="348">
        <v>38719.45876820488</v>
      </c>
      <c r="BO187" s="348">
        <v>39780.212277498496</v>
      </c>
      <c r="BP187" s="348">
        <v>37793.616442776227</v>
      </c>
      <c r="BQ187" s="350">
        <v>36721.080463418562</v>
      </c>
    </row>
    <row r="188" spans="1:69" x14ac:dyDescent="0.25">
      <c r="A188" s="348" t="s">
        <v>1409</v>
      </c>
      <c r="B188" s="348" t="s">
        <v>1410</v>
      </c>
      <c r="C188" s="348" t="s">
        <v>1578</v>
      </c>
      <c r="D188" s="348" t="s">
        <v>1579</v>
      </c>
      <c r="AI188" s="348">
        <v>14407.070423249501</v>
      </c>
      <c r="AJ188" s="348">
        <v>14076.22831640096</v>
      </c>
      <c r="AK188" s="348">
        <v>13505.983655732431</v>
      </c>
      <c r="AL188" s="348">
        <v>13483.805370704989</v>
      </c>
      <c r="AM188" s="348">
        <v>13714.794716046999</v>
      </c>
      <c r="AN188" s="348">
        <v>14215.750491218951</v>
      </c>
      <c r="AO188" s="348">
        <v>14502.16469538724</v>
      </c>
      <c r="AP188" s="348">
        <v>15239.409392206881</v>
      </c>
      <c r="AQ188" s="348">
        <v>15421.5736882684</v>
      </c>
      <c r="AR188" s="348">
        <v>15698.001202148331</v>
      </c>
      <c r="AS188" s="348">
        <v>16795.95587387</v>
      </c>
      <c r="AT188" s="348">
        <v>17023.50582067317</v>
      </c>
      <c r="AU188" s="348">
        <v>17347.143629622071</v>
      </c>
      <c r="AV188" s="348">
        <v>17881.802968513861</v>
      </c>
      <c r="AW188" s="348">
        <v>18422.184460436671</v>
      </c>
      <c r="AX188" s="348">
        <v>19007.495473319559</v>
      </c>
      <c r="AY188" s="348">
        <v>19953.315436519679</v>
      </c>
      <c r="AZ188" s="348">
        <v>20703.886753142731</v>
      </c>
      <c r="BA188" s="348">
        <v>20620.442206476979</v>
      </c>
      <c r="BB188" s="348">
        <v>19473.352006841938</v>
      </c>
      <c r="BC188" s="348">
        <v>19848.388643650658</v>
      </c>
      <c r="BD188" s="348">
        <v>20380.363495680369</v>
      </c>
      <c r="BE188" s="348">
        <v>20463.871658383279</v>
      </c>
      <c r="BF188" s="348">
        <v>20434.046541506621</v>
      </c>
      <c r="BG188" s="348">
        <v>20650.247407708939</v>
      </c>
      <c r="BH188" s="348">
        <v>21060.11632656951</v>
      </c>
      <c r="BI188" s="348">
        <v>21602.209012528881</v>
      </c>
      <c r="BJ188" s="348">
        <v>22368.35963476172</v>
      </c>
      <c r="BK188" s="348">
        <v>22985.98194663148</v>
      </c>
      <c r="BL188" s="348">
        <v>23747.694732790809</v>
      </c>
      <c r="BM188" s="348">
        <v>22167.081854472781</v>
      </c>
      <c r="BN188" s="348">
        <v>23596.403374723741</v>
      </c>
      <c r="BO188" s="348">
        <v>24125.97816838395</v>
      </c>
      <c r="BP188" s="348">
        <v>24570.763349387009</v>
      </c>
      <c r="BQ188" s="350">
        <v>25078.04285662507</v>
      </c>
    </row>
    <row r="189" spans="1:69" x14ac:dyDescent="0.25">
      <c r="A189" s="348" t="s">
        <v>1411</v>
      </c>
      <c r="B189" s="348" t="s">
        <v>1412</v>
      </c>
      <c r="C189" s="348" t="s">
        <v>1578</v>
      </c>
      <c r="D189" s="348" t="s">
        <v>1579</v>
      </c>
      <c r="AI189" s="348">
        <v>3199.7296260983312</v>
      </c>
      <c r="AJ189" s="348">
        <v>3252.35104026309</v>
      </c>
      <c r="AK189" s="348">
        <v>3404.12138406329</v>
      </c>
      <c r="AL189" s="348">
        <v>3369.2379590602768</v>
      </c>
      <c r="AM189" s="348">
        <v>3395.5043206753949</v>
      </c>
      <c r="AN189" s="348">
        <v>3462.4733616584081</v>
      </c>
      <c r="AO189" s="348">
        <v>3526.141608751554</v>
      </c>
      <c r="AP189" s="348">
        <v>3462.5814560588919</v>
      </c>
      <c r="AQ189" s="348">
        <v>3454.1766533054451</v>
      </c>
      <c r="AR189" s="348">
        <v>3484.4567831981321</v>
      </c>
      <c r="AS189" s="348">
        <v>3531.7129153161241</v>
      </c>
      <c r="AT189" s="348">
        <v>3559.7278465871468</v>
      </c>
      <c r="AU189" s="348">
        <v>3563.678469265576</v>
      </c>
      <c r="AV189" s="348">
        <v>3668.779388525078</v>
      </c>
      <c r="AW189" s="348">
        <v>3859.6460180890258</v>
      </c>
      <c r="AX189" s="348">
        <v>4042.1545751337808</v>
      </c>
      <c r="AY189" s="348">
        <v>4185.8665565920573</v>
      </c>
      <c r="AZ189" s="348">
        <v>4257.9255687043233</v>
      </c>
      <c r="BA189" s="348">
        <v>4233.3483071549726</v>
      </c>
      <c r="BB189" s="348">
        <v>4270.4388226422943</v>
      </c>
      <c r="BC189" s="348">
        <v>4228.7817715945002</v>
      </c>
      <c r="BD189" s="348">
        <v>4246.0671088249674</v>
      </c>
      <c r="BE189" s="348">
        <v>4292.0211029348584</v>
      </c>
      <c r="BF189" s="348">
        <v>4407.1470584137651</v>
      </c>
      <c r="BG189" s="348">
        <v>4520.234633992859</v>
      </c>
      <c r="BH189" s="348">
        <v>4645.2863107114463</v>
      </c>
      <c r="BI189" s="348">
        <v>4886.6121211537811</v>
      </c>
      <c r="BJ189" s="348">
        <v>5031.5606073843346</v>
      </c>
      <c r="BK189" s="348">
        <v>5255.0635068127203</v>
      </c>
      <c r="BL189" s="348">
        <v>5295.9529513820344</v>
      </c>
      <c r="BM189" s="348">
        <v>5135.014592888394</v>
      </c>
      <c r="BN189" s="348">
        <v>5367.273647147621</v>
      </c>
      <c r="BO189" s="348">
        <v>5526.2792831021306</v>
      </c>
      <c r="BP189" s="348">
        <v>5418.7693189297042</v>
      </c>
      <c r="BQ189" s="350">
        <v>5500.3239482428517</v>
      </c>
    </row>
    <row r="190" spans="1:69" x14ac:dyDescent="0.25">
      <c r="A190" s="348" t="s">
        <v>1413</v>
      </c>
      <c r="B190" s="348" t="s">
        <v>1414</v>
      </c>
      <c r="C190" s="348" t="s">
        <v>1578</v>
      </c>
      <c r="D190" s="348" t="s">
        <v>1579</v>
      </c>
      <c r="AI190" s="348">
        <v>10263.688873241001</v>
      </c>
      <c r="AJ190" s="348">
        <v>10994.54960184212</v>
      </c>
      <c r="AK190" s="348">
        <v>11649.79577205535</v>
      </c>
      <c r="AL190" s="348">
        <v>12032.807597588409</v>
      </c>
      <c r="AM190" s="348">
        <v>12123.34922214206</v>
      </c>
      <c r="AN190" s="348">
        <v>12086.643412816629</v>
      </c>
      <c r="AO190" s="348">
        <v>12327.851499732689</v>
      </c>
      <c r="AP190" s="348">
        <v>13013.890944071471</v>
      </c>
      <c r="AQ190" s="348">
        <v>13826.532301715</v>
      </c>
      <c r="AR190" s="348">
        <v>14261.74092020874</v>
      </c>
      <c r="AS190" s="348">
        <v>14572.975245778071</v>
      </c>
      <c r="AT190" s="348">
        <v>14427.82993507084</v>
      </c>
      <c r="AU190" s="348">
        <v>14507.14383613363</v>
      </c>
      <c r="AV190" s="348">
        <v>14957.553265725121</v>
      </c>
      <c r="AW190" s="348">
        <v>15875.11270566146</v>
      </c>
      <c r="AX190" s="348">
        <v>16867.960935566971</v>
      </c>
      <c r="AY190" s="348">
        <v>18190.27413378569</v>
      </c>
      <c r="AZ190" s="348">
        <v>20208.821579609121</v>
      </c>
      <c r="BA190" s="348">
        <v>21867.818757429999</v>
      </c>
      <c r="BB190" s="348">
        <v>21822.98771721005</v>
      </c>
      <c r="BC190" s="348">
        <v>22739.11061561828</v>
      </c>
      <c r="BD190" s="348">
        <v>24999.46059224051</v>
      </c>
      <c r="BE190" s="348">
        <v>26926.885294745229</v>
      </c>
      <c r="BF190" s="348">
        <v>28135.327878726839</v>
      </c>
      <c r="BG190" s="348">
        <v>28931.804451601889</v>
      </c>
      <c r="BH190" s="348">
        <v>29933.15559659732</v>
      </c>
      <c r="BI190" s="348">
        <v>30765.23715348843</v>
      </c>
      <c r="BJ190" s="348">
        <v>31979.81226356054</v>
      </c>
      <c r="BK190" s="348">
        <v>32681.446358116791</v>
      </c>
      <c r="BL190" s="348">
        <v>33163.726919216962</v>
      </c>
      <c r="BM190" s="348">
        <v>26881.798721443669</v>
      </c>
      <c r="BN190" s="348">
        <v>30932.762780914451</v>
      </c>
      <c r="BO190" s="348">
        <v>33915.152606667369</v>
      </c>
      <c r="BP190" s="348">
        <v>35872.950647927639</v>
      </c>
      <c r="BQ190" s="350">
        <v>36394.917529114653</v>
      </c>
    </row>
    <row r="191" spans="1:69" x14ac:dyDescent="0.25">
      <c r="A191" s="348" t="s">
        <v>1415</v>
      </c>
      <c r="B191" s="348" t="s">
        <v>1416</v>
      </c>
      <c r="C191" s="348" t="s">
        <v>1578</v>
      </c>
      <c r="D191" s="348" t="s">
        <v>1579</v>
      </c>
      <c r="AI191" s="348">
        <v>6317.0790671090199</v>
      </c>
      <c r="AJ191" s="348">
        <v>6322.5749048607004</v>
      </c>
      <c r="AK191" s="348">
        <v>6161.635752584195</v>
      </c>
      <c r="AL191" s="348">
        <v>6355.2619659399716</v>
      </c>
      <c r="AM191" s="348">
        <v>6997.7058237320734</v>
      </c>
      <c r="AN191" s="348">
        <v>7372.0424545407823</v>
      </c>
      <c r="AO191" s="348">
        <v>7437.1925719565816</v>
      </c>
      <c r="AP191" s="348">
        <v>7773.8270060099176</v>
      </c>
      <c r="AQ191" s="348">
        <v>7603.8092896886674</v>
      </c>
      <c r="AR191" s="348">
        <v>7585.3278884137426</v>
      </c>
      <c r="AS191" s="348">
        <v>7669.0953178045966</v>
      </c>
      <c r="AT191" s="348">
        <v>7611.6662817531969</v>
      </c>
      <c r="AU191" s="348">
        <v>7931.5797503990734</v>
      </c>
      <c r="AV191" s="348">
        <v>8174.3794268384936</v>
      </c>
      <c r="AW191" s="348">
        <v>8495.9863928579962</v>
      </c>
      <c r="AX191" s="348">
        <v>8949.9544269107737</v>
      </c>
      <c r="AY191" s="348">
        <v>9547.9132776255428</v>
      </c>
      <c r="AZ191" s="348">
        <v>10286.354819362459</v>
      </c>
      <c r="BA191" s="348">
        <v>11151.53052156404</v>
      </c>
      <c r="BB191" s="348">
        <v>11204.37687552444</v>
      </c>
      <c r="BC191" s="348">
        <v>12059.01801833223</v>
      </c>
      <c r="BD191" s="348">
        <v>12726.599981519779</v>
      </c>
      <c r="BE191" s="348">
        <v>13395.39938058914</v>
      </c>
      <c r="BF191" s="348">
        <v>14052.137619168339</v>
      </c>
      <c r="BG191" s="348">
        <v>14244.56602129481</v>
      </c>
      <c r="BH191" s="348">
        <v>14542.7930911313</v>
      </c>
      <c r="BI191" s="348">
        <v>14917.448947358789</v>
      </c>
      <c r="BJ191" s="348">
        <v>15069.52210846589</v>
      </c>
      <c r="BK191" s="348">
        <v>15386.260164250551</v>
      </c>
      <c r="BL191" s="348">
        <v>15463.54323978818</v>
      </c>
      <c r="BM191" s="348">
        <v>13609.599960959469</v>
      </c>
      <c r="BN191" s="348">
        <v>15280.55121064864</v>
      </c>
      <c r="BO191" s="348">
        <v>15559.821643644</v>
      </c>
      <c r="BP191" s="348">
        <v>15327.581999455781</v>
      </c>
      <c r="BQ191" s="350">
        <v>15661.749771195589</v>
      </c>
    </row>
    <row r="192" spans="1:69" x14ac:dyDescent="0.25">
      <c r="A192" s="348" t="s">
        <v>1417</v>
      </c>
      <c r="B192" s="348" t="s">
        <v>1418</v>
      </c>
      <c r="C192" s="348" t="s">
        <v>1578</v>
      </c>
      <c r="D192" s="348" t="s">
        <v>1579</v>
      </c>
      <c r="AI192" s="348">
        <v>4504.4623038356667</v>
      </c>
      <c r="AJ192" s="348">
        <v>4378.3953209051751</v>
      </c>
      <c r="AK192" s="348">
        <v>4293.7181013108147</v>
      </c>
      <c r="AL192" s="348">
        <v>4283.1596778662906</v>
      </c>
      <c r="AM192" s="348">
        <v>4374.067216511653</v>
      </c>
      <c r="AN192" s="348">
        <v>4477.3231771102237</v>
      </c>
      <c r="AO192" s="348">
        <v>4631.7719770597214</v>
      </c>
      <c r="AP192" s="348">
        <v>4758.708458085146</v>
      </c>
      <c r="AQ192" s="348">
        <v>4616.6729290061658</v>
      </c>
      <c r="AR192" s="348">
        <v>4650.7592694758914</v>
      </c>
      <c r="AS192" s="348">
        <v>4740.4389169456917</v>
      </c>
      <c r="AT192" s="348">
        <v>4778.4008437473958</v>
      </c>
      <c r="AU192" s="348">
        <v>4856.4994842956712</v>
      </c>
      <c r="AV192" s="348">
        <v>5003.3831771871583</v>
      </c>
      <c r="AW192" s="348">
        <v>5229.4508070016482</v>
      </c>
      <c r="AX192" s="348">
        <v>5386.8165371289133</v>
      </c>
      <c r="AY192" s="348">
        <v>5578.5722511213889</v>
      </c>
      <c r="AZ192" s="348">
        <v>5840.0681016996532</v>
      </c>
      <c r="BA192" s="348">
        <v>5987.0375786183549</v>
      </c>
      <c r="BB192" s="348">
        <v>5965.3073090222106</v>
      </c>
      <c r="BC192" s="348">
        <v>6273.0392773151452</v>
      </c>
      <c r="BD192" s="348">
        <v>6388.3129695997704</v>
      </c>
      <c r="BE192" s="348">
        <v>6697.5562096276844</v>
      </c>
      <c r="BF192" s="348">
        <v>7016.5384647043584</v>
      </c>
      <c r="BG192" s="348">
        <v>7340.3615859119946</v>
      </c>
      <c r="BH192" s="348">
        <v>7691.7630868504693</v>
      </c>
      <c r="BI192" s="348">
        <v>8131.825379486535</v>
      </c>
      <c r="BJ192" s="348">
        <v>8584.1362270969948</v>
      </c>
      <c r="BK192" s="348">
        <v>9016.2865963760833</v>
      </c>
      <c r="BL192" s="348">
        <v>9452.2939715980956</v>
      </c>
      <c r="BM192" s="348">
        <v>8455.1845713410639</v>
      </c>
      <c r="BN192" s="348">
        <v>8857.7899511551386</v>
      </c>
      <c r="BO192" s="348">
        <v>9457.1039540288311</v>
      </c>
      <c r="BP192" s="348">
        <v>9898.5329458874621</v>
      </c>
      <c r="BQ192" s="350">
        <v>10375.940417993759</v>
      </c>
    </row>
    <row r="193" spans="1:69" x14ac:dyDescent="0.25">
      <c r="A193" s="348" t="s">
        <v>1419</v>
      </c>
      <c r="B193" s="348" t="s">
        <v>1420</v>
      </c>
      <c r="C193" s="348" t="s">
        <v>1578</v>
      </c>
      <c r="D193" s="348" t="s">
        <v>1579</v>
      </c>
      <c r="AI193" s="348">
        <v>17851.183359740699</v>
      </c>
      <c r="AJ193" s="348">
        <v>18301.05086811306</v>
      </c>
      <c r="AK193" s="348">
        <v>16728.021022678531</v>
      </c>
      <c r="AL193" s="348">
        <v>14327.272858355151</v>
      </c>
      <c r="AM193" s="348">
        <v>15008.31898901579</v>
      </c>
      <c r="AN193" s="348">
        <v>16232.837296350821</v>
      </c>
      <c r="AO193" s="348">
        <v>17455.11592797198</v>
      </c>
      <c r="AP193" s="348">
        <v>17408.8855585991</v>
      </c>
      <c r="AQ193" s="348">
        <v>17358.284136131071</v>
      </c>
      <c r="AR193" s="348">
        <v>16093.40278665292</v>
      </c>
      <c r="AS193" s="348">
        <v>15447.95176447316</v>
      </c>
      <c r="AT193" s="348">
        <v>16433.641170337189</v>
      </c>
      <c r="AU193" s="348">
        <v>17075.248745233359</v>
      </c>
      <c r="AV193" s="348">
        <v>16579.313797834551</v>
      </c>
      <c r="AW193" s="348">
        <v>17015.68002557884</v>
      </c>
      <c r="AX193" s="348">
        <v>17507.4363236754</v>
      </c>
      <c r="AY193" s="348">
        <v>17749.774277846798</v>
      </c>
      <c r="AZ193" s="348">
        <v>18255.669310413119</v>
      </c>
      <c r="BA193" s="348">
        <v>17574.07513373383</v>
      </c>
      <c r="BB193" s="348">
        <v>16688.723464211638</v>
      </c>
      <c r="BC193" s="348">
        <v>16524.042693751191</v>
      </c>
      <c r="BD193" s="348">
        <v>17670.91387445373</v>
      </c>
      <c r="BE193" s="348">
        <v>18279.889270501921</v>
      </c>
      <c r="BF193" s="348">
        <v>17931.431235951932</v>
      </c>
      <c r="BG193" s="348">
        <v>18786.83328750277</v>
      </c>
      <c r="BH193" s="348">
        <v>20212.01810588819</v>
      </c>
      <c r="BI193" s="348">
        <v>20449.131660830692</v>
      </c>
      <c r="BJ193" s="348">
        <v>19821.09836039829</v>
      </c>
      <c r="BK193" s="348">
        <v>19572.344645045228</v>
      </c>
      <c r="BL193" s="348">
        <v>19519.018546453011</v>
      </c>
      <c r="BM193" s="348">
        <v>18183.736920197502</v>
      </c>
      <c r="BN193" s="348">
        <v>15780.55011588655</v>
      </c>
      <c r="BO193" s="348">
        <v>16040.90805646815</v>
      </c>
      <c r="BP193" s="348">
        <v>16425.972271444622</v>
      </c>
    </row>
    <row r="194" spans="1:69" x14ac:dyDescent="0.25">
      <c r="A194" s="348" t="s">
        <v>1421</v>
      </c>
      <c r="B194" s="348" t="s">
        <v>1422</v>
      </c>
      <c r="C194" s="348" t="s">
        <v>1578</v>
      </c>
      <c r="D194" s="348" t="s">
        <v>1579</v>
      </c>
      <c r="AI194" s="348">
        <v>3164.1488734876648</v>
      </c>
      <c r="AJ194" s="348">
        <v>3358.1886520578942</v>
      </c>
      <c r="AK194" s="348">
        <v>3690.3450262969418</v>
      </c>
      <c r="AL194" s="348">
        <v>4206.4291173035344</v>
      </c>
      <c r="AM194" s="348">
        <v>4297.8911618291786</v>
      </c>
      <c r="AN194" s="348">
        <v>4008.7220378363309</v>
      </c>
      <c r="AO194" s="348">
        <v>4167.0362207787211</v>
      </c>
      <c r="AP194" s="348">
        <v>3864.2303041123691</v>
      </c>
      <c r="AQ194" s="348">
        <v>3590.1001228079308</v>
      </c>
      <c r="AR194" s="348">
        <v>3531.659532465997</v>
      </c>
      <c r="AS194" s="348">
        <v>3326.7985997052801</v>
      </c>
      <c r="AT194" s="348">
        <v>3211.7593296320829</v>
      </c>
      <c r="AU194" s="348">
        <v>3100.7950995254268</v>
      </c>
      <c r="AV194" s="348">
        <v>3064.4440299534522</v>
      </c>
      <c r="AW194" s="348">
        <v>3046.3328960266581</v>
      </c>
      <c r="AX194" s="348">
        <v>3136.5856825103492</v>
      </c>
      <c r="AY194" s="348">
        <v>3202.4873042638828</v>
      </c>
      <c r="AZ194" s="348">
        <v>3345.85030363442</v>
      </c>
      <c r="BA194" s="348">
        <v>3233.918118728121</v>
      </c>
      <c r="BB194" s="348">
        <v>3349.643453898826</v>
      </c>
      <c r="BC194" s="348">
        <v>3579.1714122226672</v>
      </c>
      <c r="BD194" s="348">
        <v>3514.83277391807</v>
      </c>
      <c r="BE194" s="348">
        <v>3577.4517726758991</v>
      </c>
      <c r="BF194" s="348">
        <v>3615.283238439134</v>
      </c>
      <c r="BG194" s="348">
        <v>3998.6180500430792</v>
      </c>
      <c r="BH194" s="348">
        <v>4154.5233255918438</v>
      </c>
      <c r="BI194" s="348">
        <v>4275.7485861569776</v>
      </c>
      <c r="BJ194" s="348">
        <v>4322.2228208480556</v>
      </c>
      <c r="BK194" s="348">
        <v>4211.1454741469033</v>
      </c>
      <c r="BL194" s="348">
        <v>4301.611392055439</v>
      </c>
      <c r="BM194" s="348">
        <v>4077.631321635537</v>
      </c>
      <c r="BN194" s="348">
        <v>3976.9038011695561</v>
      </c>
      <c r="BO194" s="348">
        <v>4125.4930336520138</v>
      </c>
      <c r="BP194" s="348">
        <v>4205.8477398109617</v>
      </c>
      <c r="BQ194" s="350">
        <v>4288.5282898817559</v>
      </c>
    </row>
    <row r="195" spans="1:69" x14ac:dyDescent="0.25">
      <c r="A195" s="348" t="s">
        <v>1423</v>
      </c>
      <c r="B195" s="348" t="s">
        <v>1424</v>
      </c>
      <c r="C195" s="348" t="s">
        <v>1578</v>
      </c>
      <c r="D195" s="348" t="s">
        <v>1579</v>
      </c>
      <c r="AI195" s="348">
        <v>12821.463631657371</v>
      </c>
      <c r="AJ195" s="348">
        <v>11879.753925261881</v>
      </c>
      <c r="AK195" s="348">
        <v>12141.235132372531</v>
      </c>
      <c r="AL195" s="348">
        <v>12563.104536312399</v>
      </c>
      <c r="AM195" s="348">
        <v>13200.16141649515</v>
      </c>
      <c r="AN195" s="348">
        <v>14227.56636877977</v>
      </c>
      <c r="AO195" s="348">
        <v>15083.09812162004</v>
      </c>
      <c r="AP195" s="348">
        <v>16031.721148526511</v>
      </c>
      <c r="AQ195" s="348">
        <v>16766.649288326731</v>
      </c>
      <c r="AR195" s="348">
        <v>17556.002692798731</v>
      </c>
      <c r="AS195" s="348">
        <v>18566.354628877209</v>
      </c>
      <c r="AT195" s="348">
        <v>18800.60186484021</v>
      </c>
      <c r="AU195" s="348">
        <v>19166.913705814281</v>
      </c>
      <c r="AV195" s="348">
        <v>19855.631798918141</v>
      </c>
      <c r="AW195" s="348">
        <v>20878.65450025344</v>
      </c>
      <c r="AX195" s="348">
        <v>21568.94765943562</v>
      </c>
      <c r="AY195" s="348">
        <v>22921.19758876961</v>
      </c>
      <c r="AZ195" s="348">
        <v>24484.065666375562</v>
      </c>
      <c r="BA195" s="348">
        <v>25553.90584065341</v>
      </c>
      <c r="BB195" s="348">
        <v>26204.410367110999</v>
      </c>
      <c r="BC195" s="348">
        <v>27112.133379738141</v>
      </c>
      <c r="BD195" s="348">
        <v>28521.6612623568</v>
      </c>
      <c r="BE195" s="348">
        <v>28952.915730530061</v>
      </c>
      <c r="BF195" s="348">
        <v>29168.624211074959</v>
      </c>
      <c r="BG195" s="348">
        <v>30334.87865696185</v>
      </c>
      <c r="BH195" s="348">
        <v>31700.368236415368</v>
      </c>
      <c r="BI195" s="348">
        <v>32675.30522599538</v>
      </c>
      <c r="BJ195" s="348">
        <v>34354.59876163194</v>
      </c>
      <c r="BK195" s="348">
        <v>36500.411428258412</v>
      </c>
      <c r="BL195" s="348">
        <v>38181.623033468873</v>
      </c>
      <c r="BM195" s="348">
        <v>37852.802131363867</v>
      </c>
      <c r="BN195" s="348">
        <v>41059.584782968202</v>
      </c>
      <c r="BO195" s="348">
        <v>43405.021579744112</v>
      </c>
      <c r="BP195" s="348">
        <v>43672.766801494647</v>
      </c>
      <c r="BQ195" s="350">
        <v>45153.04397732806</v>
      </c>
    </row>
    <row r="196" spans="1:69" x14ac:dyDescent="0.25">
      <c r="A196" s="348" t="s">
        <v>1425</v>
      </c>
      <c r="B196" s="348" t="s">
        <v>1426</v>
      </c>
      <c r="C196" s="348" t="s">
        <v>1578</v>
      </c>
      <c r="D196" s="348" t="s">
        <v>1579</v>
      </c>
      <c r="AI196" s="348">
        <v>3604.0012200426982</v>
      </c>
      <c r="AJ196" s="348">
        <v>3246.3003493388692</v>
      </c>
      <c r="AK196" s="348">
        <v>3231.038226092744</v>
      </c>
      <c r="AL196" s="348">
        <v>3108.2521408695679</v>
      </c>
      <c r="AM196" s="348">
        <v>3005.2722185233488</v>
      </c>
      <c r="AN196" s="348">
        <v>3000.328584764778</v>
      </c>
      <c r="AO196" s="348">
        <v>3083.594224895593</v>
      </c>
      <c r="AP196" s="348">
        <v>3186.4838166313748</v>
      </c>
      <c r="AQ196" s="348">
        <v>3306.5596012725809</v>
      </c>
      <c r="AR196" s="348">
        <v>3343.687200045591</v>
      </c>
      <c r="AS196" s="348">
        <v>3429.7031787338442</v>
      </c>
      <c r="AT196" s="348">
        <v>3478.5431066808201</v>
      </c>
      <c r="AU196" s="348">
        <v>3594.4363098800768</v>
      </c>
      <c r="AV196" s="348">
        <v>3485.9554622437281</v>
      </c>
      <c r="AW196" s="348">
        <v>3782.9904759699698</v>
      </c>
      <c r="AX196" s="348">
        <v>3895.3030947836678</v>
      </c>
      <c r="AY196" s="348">
        <v>4021.5247271745889</v>
      </c>
      <c r="AZ196" s="348">
        <v>4153.5140614398342</v>
      </c>
      <c r="BA196" s="348">
        <v>4293.7162699795563</v>
      </c>
      <c r="BB196" s="348">
        <v>4378.0991924767441</v>
      </c>
      <c r="BC196" s="348">
        <v>4539.5825521100487</v>
      </c>
      <c r="BD196" s="348">
        <v>4606.7110732644778</v>
      </c>
      <c r="BE196" s="348">
        <v>4704.9647707124532</v>
      </c>
      <c r="BF196" s="348">
        <v>4833.1916968564683</v>
      </c>
      <c r="BG196" s="348">
        <v>4940.7014179940043</v>
      </c>
      <c r="BH196" s="348">
        <v>4951.5566627161361</v>
      </c>
      <c r="BI196" s="348">
        <v>4929.4081028335477</v>
      </c>
      <c r="BJ196" s="348">
        <v>4874.7114944762434</v>
      </c>
      <c r="BK196" s="348">
        <v>4868.4597571293116</v>
      </c>
      <c r="BL196" s="348">
        <v>4888.5991699532706</v>
      </c>
      <c r="BM196" s="348">
        <v>4558.1205232920829</v>
      </c>
      <c r="BN196" s="348">
        <v>4535.2741651974147</v>
      </c>
      <c r="BO196" s="348">
        <v>4624.9922598255871</v>
      </c>
      <c r="BP196" s="348">
        <v>4619.1135593090612</v>
      </c>
      <c r="BQ196" s="350">
        <v>4656.636370108411</v>
      </c>
    </row>
    <row r="197" spans="1:69" x14ac:dyDescent="0.25">
      <c r="A197" s="348" t="s">
        <v>1427</v>
      </c>
      <c r="B197" s="348" t="s">
        <v>1428</v>
      </c>
      <c r="C197" s="348" t="s">
        <v>1578</v>
      </c>
      <c r="D197" s="348" t="s">
        <v>1579</v>
      </c>
      <c r="AI197" s="348">
        <v>26738.81444052732</v>
      </c>
      <c r="AJ197" s="348">
        <v>27162.150788061481</v>
      </c>
      <c r="AK197" s="348">
        <v>28219.116049829299</v>
      </c>
      <c r="AL197" s="348">
        <v>29282.112179243111</v>
      </c>
      <c r="AM197" s="348">
        <v>30225.780760262762</v>
      </c>
      <c r="AN197" s="348">
        <v>31310.180164269339</v>
      </c>
      <c r="AO197" s="348">
        <v>31677.230254164439</v>
      </c>
      <c r="AP197" s="348">
        <v>32915.790570556819</v>
      </c>
      <c r="AQ197" s="348">
        <v>34537.185185947237</v>
      </c>
      <c r="AR197" s="348">
        <v>36216.838089622543</v>
      </c>
      <c r="AS197" s="348">
        <v>37298.545044713333</v>
      </c>
      <c r="AT197" s="348">
        <v>39568.552838303243</v>
      </c>
      <c r="AU197" s="348">
        <v>39879.729556696737</v>
      </c>
      <c r="AV197" s="348">
        <v>39876.067023777323</v>
      </c>
      <c r="AW197" s="348">
        <v>43355.822636526878</v>
      </c>
      <c r="AX197" s="348">
        <v>42555.708118966897</v>
      </c>
      <c r="AY197" s="348">
        <v>42133.968274877312</v>
      </c>
      <c r="AZ197" s="348">
        <v>41888.623271647783</v>
      </c>
      <c r="BA197" s="348">
        <v>41358.068913666837</v>
      </c>
      <c r="BB197" s="348">
        <v>40772.351424961213</v>
      </c>
      <c r="BC197" s="348">
        <v>40777.689282568666</v>
      </c>
      <c r="BD197" s="348">
        <v>40972.536407495943</v>
      </c>
      <c r="BE197" s="348">
        <v>41347.454201358567</v>
      </c>
      <c r="BF197" s="348">
        <v>41556.785235007417</v>
      </c>
      <c r="BG197" s="348">
        <v>41593.679828070803</v>
      </c>
      <c r="BH197" s="348">
        <v>41737.606857115257</v>
      </c>
      <c r="BI197" s="348">
        <v>41858.262669846219</v>
      </c>
      <c r="BJ197" s="348">
        <v>41479.99777320338</v>
      </c>
      <c r="BK197" s="348">
        <v>41119.308805164823</v>
      </c>
      <c r="BL197" s="348">
        <v>41656.329158136941</v>
      </c>
      <c r="BM197" s="348">
        <v>40171.386687609993</v>
      </c>
      <c r="BN197" s="348">
        <v>40559.474811811961</v>
      </c>
      <c r="BO197" s="348">
        <v>42310.958506470161</v>
      </c>
      <c r="BP197" s="348">
        <v>42837.899479126158</v>
      </c>
      <c r="BQ197" s="350">
        <v>44205.749487925546</v>
      </c>
    </row>
    <row r="198" spans="1:69" x14ac:dyDescent="0.25">
      <c r="A198" s="348" t="s">
        <v>1429</v>
      </c>
      <c r="B198" s="348" t="s">
        <v>1430</v>
      </c>
      <c r="C198" s="348" t="s">
        <v>1578</v>
      </c>
      <c r="D198" s="348" t="s">
        <v>1579</v>
      </c>
    </row>
    <row r="199" spans="1:69" x14ac:dyDescent="0.25">
      <c r="A199" s="348" t="s">
        <v>1431</v>
      </c>
      <c r="B199" s="348" t="s">
        <v>1432</v>
      </c>
      <c r="C199" s="348" t="s">
        <v>1578</v>
      </c>
      <c r="D199" s="348" t="s">
        <v>1579</v>
      </c>
      <c r="AI199" s="348">
        <v>27190.57202670434</v>
      </c>
      <c r="AJ199" s="348">
        <v>28443.794536037269</v>
      </c>
      <c r="AK199" s="348">
        <v>28776.047577261939</v>
      </c>
      <c r="AL199" s="348">
        <v>28153.615517721559</v>
      </c>
      <c r="AM199" s="348">
        <v>28348.86583863723</v>
      </c>
      <c r="AN199" s="348">
        <v>29460.814186485171</v>
      </c>
      <c r="AO199" s="348">
        <v>30378.75577563878</v>
      </c>
      <c r="AP199" s="348">
        <v>31574.402197912121</v>
      </c>
      <c r="AQ199" s="348">
        <v>32925.663872585763</v>
      </c>
      <c r="AR199" s="348">
        <v>34018.963706650473</v>
      </c>
      <c r="AS199" s="348">
        <v>35069.827570513007</v>
      </c>
      <c r="AT199" s="348">
        <v>35500.226680409003</v>
      </c>
      <c r="AU199" s="348">
        <v>35578.520030899723</v>
      </c>
      <c r="AV199" s="348">
        <v>35115.379514412722</v>
      </c>
      <c r="AW199" s="348">
        <v>35658.129825750337</v>
      </c>
      <c r="AX199" s="348">
        <v>35870.309274149877</v>
      </c>
      <c r="AY199" s="348">
        <v>36387.536737951938</v>
      </c>
      <c r="AZ199" s="348">
        <v>37226.470262670053</v>
      </c>
      <c r="BA199" s="348">
        <v>37291.504896966027</v>
      </c>
      <c r="BB199" s="348">
        <v>36092.81093146847</v>
      </c>
      <c r="BC199" s="348">
        <v>36703.114188282147</v>
      </c>
      <c r="BD199" s="348">
        <v>36127.294976615369</v>
      </c>
      <c r="BE199" s="348">
        <v>34804.633334048107</v>
      </c>
      <c r="BF199" s="348">
        <v>34651.771945505527</v>
      </c>
      <c r="BG199" s="348">
        <v>35097.409826322852</v>
      </c>
      <c r="BH199" s="348">
        <v>35803.357564976868</v>
      </c>
      <c r="BI199" s="348">
        <v>36636.297844163302</v>
      </c>
      <c r="BJ199" s="348">
        <v>37943.115050567343</v>
      </c>
      <c r="BK199" s="348">
        <v>39123.615128257123</v>
      </c>
      <c r="BL199" s="348">
        <v>40188.286879921943</v>
      </c>
      <c r="BM199" s="348">
        <v>36852.228733809963</v>
      </c>
      <c r="BN199" s="348">
        <v>38657.667722342499</v>
      </c>
      <c r="BO199" s="348">
        <v>41070.861152974023</v>
      </c>
      <c r="BP199" s="348">
        <v>41768.254919262567</v>
      </c>
      <c r="BQ199" s="350">
        <v>42197.202513582837</v>
      </c>
    </row>
    <row r="200" spans="1:69" x14ac:dyDescent="0.25">
      <c r="A200" s="348" t="s">
        <v>1433</v>
      </c>
      <c r="B200" s="348" t="s">
        <v>1434</v>
      </c>
      <c r="C200" s="348" t="s">
        <v>1578</v>
      </c>
      <c r="D200" s="348" t="s">
        <v>1579</v>
      </c>
      <c r="AI200" s="348">
        <v>9962.4802784312997</v>
      </c>
      <c r="AJ200" s="348">
        <v>10040.312245913559</v>
      </c>
      <c r="AK200" s="348">
        <v>9948.4211814565588</v>
      </c>
      <c r="AL200" s="348">
        <v>10178.454794846741</v>
      </c>
      <c r="AM200" s="348">
        <v>10459.08985004943</v>
      </c>
      <c r="AN200" s="348">
        <v>10908.272662791091</v>
      </c>
      <c r="AO200" s="348">
        <v>10825.287488108879</v>
      </c>
      <c r="AP200" s="348">
        <v>11033.015724131819</v>
      </c>
      <c r="AQ200" s="348">
        <v>10802.55974106629</v>
      </c>
      <c r="AR200" s="348">
        <v>10435.398680711151</v>
      </c>
      <c r="AS200" s="348">
        <v>9998.5928544516009</v>
      </c>
      <c r="AT200" s="348">
        <v>9749.2586584225719</v>
      </c>
      <c r="AU200" s="348">
        <v>9610.7477784215334</v>
      </c>
      <c r="AV200" s="348">
        <v>9903.4502899217587</v>
      </c>
      <c r="AW200" s="348">
        <v>10187.194394255021</v>
      </c>
      <c r="AX200" s="348">
        <v>10290.100822296001</v>
      </c>
      <c r="AY200" s="348">
        <v>10672.99332523832</v>
      </c>
      <c r="AZ200" s="348">
        <v>11141.87047018781</v>
      </c>
      <c r="BA200" s="348">
        <v>11751.139165171089</v>
      </c>
      <c r="BB200" s="348">
        <v>11601.285456509249</v>
      </c>
      <c r="BC200" s="348">
        <v>12738.576560169709</v>
      </c>
      <c r="BD200" s="348">
        <v>13109.46657179045</v>
      </c>
      <c r="BE200" s="348">
        <v>12834.80159151306</v>
      </c>
      <c r="BF200" s="348">
        <v>13700.70305153914</v>
      </c>
      <c r="BG200" s="348">
        <v>14219.354430809881</v>
      </c>
      <c r="BH200" s="348">
        <v>14427.600234981061</v>
      </c>
      <c r="BI200" s="348">
        <v>14826.663690997781</v>
      </c>
      <c r="BJ200" s="348">
        <v>15320.33664769544</v>
      </c>
      <c r="BK200" s="348">
        <v>15592.984139032171</v>
      </c>
      <c r="BL200" s="348">
        <v>15321.324552894661</v>
      </c>
      <c r="BM200" s="348">
        <v>14991.660620114801</v>
      </c>
      <c r="BN200" s="348">
        <v>15406.167064657569</v>
      </c>
      <c r="BO200" s="348">
        <v>15259.145631186169</v>
      </c>
      <c r="BP200" s="348">
        <v>15826.08750129504</v>
      </c>
      <c r="BQ200" s="350">
        <v>16296.283618926351</v>
      </c>
    </row>
    <row r="201" spans="1:69" x14ac:dyDescent="0.25">
      <c r="A201" s="348" t="s">
        <v>1435</v>
      </c>
      <c r="B201" s="348" t="s">
        <v>1436</v>
      </c>
      <c r="C201" s="348" t="s">
        <v>1578</v>
      </c>
      <c r="D201" s="348" t="s">
        <v>1579</v>
      </c>
      <c r="AM201" s="348">
        <v>3966.6887505215232</v>
      </c>
      <c r="AN201" s="348">
        <v>4062.9629033587698</v>
      </c>
      <c r="AO201" s="348">
        <v>3932.2269473285378</v>
      </c>
      <c r="AP201" s="348">
        <v>4311.5387674063622</v>
      </c>
      <c r="AQ201" s="348">
        <v>4805.191568786443</v>
      </c>
      <c r="AR201" s="348">
        <v>5071.8212171904252</v>
      </c>
      <c r="AS201" s="348">
        <v>4520.8899253197469</v>
      </c>
      <c r="AT201" s="348">
        <v>3996.5087800182109</v>
      </c>
      <c r="AU201" s="348">
        <v>3409.1728742269838</v>
      </c>
      <c r="AV201" s="348">
        <v>3788.9265272112812</v>
      </c>
      <c r="AW201" s="348">
        <v>4503.0803406140903</v>
      </c>
      <c r="AX201" s="348">
        <v>4885.0725218444441</v>
      </c>
      <c r="AY201" s="348">
        <v>4714.3733179334176</v>
      </c>
      <c r="AZ201" s="348">
        <v>4769.5232809680056</v>
      </c>
      <c r="BA201" s="348">
        <v>4984.8057989069466</v>
      </c>
      <c r="BB201" s="348">
        <v>5270.6633164321947</v>
      </c>
      <c r="BC201" s="348">
        <v>5432.2436307252174</v>
      </c>
      <c r="BD201" s="348">
        <v>5805.3211532925088</v>
      </c>
      <c r="BE201" s="348">
        <v>6009.1092582204219</v>
      </c>
      <c r="BF201" s="348">
        <v>6142.2020434259084</v>
      </c>
      <c r="BG201" s="348">
        <v>5990.4266152377822</v>
      </c>
      <c r="BH201" s="348">
        <v>6072.650317685494</v>
      </c>
      <c r="BI201" s="348">
        <v>6464.1335253737134</v>
      </c>
      <c r="BJ201" s="348">
        <v>6426.7952161533458</v>
      </c>
      <c r="BK201" s="348">
        <v>6342.937480085202</v>
      </c>
      <c r="BL201" s="348">
        <v>6269.8913452798488</v>
      </c>
      <c r="BM201" s="348">
        <v>5423.6825465312568</v>
      </c>
      <c r="BN201" s="348">
        <v>5663.1216074358426</v>
      </c>
      <c r="BO201" s="348">
        <v>5753.0839589930729</v>
      </c>
      <c r="BP201" s="348">
        <v>5361.1309808493843</v>
      </c>
      <c r="BQ201" s="350">
        <v>3845.502973754194</v>
      </c>
    </row>
    <row r="202" spans="1:69" x14ac:dyDescent="0.25">
      <c r="A202" s="348" t="s">
        <v>1437</v>
      </c>
      <c r="B202" s="348" t="s">
        <v>1438</v>
      </c>
      <c r="C202" s="348" t="s">
        <v>1578</v>
      </c>
      <c r="D202" s="348" t="s">
        <v>1579</v>
      </c>
      <c r="AI202" s="348">
        <v>5435.5318430275383</v>
      </c>
      <c r="AJ202" s="348">
        <v>5293.2028101075657</v>
      </c>
      <c r="AK202" s="348">
        <v>5483.0201019623346</v>
      </c>
      <c r="AL202" s="348">
        <v>5511.9315731826518</v>
      </c>
      <c r="AM202" s="348">
        <v>5695.9215456862194</v>
      </c>
      <c r="AN202" s="348">
        <v>5844.4313513016332</v>
      </c>
      <c r="AO202" s="348">
        <v>5969.9722618668302</v>
      </c>
      <c r="AP202" s="348">
        <v>5793.0027058454634</v>
      </c>
      <c r="AQ202" s="348">
        <v>5784.6079592322913</v>
      </c>
      <c r="AR202" s="348">
        <v>6009.1805230390728</v>
      </c>
      <c r="AS202" s="348">
        <v>5838.4525557226507</v>
      </c>
      <c r="AT202" s="348">
        <v>5836.2597902550951</v>
      </c>
      <c r="AU202" s="348">
        <v>5902.7847889185095</v>
      </c>
      <c r="AV202" s="348">
        <v>5929.1445489222124</v>
      </c>
      <c r="AW202" s="348">
        <v>6110.7768822605594</v>
      </c>
      <c r="AX202" s="348">
        <v>6160.092769716467</v>
      </c>
      <c r="AY202" s="348">
        <v>6224.2294125736807</v>
      </c>
      <c r="AZ202" s="348">
        <v>6146.0697373389421</v>
      </c>
      <c r="BA202" s="348">
        <v>6189.6746684836307</v>
      </c>
      <c r="BB202" s="348">
        <v>6079.2206589162661</v>
      </c>
      <c r="BC202" s="348">
        <v>6218.2421801019127</v>
      </c>
      <c r="BD202" s="348">
        <v>6353.3883649336922</v>
      </c>
      <c r="BE202" s="348">
        <v>6337.9032226419704</v>
      </c>
      <c r="BF202" s="348">
        <v>6481.8034685878138</v>
      </c>
      <c r="BG202" s="348">
        <v>6658.2674056849037</v>
      </c>
      <c r="BH202" s="348">
        <v>6844.5695386697898</v>
      </c>
      <c r="BI202" s="348">
        <v>6990.1887390314996</v>
      </c>
      <c r="BJ202" s="348">
        <v>7194.5039538198353</v>
      </c>
      <c r="BK202" s="348">
        <v>7314.6218032321513</v>
      </c>
      <c r="BL202" s="348">
        <v>7288.3101910452688</v>
      </c>
      <c r="BM202" s="348">
        <v>6347.2422205555749</v>
      </c>
      <c r="BN202" s="348">
        <v>6080.3159406442765</v>
      </c>
      <c r="BO202" s="348">
        <v>6653.2312628163991</v>
      </c>
      <c r="BP202" s="348">
        <v>7078.5737654214172</v>
      </c>
      <c r="BQ202" s="350">
        <v>7228.1608648516794</v>
      </c>
    </row>
    <row r="203" spans="1:69" x14ac:dyDescent="0.25">
      <c r="A203" s="348" t="s">
        <v>1439</v>
      </c>
      <c r="B203" s="348" t="s">
        <v>1440</v>
      </c>
      <c r="C203" s="348" t="s">
        <v>1578</v>
      </c>
      <c r="D203" s="348" t="s">
        <v>1579</v>
      </c>
      <c r="AI203" s="348">
        <v>36375.72716737775</v>
      </c>
      <c r="AJ203" s="348">
        <v>36411.682281465582</v>
      </c>
      <c r="AK203" s="348">
        <v>36715.849356406557</v>
      </c>
      <c r="AL203" s="348">
        <v>36742.926647677472</v>
      </c>
      <c r="AM203" s="348">
        <v>37503.12869427017</v>
      </c>
      <c r="AN203" s="348">
        <v>38263.336544027137</v>
      </c>
      <c r="AO203" s="348">
        <v>39094.789558464421</v>
      </c>
      <c r="AP203" s="348">
        <v>40170.291757939347</v>
      </c>
      <c r="AQ203" s="348">
        <v>41038.140584439861</v>
      </c>
      <c r="AR203" s="348">
        <v>42246.332891922168</v>
      </c>
      <c r="AS203" s="348">
        <v>43762.156606389261</v>
      </c>
      <c r="AT203" s="348">
        <v>44277.997147093331</v>
      </c>
      <c r="AU203" s="348">
        <v>44757.527071611737</v>
      </c>
      <c r="AV203" s="348">
        <v>45453.94277969309</v>
      </c>
      <c r="AW203" s="348">
        <v>46711.808890216278</v>
      </c>
      <c r="AX203" s="348">
        <v>47766.888180536997</v>
      </c>
      <c r="AY203" s="348">
        <v>48968.105961076653</v>
      </c>
      <c r="AZ203" s="348">
        <v>50004.593863997441</v>
      </c>
      <c r="BA203" s="348">
        <v>49922.158438583137</v>
      </c>
      <c r="BB203" s="348">
        <v>47865.912806507818</v>
      </c>
      <c r="BC203" s="348">
        <v>49038.843112134979</v>
      </c>
      <c r="BD203" s="348">
        <v>49736.683338416078</v>
      </c>
      <c r="BE203" s="348">
        <v>50035.000326229019</v>
      </c>
      <c r="BF203" s="348">
        <v>50535.500814065083</v>
      </c>
      <c r="BG203" s="348">
        <v>51236.942121920227</v>
      </c>
      <c r="BH203" s="348">
        <v>52055.518082813891</v>
      </c>
      <c r="BI203" s="348">
        <v>52761.742748429919</v>
      </c>
      <c r="BJ203" s="348">
        <v>53887.963062597817</v>
      </c>
      <c r="BK203" s="348">
        <v>54895.889718290236</v>
      </c>
      <c r="BL203" s="348">
        <v>55715.556526418222</v>
      </c>
      <c r="BM203" s="348">
        <v>53247.125875556259</v>
      </c>
      <c r="BN203" s="348">
        <v>56311.677590959043</v>
      </c>
      <c r="BO203" s="348">
        <v>57682.936641884196</v>
      </c>
      <c r="BP203" s="348">
        <v>58518.622735390389</v>
      </c>
      <c r="BQ203" s="350">
        <v>59187.870526874111</v>
      </c>
    </row>
    <row r="204" spans="1:69" x14ac:dyDescent="0.25">
      <c r="A204" s="348" t="s">
        <v>1441</v>
      </c>
      <c r="B204" s="348" t="s">
        <v>1442</v>
      </c>
      <c r="C204" s="348" t="s">
        <v>1578</v>
      </c>
      <c r="D204" s="348" t="s">
        <v>1579</v>
      </c>
    </row>
    <row r="205" spans="1:69" x14ac:dyDescent="0.25">
      <c r="A205" s="348" t="s">
        <v>1443</v>
      </c>
      <c r="B205" s="348" t="s">
        <v>1444</v>
      </c>
      <c r="C205" s="348" t="s">
        <v>1578</v>
      </c>
      <c r="D205" s="348" t="s">
        <v>1579</v>
      </c>
      <c r="AI205" s="348">
        <v>71584.376100826616</v>
      </c>
      <c r="AJ205" s="348">
        <v>68122.863990632395</v>
      </c>
      <c r="AK205" s="348">
        <v>73450.95207941212</v>
      </c>
      <c r="AL205" s="348">
        <v>70250.698820541584</v>
      </c>
      <c r="AM205" s="348">
        <v>69119.883480974706</v>
      </c>
      <c r="AN205" s="348">
        <v>68732.465573039735</v>
      </c>
      <c r="AO205" s="348">
        <v>69746.150597198779</v>
      </c>
      <c r="AP205" s="348">
        <v>87140.041480560569</v>
      </c>
      <c r="AQ205" s="348">
        <v>91901.069556813323</v>
      </c>
      <c r="AR205" s="348">
        <v>90837.373935415904</v>
      </c>
      <c r="AS205" s="348">
        <v>93186.971044017904</v>
      </c>
      <c r="AT205" s="348">
        <v>92115.734996179599</v>
      </c>
      <c r="AU205" s="348">
        <v>94111.596658833776</v>
      </c>
      <c r="AV205" s="348">
        <v>93224.362318754793</v>
      </c>
      <c r="AW205" s="348">
        <v>107023.5771470669</v>
      </c>
      <c r="AX205" s="348">
        <v>107784.41729465791</v>
      </c>
      <c r="AY205" s="348">
        <v>115383.63041361231</v>
      </c>
      <c r="AZ205" s="348">
        <v>109579.67852883021</v>
      </c>
      <c r="BA205" s="348">
        <v>109206.29731291439</v>
      </c>
      <c r="BB205" s="348">
        <v>108435.74676156959</v>
      </c>
      <c r="BC205" s="348">
        <v>129044.708988673</v>
      </c>
      <c r="BD205" s="348">
        <v>145590.75937461411</v>
      </c>
      <c r="BE205" s="348">
        <v>143830.55475291991</v>
      </c>
      <c r="BF205" s="348">
        <v>136453.93065418361</v>
      </c>
      <c r="BG205" s="348">
        <v>128013.946689103</v>
      </c>
      <c r="BH205" s="348">
        <v>123070.8232317606</v>
      </c>
      <c r="BI205" s="348">
        <v>120054.2445064151</v>
      </c>
      <c r="BJ205" s="348">
        <v>115064.8360343595</v>
      </c>
      <c r="BK205" s="348">
        <v>114909.7923354721</v>
      </c>
      <c r="BL205" s="348">
        <v>113160.83975059639</v>
      </c>
      <c r="BM205" s="348">
        <v>103061.89944460749</v>
      </c>
      <c r="BN205" s="348">
        <v>116832.65694197149</v>
      </c>
      <c r="BO205" s="348">
        <v>114740.16518158</v>
      </c>
      <c r="BP205" s="348">
        <v>116563.9925261624</v>
      </c>
      <c r="BQ205" s="350">
        <v>110889.7927016913</v>
      </c>
    </row>
    <row r="206" spans="1:69" x14ac:dyDescent="0.25">
      <c r="A206" s="348" t="s">
        <v>1445</v>
      </c>
      <c r="B206" s="348" t="s">
        <v>1446</v>
      </c>
      <c r="C206" s="348" t="s">
        <v>1578</v>
      </c>
      <c r="D206" s="348" t="s">
        <v>1579</v>
      </c>
      <c r="AI206" s="348">
        <v>16316.91233392597</v>
      </c>
      <c r="AJ206" s="348">
        <v>14333.03011910211</v>
      </c>
      <c r="AK206" s="348">
        <v>13195.096526287851</v>
      </c>
      <c r="AL206" s="348">
        <v>13415.07443604324</v>
      </c>
      <c r="AM206" s="348">
        <v>13962.83176608651</v>
      </c>
      <c r="AN206" s="348">
        <v>14863.24723129594</v>
      </c>
      <c r="AO206" s="348">
        <v>15488.62170928766</v>
      </c>
      <c r="AP206" s="348">
        <v>14780.059018818511</v>
      </c>
      <c r="AQ206" s="348">
        <v>14510.053357229681</v>
      </c>
      <c r="AR206" s="348">
        <v>14478.109394247031</v>
      </c>
      <c r="AS206" s="348">
        <v>14853.667965994309</v>
      </c>
      <c r="AT206" s="348">
        <v>15848.369637163811</v>
      </c>
      <c r="AU206" s="348">
        <v>17061.70012404419</v>
      </c>
      <c r="AV206" s="348">
        <v>17587.53555289514</v>
      </c>
      <c r="AW206" s="348">
        <v>19532.561021628349</v>
      </c>
      <c r="AX206" s="348">
        <v>20571.01082221992</v>
      </c>
      <c r="AY206" s="348">
        <v>22354.656490284378</v>
      </c>
      <c r="AZ206" s="348">
        <v>24328.494023019619</v>
      </c>
      <c r="BA206" s="348">
        <v>27039.712219533361</v>
      </c>
      <c r="BB206" s="348">
        <v>25761.73738509063</v>
      </c>
      <c r="BC206" s="348">
        <v>24903.007761383469</v>
      </c>
      <c r="BD206" s="348">
        <v>26150.856070210521</v>
      </c>
      <c r="BE206" s="348">
        <v>26767.566653240548</v>
      </c>
      <c r="BF206" s="348">
        <v>26942.043613034119</v>
      </c>
      <c r="BG206" s="348">
        <v>28156.247547681531</v>
      </c>
      <c r="BH206" s="348">
        <v>29181.999189366321</v>
      </c>
      <c r="BI206" s="348">
        <v>30189.272917288621</v>
      </c>
      <c r="BJ206" s="348">
        <v>32852.771806962657</v>
      </c>
      <c r="BK206" s="348">
        <v>34829.040299068452</v>
      </c>
      <c r="BL206" s="348">
        <v>36399.625556542604</v>
      </c>
      <c r="BM206" s="348">
        <v>35283.752356785233</v>
      </c>
      <c r="BN206" s="348">
        <v>37534.155917691147</v>
      </c>
      <c r="BO206" s="348">
        <v>39256.988883385209</v>
      </c>
      <c r="BP206" s="348">
        <v>40116.855505426262</v>
      </c>
      <c r="BQ206" s="350">
        <v>40504.000294595833</v>
      </c>
    </row>
    <row r="207" spans="1:69" x14ac:dyDescent="0.25">
      <c r="A207" s="348" t="s">
        <v>1447</v>
      </c>
      <c r="B207" s="348" t="s">
        <v>1448</v>
      </c>
      <c r="C207" s="348" t="s">
        <v>1578</v>
      </c>
      <c r="D207" s="348" t="s">
        <v>1579</v>
      </c>
      <c r="AI207" s="348">
        <v>29643.595703125</v>
      </c>
      <c r="AJ207" s="348">
        <v>28066.921875</v>
      </c>
      <c r="AK207" s="348">
        <v>23965.244140625</v>
      </c>
      <c r="AL207" s="348">
        <v>21899.517578125</v>
      </c>
      <c r="AM207" s="348">
        <v>19153.36328125</v>
      </c>
      <c r="AN207" s="348">
        <v>18363.712890625</v>
      </c>
      <c r="AO207" s="348">
        <v>17699.869140625</v>
      </c>
      <c r="AP207" s="348">
        <v>17977.3515625</v>
      </c>
      <c r="AQ207" s="348">
        <v>17052.755859375</v>
      </c>
      <c r="AR207" s="348">
        <v>18200.3203125</v>
      </c>
      <c r="AS207" s="348">
        <v>20104.75</v>
      </c>
      <c r="AT207" s="348">
        <v>21219.904296875</v>
      </c>
      <c r="AU207" s="348">
        <v>22319.677734375</v>
      </c>
      <c r="AV207" s="348">
        <v>24057.927734375</v>
      </c>
      <c r="AW207" s="348">
        <v>25894.146484375</v>
      </c>
      <c r="AX207" s="348">
        <v>27656.658203125</v>
      </c>
      <c r="AY207" s="348">
        <v>30022.671875</v>
      </c>
      <c r="AZ207" s="348">
        <v>32630.369140625</v>
      </c>
      <c r="BA207" s="348">
        <v>34342.2265625</v>
      </c>
      <c r="BB207" s="348">
        <v>31654.00390625</v>
      </c>
      <c r="BC207" s="348">
        <v>33063.5859375</v>
      </c>
      <c r="BD207" s="348">
        <v>34444.64453125</v>
      </c>
      <c r="BE207" s="348">
        <v>35740.69921875</v>
      </c>
      <c r="BF207" s="348">
        <v>36260.06640625</v>
      </c>
      <c r="BG207" s="348">
        <v>35853.24609375</v>
      </c>
      <c r="BH207" s="348">
        <v>35037.15234375</v>
      </c>
      <c r="BI207" s="348">
        <v>35005.44921875</v>
      </c>
      <c r="BJ207" s="348">
        <v>35570.390625</v>
      </c>
      <c r="BK207" s="348">
        <v>36536.6953125</v>
      </c>
      <c r="BL207" s="348">
        <v>37319.3203125</v>
      </c>
      <c r="BM207" s="348">
        <v>36376.3359375</v>
      </c>
      <c r="BN207" s="348">
        <v>38638.4296875</v>
      </c>
      <c r="BO207" s="348">
        <v>38214.49609375</v>
      </c>
      <c r="BP207" s="348">
        <v>39887.33984375</v>
      </c>
      <c r="BQ207" s="350">
        <v>41704.7109375</v>
      </c>
    </row>
    <row r="208" spans="1:69" x14ac:dyDescent="0.25">
      <c r="A208" s="348" t="s">
        <v>1449</v>
      </c>
      <c r="B208" s="348" t="s">
        <v>1450</v>
      </c>
      <c r="C208" s="348" t="s">
        <v>1578</v>
      </c>
      <c r="D208" s="348" t="s">
        <v>1579</v>
      </c>
      <c r="AI208" s="348">
        <v>1122.9913241455811</v>
      </c>
      <c r="AJ208" s="348">
        <v>1072.697106415613</v>
      </c>
      <c r="AK208" s="348">
        <v>1112.590344568968</v>
      </c>
      <c r="AL208" s="348">
        <v>984.2175299219524</v>
      </c>
      <c r="AM208" s="348">
        <v>575.36754849102169</v>
      </c>
      <c r="AN208" s="348">
        <v>931.36779006938639</v>
      </c>
      <c r="AO208" s="348">
        <v>888.13100987854864</v>
      </c>
      <c r="AP208" s="348">
        <v>874.69472829632173</v>
      </c>
      <c r="AQ208" s="348">
        <v>913.71963460584993</v>
      </c>
      <c r="AR208" s="348">
        <v>945.73321885996904</v>
      </c>
      <c r="AS208" s="348">
        <v>1016.66199090104</v>
      </c>
      <c r="AT208" s="348">
        <v>1093.184098384294</v>
      </c>
      <c r="AU208" s="348">
        <v>1220.739491955303</v>
      </c>
      <c r="AV208" s="348">
        <v>1220.4991668674179</v>
      </c>
      <c r="AW208" s="348">
        <v>1277.1928044082849</v>
      </c>
      <c r="AX208" s="348">
        <v>1360.2958757027579</v>
      </c>
      <c r="AY208" s="348">
        <v>1446.7109468655131</v>
      </c>
      <c r="AZ208" s="348">
        <v>1516.2675060932329</v>
      </c>
      <c r="BA208" s="348">
        <v>1641.777674016723</v>
      </c>
      <c r="BB208" s="348">
        <v>1699.9445299269451</v>
      </c>
      <c r="BC208" s="348">
        <v>1779.1585105156851</v>
      </c>
      <c r="BD208" s="348">
        <v>1874.2149817287279</v>
      </c>
      <c r="BE208" s="348">
        <v>1988.0121947884679</v>
      </c>
      <c r="BF208" s="348">
        <v>2032.404801940922</v>
      </c>
      <c r="BG208" s="348">
        <v>2106.2145436558849</v>
      </c>
      <c r="BH208" s="348">
        <v>2238.5394146964181</v>
      </c>
      <c r="BI208" s="348">
        <v>2316.637315738144</v>
      </c>
      <c r="BJ208" s="348">
        <v>2351.5968686622691</v>
      </c>
      <c r="BK208" s="348">
        <v>2493.440017449379</v>
      </c>
      <c r="BL208" s="348">
        <v>2667.4645843661342</v>
      </c>
      <c r="BM208" s="348">
        <v>2520.3173942537278</v>
      </c>
      <c r="BN208" s="348">
        <v>2733.435667624472</v>
      </c>
      <c r="BO208" s="348">
        <v>2892.4596494282059</v>
      </c>
      <c r="BP208" s="348">
        <v>3062.9990964944232</v>
      </c>
      <c r="BQ208" s="350">
        <v>3264.644514743924</v>
      </c>
    </row>
    <row r="209" spans="1:69" x14ac:dyDescent="0.25">
      <c r="A209" s="348" t="s">
        <v>1451</v>
      </c>
      <c r="B209" s="348" t="s">
        <v>1452</v>
      </c>
      <c r="C209" s="348" t="s">
        <v>1578</v>
      </c>
      <c r="D209" s="348" t="s">
        <v>1579</v>
      </c>
      <c r="AI209" s="348">
        <v>2221.1040111705838</v>
      </c>
      <c r="AJ209" s="348">
        <v>2207.152293662376</v>
      </c>
      <c r="AK209" s="348">
        <v>2278.2956227530731</v>
      </c>
      <c r="AL209" s="348">
        <v>2338.649094380497</v>
      </c>
      <c r="AM209" s="348">
        <v>2437.5272636842701</v>
      </c>
      <c r="AN209" s="348">
        <v>2561.138718688102</v>
      </c>
      <c r="AO209" s="348">
        <v>2688.748849500304</v>
      </c>
      <c r="AP209" s="348">
        <v>2747.1844930872899</v>
      </c>
      <c r="AQ209" s="348">
        <v>2855.9997403997309</v>
      </c>
      <c r="AR209" s="348">
        <v>3032.5386744459852</v>
      </c>
      <c r="AS209" s="348">
        <v>3097.806570681591</v>
      </c>
      <c r="AT209" s="348">
        <v>3182.3165181118088</v>
      </c>
      <c r="AU209" s="348">
        <v>3244.373011723615</v>
      </c>
      <c r="AV209" s="348">
        <v>3427.976938435796</v>
      </c>
      <c r="AW209" s="348">
        <v>3626.6599528875422</v>
      </c>
      <c r="AX209" s="348">
        <v>3844.0063274984768</v>
      </c>
      <c r="AY209" s="348">
        <v>4085.0733118729299</v>
      </c>
      <c r="AZ209" s="348">
        <v>4330.3026057184561</v>
      </c>
      <c r="BA209" s="348">
        <v>4419.8321124642216</v>
      </c>
      <c r="BB209" s="348">
        <v>4683.4232055957737</v>
      </c>
      <c r="BC209" s="348">
        <v>4997.841582093818</v>
      </c>
      <c r="BD209" s="348">
        <v>5199.398280238478</v>
      </c>
      <c r="BE209" s="348">
        <v>5421.1697399169252</v>
      </c>
      <c r="BF209" s="348">
        <v>5690.3266487174433</v>
      </c>
      <c r="BG209" s="348">
        <v>6029.5488910267859</v>
      </c>
      <c r="BH209" s="348">
        <v>6420.3975340839643</v>
      </c>
      <c r="BI209" s="348">
        <v>6853.8362204555669</v>
      </c>
      <c r="BJ209" s="348">
        <v>7237.9013460910974</v>
      </c>
      <c r="BK209" s="348">
        <v>7622.2508421199254</v>
      </c>
      <c r="BL209" s="348">
        <v>7857.6146923331389</v>
      </c>
      <c r="BM209" s="348">
        <v>7399.2146905548962</v>
      </c>
      <c r="BN209" s="348">
        <v>8015.3567446281104</v>
      </c>
      <c r="BO209" s="348">
        <v>8522.0255526636793</v>
      </c>
      <c r="BP209" s="348">
        <v>9169.1742595986925</v>
      </c>
      <c r="BQ209" s="350">
        <v>9654.1661001537959</v>
      </c>
    </row>
    <row r="210" spans="1:69" x14ac:dyDescent="0.25">
      <c r="A210" s="348" t="s">
        <v>1453</v>
      </c>
      <c r="B210" s="348" t="s">
        <v>1454</v>
      </c>
      <c r="C210" s="348" t="s">
        <v>1578</v>
      </c>
      <c r="D210" s="348" t="s">
        <v>1579</v>
      </c>
      <c r="AI210" s="348">
        <v>65196.573386052973</v>
      </c>
      <c r="AJ210" s="348">
        <v>67268.551848876305</v>
      </c>
      <c r="AK210" s="348">
        <v>67183.910029094477</v>
      </c>
      <c r="AL210" s="348">
        <v>64517.665289105178</v>
      </c>
      <c r="AM210" s="348">
        <v>62403.693732012158</v>
      </c>
      <c r="AN210" s="348">
        <v>60058.31745035106</v>
      </c>
      <c r="AO210" s="348">
        <v>59612.812599366538</v>
      </c>
      <c r="AP210" s="348">
        <v>58875.5473738828</v>
      </c>
      <c r="AQ210" s="348">
        <v>58306.62280972302</v>
      </c>
      <c r="AR210" s="348">
        <v>55878.173649442608</v>
      </c>
      <c r="AS210" s="348">
        <v>55962.266134278943</v>
      </c>
      <c r="AT210" s="348">
        <v>53309.111388543963</v>
      </c>
      <c r="AU210" s="348">
        <v>50371.978307983372</v>
      </c>
      <c r="AV210" s="348">
        <v>52234.649280791018</v>
      </c>
      <c r="AW210" s="348">
        <v>54196.551415295333</v>
      </c>
      <c r="AX210" s="348">
        <v>54931.794245084508</v>
      </c>
      <c r="AY210" s="348">
        <v>54373.737695386</v>
      </c>
      <c r="AZ210" s="348">
        <v>53318.419160183359</v>
      </c>
      <c r="BA210" s="348">
        <v>54407.708167324658</v>
      </c>
      <c r="BB210" s="348">
        <v>51760.764398756583</v>
      </c>
      <c r="BC210" s="348">
        <v>54911.547517012019</v>
      </c>
      <c r="BD210" s="348">
        <v>58645.445941653081</v>
      </c>
      <c r="BE210" s="348">
        <v>59471.700190939431</v>
      </c>
      <c r="BF210" s="348">
        <v>57998.464461915537</v>
      </c>
      <c r="BG210" s="348">
        <v>58872.26714001262</v>
      </c>
      <c r="BH210" s="348">
        <v>58498.53990406989</v>
      </c>
      <c r="BI210" s="348">
        <v>57308.448412749713</v>
      </c>
      <c r="BJ210" s="348">
        <v>57942.548498304423</v>
      </c>
      <c r="BK210" s="348">
        <v>61359.465374038773</v>
      </c>
      <c r="BL210" s="348">
        <v>62647.729948784217</v>
      </c>
      <c r="BM210" s="348">
        <v>57420.733573642363</v>
      </c>
      <c r="BN210" s="348">
        <v>62690.496664592858</v>
      </c>
      <c r="BO210" s="348">
        <v>67178.590227490626</v>
      </c>
      <c r="BP210" s="348">
        <v>64481.844192728793</v>
      </c>
      <c r="BQ210" s="350">
        <v>62792.774147637072</v>
      </c>
    </row>
    <row r="211" spans="1:69" x14ac:dyDescent="0.25">
      <c r="A211" s="348" t="s">
        <v>1455</v>
      </c>
      <c r="B211" s="348" t="s">
        <v>1456</v>
      </c>
      <c r="C211" s="348" t="s">
        <v>1578</v>
      </c>
      <c r="D211" s="348" t="s">
        <v>1579</v>
      </c>
      <c r="AI211" s="348">
        <v>2460.18872070313</v>
      </c>
      <c r="AJ211" s="348">
        <v>2591.869140625</v>
      </c>
      <c r="AK211" s="348">
        <v>2709.7900390625</v>
      </c>
      <c r="AL211" s="348">
        <v>2777.27490234375</v>
      </c>
      <c r="AM211" s="348">
        <v>2736.47192382813</v>
      </c>
      <c r="AN211" s="348">
        <v>2824.63208007813</v>
      </c>
      <c r="AO211" s="348">
        <v>2924.29077148438</v>
      </c>
      <c r="AP211" s="348">
        <v>3380.18676757813</v>
      </c>
      <c r="AQ211" s="348">
        <v>3441.17919921875</v>
      </c>
      <c r="AR211" s="348">
        <v>3459.22998046875</v>
      </c>
      <c r="AS211" s="348">
        <v>3575.85205078125</v>
      </c>
      <c r="AT211" s="348">
        <v>3701.548828125</v>
      </c>
      <c r="AU211" s="348">
        <v>3814.31323242188</v>
      </c>
      <c r="AV211" s="348">
        <v>3946.92260742188</v>
      </c>
      <c r="AW211" s="348">
        <v>4041.05712890625</v>
      </c>
      <c r="AX211" s="348">
        <v>4152.32275390625</v>
      </c>
      <c r="AY211" s="348">
        <v>4299.97412109375</v>
      </c>
      <c r="AZ211" s="348">
        <v>4415.78515625</v>
      </c>
      <c r="BA211" s="348">
        <v>4446.40966796875</v>
      </c>
      <c r="BB211" s="348">
        <v>4188.0546875</v>
      </c>
      <c r="BC211" s="348">
        <v>4219.8369140625</v>
      </c>
      <c r="BD211" s="348">
        <v>4467.6259765625</v>
      </c>
      <c r="BE211" s="348">
        <v>4145.931640625</v>
      </c>
      <c r="BF211" s="348">
        <v>4130.48583984375</v>
      </c>
      <c r="BG211" s="348">
        <v>4207.50048828125</v>
      </c>
      <c r="BH211" s="348">
        <v>4159.1943359375</v>
      </c>
      <c r="BI211" s="348">
        <v>4174.56103515625</v>
      </c>
      <c r="BJ211" s="348">
        <v>4061.01831054688</v>
      </c>
      <c r="BK211" s="348">
        <v>3816.65991210938</v>
      </c>
      <c r="BL211" s="348">
        <v>3625.52319335938</v>
      </c>
      <c r="BM211" s="348">
        <v>3401.24975585938</v>
      </c>
      <c r="BN211" s="348">
        <v>3248.9755859375</v>
      </c>
      <c r="BO211" s="348">
        <v>3132.0771484375</v>
      </c>
      <c r="BP211" s="348">
        <v>2181.0791015625</v>
      </c>
      <c r="BQ211" s="350">
        <v>1861.39794921875</v>
      </c>
    </row>
    <row r="212" spans="1:69" x14ac:dyDescent="0.25">
      <c r="A212" s="348" t="s">
        <v>1457</v>
      </c>
      <c r="B212" s="348" t="s">
        <v>1458</v>
      </c>
      <c r="C212" s="348" t="s">
        <v>1578</v>
      </c>
      <c r="D212" s="348" t="s">
        <v>1579</v>
      </c>
      <c r="AI212" s="348">
        <v>2923.34412469673</v>
      </c>
      <c r="AJ212" s="348">
        <v>2917.0142778502668</v>
      </c>
      <c r="AK212" s="348">
        <v>2874.002979663107</v>
      </c>
      <c r="AL212" s="348">
        <v>2834.0279728131832</v>
      </c>
      <c r="AM212" s="348">
        <v>2757.8608751384431</v>
      </c>
      <c r="AN212" s="348">
        <v>2835.0327287449591</v>
      </c>
      <c r="AO212" s="348">
        <v>2822.4683732385629</v>
      </c>
      <c r="AP212" s="348">
        <v>2840.6080885983179</v>
      </c>
      <c r="AQ212" s="348">
        <v>2938.6916255152519</v>
      </c>
      <c r="AR212" s="348">
        <v>3050.178009986962</v>
      </c>
      <c r="AS212" s="348">
        <v>3093.2879160261532</v>
      </c>
      <c r="AT212" s="348">
        <v>3149.3311370350261</v>
      </c>
      <c r="AU212" s="348">
        <v>3075.2315750311182</v>
      </c>
      <c r="AV212" s="348">
        <v>3170.0349468847921</v>
      </c>
      <c r="AW212" s="348">
        <v>3240.3020166983961</v>
      </c>
      <c r="AX212" s="348">
        <v>3301.8207616081481</v>
      </c>
      <c r="AY212" s="348">
        <v>3301.0315241419289</v>
      </c>
      <c r="AZ212" s="348">
        <v>3316.4203783477428</v>
      </c>
      <c r="BA212" s="348">
        <v>3359.705670903114</v>
      </c>
      <c r="BB212" s="348">
        <v>3371.461666886159</v>
      </c>
      <c r="BC212" s="348">
        <v>3403.567071659189</v>
      </c>
      <c r="BD212" s="348">
        <v>3362.8794053733159</v>
      </c>
      <c r="BE212" s="348">
        <v>3405.1086446082431</v>
      </c>
      <c r="BF212" s="348">
        <v>3385.4259068656161</v>
      </c>
      <c r="BG212" s="348">
        <v>3484.0121974979752</v>
      </c>
      <c r="BH212" s="348">
        <v>3593.7947712038881</v>
      </c>
      <c r="BI212" s="348">
        <v>3710.0553158972361</v>
      </c>
      <c r="BJ212" s="348">
        <v>3871.4514678592</v>
      </c>
      <c r="BK212" s="348">
        <v>3998.2863530340578</v>
      </c>
      <c r="BL212" s="348">
        <v>4070.6122705859389</v>
      </c>
      <c r="BM212" s="348">
        <v>4018.0412927735761</v>
      </c>
      <c r="BN212" s="348">
        <v>4173.6774139961944</v>
      </c>
      <c r="BO212" s="348">
        <v>4228.7338264297414</v>
      </c>
      <c r="BP212" s="348">
        <v>4304.7614872023232</v>
      </c>
      <c r="BQ212" s="350">
        <v>4460.9237217631844</v>
      </c>
    </row>
    <row r="213" spans="1:69" x14ac:dyDescent="0.25">
      <c r="A213" s="348" t="s">
        <v>1459</v>
      </c>
      <c r="B213" s="348" t="s">
        <v>1460</v>
      </c>
      <c r="C213" s="348" t="s">
        <v>1578</v>
      </c>
      <c r="D213" s="348" t="s">
        <v>1579</v>
      </c>
      <c r="AI213" s="348">
        <v>45567.790389146292</v>
      </c>
      <c r="AJ213" s="348">
        <v>47251.694441600193</v>
      </c>
      <c r="AK213" s="348">
        <v>48897.810341574957</v>
      </c>
      <c r="AL213" s="348">
        <v>53139.844472382007</v>
      </c>
      <c r="AM213" s="348">
        <v>57213.097764580132</v>
      </c>
      <c r="AN213" s="348">
        <v>59483.638312112293</v>
      </c>
      <c r="AO213" s="348">
        <v>61381.75237092084</v>
      </c>
      <c r="AP213" s="348">
        <v>64291.202469433338</v>
      </c>
      <c r="AQ213" s="348">
        <v>60782.197205800243</v>
      </c>
      <c r="AR213" s="348">
        <v>63746.479222704598</v>
      </c>
      <c r="AS213" s="348">
        <v>68314.544402716638</v>
      </c>
      <c r="AT213" s="348">
        <v>65784.401881378304</v>
      </c>
      <c r="AU213" s="348">
        <v>67744.270267980828</v>
      </c>
      <c r="AV213" s="348">
        <v>71877.534863355177</v>
      </c>
      <c r="AW213" s="348">
        <v>78039.024710381986</v>
      </c>
      <c r="AX213" s="348">
        <v>81841.158780105441</v>
      </c>
      <c r="AY213" s="348">
        <v>86463.828383660672</v>
      </c>
      <c r="AZ213" s="348">
        <v>90417.80738499666</v>
      </c>
      <c r="BA213" s="348">
        <v>87329.593779268645</v>
      </c>
      <c r="BB213" s="348">
        <v>84843.519400173362</v>
      </c>
      <c r="BC213" s="348">
        <v>95456.189307999637</v>
      </c>
      <c r="BD213" s="348">
        <v>99296.756111126859</v>
      </c>
      <c r="BE213" s="348">
        <v>101187.82533345401</v>
      </c>
      <c r="BF213" s="348">
        <v>104359.0306807236</v>
      </c>
      <c r="BG213" s="348">
        <v>107066.8586139915</v>
      </c>
      <c r="BH213" s="348">
        <v>108953.72429428709</v>
      </c>
      <c r="BI213" s="348">
        <v>111579.7426843305</v>
      </c>
      <c r="BJ213" s="348">
        <v>116471.8207647763</v>
      </c>
      <c r="BK213" s="348">
        <v>119927.76912792699</v>
      </c>
      <c r="BL213" s="348">
        <v>120114.1338942352</v>
      </c>
      <c r="BM213" s="348">
        <v>115893.04239593779</v>
      </c>
      <c r="BN213" s="348">
        <v>132617.3540208764</v>
      </c>
      <c r="BO213" s="348">
        <v>133571.9624103219</v>
      </c>
      <c r="BP213" s="348">
        <v>129555.24550924179</v>
      </c>
      <c r="BQ213" s="350">
        <v>132569.52522579461</v>
      </c>
    </row>
    <row r="214" spans="1:69" x14ac:dyDescent="0.25">
      <c r="A214" s="348" t="s">
        <v>1461</v>
      </c>
      <c r="B214" s="348" t="s">
        <v>1462</v>
      </c>
      <c r="C214" s="348" t="s">
        <v>1578</v>
      </c>
      <c r="D214" s="348" t="s">
        <v>1579</v>
      </c>
      <c r="AI214" s="348">
        <v>2352.399210310703</v>
      </c>
      <c r="AJ214" s="348">
        <v>2418.365795842918</v>
      </c>
      <c r="AK214" s="348">
        <v>2644.5005242274801</v>
      </c>
      <c r="AL214" s="348">
        <v>2669.6759584514889</v>
      </c>
      <c r="AM214" s="348">
        <v>2802.2325120190089</v>
      </c>
      <c r="AN214" s="348">
        <v>2996.2716235345119</v>
      </c>
      <c r="AO214" s="348">
        <v>2957.819179280868</v>
      </c>
      <c r="AP214" s="348">
        <v>2848.31969373436</v>
      </c>
      <c r="AQ214" s="348">
        <v>2805.2662186593998</v>
      </c>
      <c r="AR214" s="348">
        <v>2717.5271574912481</v>
      </c>
      <c r="AS214" s="348">
        <v>2276.8219192005649</v>
      </c>
      <c r="AT214" s="348">
        <v>2055.2743672454299</v>
      </c>
      <c r="AU214" s="348">
        <v>1960.4238751665389</v>
      </c>
      <c r="AV214" s="348">
        <v>2050.3087003339592</v>
      </c>
      <c r="AW214" s="348">
        <v>2168.5058684562832</v>
      </c>
      <c r="AX214" s="348">
        <v>2287.273622635124</v>
      </c>
      <c r="AY214" s="348">
        <v>2340.6515317862109</v>
      </c>
      <c r="AZ214" s="348">
        <v>2384.3178306608829</v>
      </c>
      <c r="BA214" s="348">
        <v>2489.7830620769651</v>
      </c>
      <c r="BB214" s="348">
        <v>2514.8910104335141</v>
      </c>
      <c r="BC214" s="348">
        <v>2682.2853234435361</v>
      </c>
      <c r="BD214" s="348">
        <v>2777.4785151292408</v>
      </c>
      <c r="BE214" s="348">
        <v>2743.4584991387492</v>
      </c>
      <c r="BF214" s="348">
        <v>2783.5919084122852</v>
      </c>
      <c r="BG214" s="348">
        <v>2716.422002178394</v>
      </c>
      <c r="BH214" s="348">
        <v>2664.7247788476202</v>
      </c>
      <c r="BI214" s="348">
        <v>2715.2336229393559</v>
      </c>
      <c r="BJ214" s="348">
        <v>2703.663463038853</v>
      </c>
      <c r="BK214" s="348">
        <v>2686.1190011137492</v>
      </c>
      <c r="BL214" s="348">
        <v>2661.6166792225399</v>
      </c>
      <c r="BM214" s="348">
        <v>2515.141432115277</v>
      </c>
      <c r="BN214" s="348">
        <v>2449.8700982145151</v>
      </c>
      <c r="BO214" s="348">
        <v>2330.1030919540799</v>
      </c>
      <c r="BP214" s="348">
        <v>2339.5749330280478</v>
      </c>
      <c r="BQ214" s="350">
        <v>2353.2480822924272</v>
      </c>
    </row>
    <row r="215" spans="1:69" x14ac:dyDescent="0.25">
      <c r="A215" s="348" t="s">
        <v>1463</v>
      </c>
      <c r="B215" s="348" t="s">
        <v>1464</v>
      </c>
      <c r="C215" s="348" t="s">
        <v>1578</v>
      </c>
      <c r="D215" s="348" t="s">
        <v>1579</v>
      </c>
      <c r="AI215" s="348">
        <v>2703.5991871282431</v>
      </c>
      <c r="AJ215" s="348">
        <v>2734.96862548027</v>
      </c>
      <c r="AK215" s="348">
        <v>2257.4493986880948</v>
      </c>
      <c r="AL215" s="348">
        <v>2293.5635403904689</v>
      </c>
      <c r="AM215" s="348">
        <v>2240.290050988287</v>
      </c>
      <c r="AN215" s="348">
        <v>2058.076833181457</v>
      </c>
      <c r="AO215" s="348">
        <v>2084.1822264999969</v>
      </c>
      <c r="AP215" s="348">
        <v>1936.5565310725781</v>
      </c>
      <c r="AQ215" s="348">
        <v>1951.820911178133</v>
      </c>
      <c r="AR215" s="348">
        <v>1903.3269610781031</v>
      </c>
      <c r="AS215" s="348">
        <v>1981.5060869675781</v>
      </c>
      <c r="AT215" s="348">
        <v>1749.350863241038</v>
      </c>
      <c r="AU215" s="348">
        <v>2089.261527367556</v>
      </c>
      <c r="AV215" s="348">
        <v>2196.2813454810512</v>
      </c>
      <c r="AW215" s="348">
        <v>2260.8381896154528</v>
      </c>
      <c r="AX215" s="348">
        <v>2296.6576788704829</v>
      </c>
      <c r="AY215" s="348">
        <v>2342.7546113653939</v>
      </c>
      <c r="AZ215" s="348">
        <v>2377.805301133611</v>
      </c>
      <c r="BA215" s="348">
        <v>2404.651987843527</v>
      </c>
      <c r="BB215" s="348">
        <v>2376.582545189583</v>
      </c>
      <c r="BC215" s="348">
        <v>2459.76814418708</v>
      </c>
      <c r="BD215" s="348">
        <v>2590.5283948365109</v>
      </c>
      <c r="BE215" s="348">
        <v>2792.9262654492632</v>
      </c>
      <c r="BF215" s="348">
        <v>3124.728324509409</v>
      </c>
      <c r="BG215" s="348">
        <v>2812.5283219511562</v>
      </c>
      <c r="BH215" s="348">
        <v>2628.170581463849</v>
      </c>
      <c r="BI215" s="348">
        <v>2732.2609399704779</v>
      </c>
      <c r="BJ215" s="348">
        <v>2753.427198467039</v>
      </c>
      <c r="BK215" s="348">
        <v>2767.3800338159799</v>
      </c>
      <c r="BL215" s="348">
        <v>2852.6626991749449</v>
      </c>
      <c r="BM215" s="348">
        <v>2752.6261544012109</v>
      </c>
      <c r="BN215" s="348">
        <v>2849.3886592643589</v>
      </c>
      <c r="BO215" s="348">
        <v>2934.7332643043501</v>
      </c>
      <c r="BP215" s="348">
        <v>3034.9460828562469</v>
      </c>
      <c r="BQ215" s="350">
        <v>3098.7629060966278</v>
      </c>
    </row>
    <row r="216" spans="1:69" x14ac:dyDescent="0.25">
      <c r="A216" s="348" t="s">
        <v>1465</v>
      </c>
      <c r="B216" s="348" t="s">
        <v>1466</v>
      </c>
      <c r="C216" s="348" t="s">
        <v>1578</v>
      </c>
      <c r="D216" s="348" t="s">
        <v>1579</v>
      </c>
      <c r="AI216" s="348">
        <v>5976.0176252202646</v>
      </c>
      <c r="AJ216" s="348">
        <v>5960.05892897788</v>
      </c>
      <c r="AK216" s="348">
        <v>6275.1876711690547</v>
      </c>
      <c r="AL216" s="348">
        <v>6553.0723407384057</v>
      </c>
      <c r="AM216" s="348">
        <v>6795.5060889719216</v>
      </c>
      <c r="AN216" s="348">
        <v>7057.9202524835446</v>
      </c>
      <c r="AO216" s="348">
        <v>7062.3000782413592</v>
      </c>
      <c r="AP216" s="348">
        <v>7234.9445622843486</v>
      </c>
      <c r="AQ216" s="348">
        <v>7381.1146041750044</v>
      </c>
      <c r="AR216" s="348">
        <v>7498.4674109720636</v>
      </c>
      <c r="AS216" s="348">
        <v>7545.44796218991</v>
      </c>
      <c r="AT216" s="348">
        <v>7580.3233841015863</v>
      </c>
      <c r="AU216" s="348">
        <v>7675.6710619511368</v>
      </c>
      <c r="AV216" s="348">
        <v>7780.2717768559869</v>
      </c>
      <c r="AW216" s="348">
        <v>7841.5323788684191</v>
      </c>
      <c r="AX216" s="348">
        <v>8050.5345128918952</v>
      </c>
      <c r="AY216" s="348">
        <v>8404.246749031432</v>
      </c>
      <c r="AZ216" s="348">
        <v>8548.8347611860463</v>
      </c>
      <c r="BA216" s="348">
        <v>8704.8058463259149</v>
      </c>
      <c r="BB216" s="348">
        <v>8494.498474236214</v>
      </c>
      <c r="BC216" s="348">
        <v>8648.9298271767184</v>
      </c>
      <c r="BD216" s="348">
        <v>8943.0619154332708</v>
      </c>
      <c r="BE216" s="348">
        <v>9165.4203480447813</v>
      </c>
      <c r="BF216" s="348">
        <v>9327.56424468351</v>
      </c>
      <c r="BG216" s="348">
        <v>9451.744607867</v>
      </c>
      <c r="BH216" s="348">
        <v>9646.1543233985376</v>
      </c>
      <c r="BI216" s="348">
        <v>9863.7612121445309</v>
      </c>
      <c r="BJ216" s="348">
        <v>10064.79349426006</v>
      </c>
      <c r="BK216" s="348">
        <v>10297.20361269201</v>
      </c>
      <c r="BL216" s="348">
        <v>10543.93832913167</v>
      </c>
      <c r="BM216" s="348">
        <v>9692.4493160579877</v>
      </c>
      <c r="BN216" s="348">
        <v>10809.713399517959</v>
      </c>
      <c r="BO216" s="348">
        <v>11085.617807468851</v>
      </c>
      <c r="BP216" s="348">
        <v>11424.64591769166</v>
      </c>
      <c r="BQ216" s="350">
        <v>11669.081713564399</v>
      </c>
    </row>
    <row r="217" spans="1:69" x14ac:dyDescent="0.25">
      <c r="A217" s="348" t="s">
        <v>1467</v>
      </c>
      <c r="B217" s="348" t="s">
        <v>1468</v>
      </c>
      <c r="C217" s="348" t="s">
        <v>1578</v>
      </c>
      <c r="D217" s="348" t="s">
        <v>1579</v>
      </c>
      <c r="AP217" s="348">
        <v>66923.030342424958</v>
      </c>
      <c r="AQ217" s="348">
        <v>71024.559499196766</v>
      </c>
      <c r="AR217" s="348">
        <v>76474.129715969888</v>
      </c>
      <c r="AS217" s="348">
        <v>77149.415996423253</v>
      </c>
      <c r="AT217" s="348">
        <v>80420.769852201833</v>
      </c>
      <c r="AU217" s="348">
        <v>79649.532382750942</v>
      </c>
      <c r="AV217" s="348">
        <v>81688.378683434217</v>
      </c>
      <c r="AW217" s="348">
        <v>80724.808768042058</v>
      </c>
      <c r="AX217" s="348">
        <v>81632.174898957586</v>
      </c>
      <c r="AY217" s="348">
        <v>83781.547393613044</v>
      </c>
      <c r="AZ217" s="348">
        <v>86785.018114765917</v>
      </c>
      <c r="BA217" s="348">
        <v>85120.286877271647</v>
      </c>
      <c r="BB217" s="348">
        <v>73093.831701342613</v>
      </c>
      <c r="BC217" s="348">
        <v>68669.252649134272</v>
      </c>
      <c r="BD217" s="348">
        <v>64214.118756337077</v>
      </c>
      <c r="BE217" s="348">
        <v>58176.377797396402</v>
      </c>
      <c r="BF217" s="348">
        <v>58467.97695500448</v>
      </c>
      <c r="BG217" s="348">
        <v>58743.584421942069</v>
      </c>
      <c r="BH217" s="348">
        <v>59647.659455707188</v>
      </c>
      <c r="BI217" s="348">
        <v>60669.818616752142</v>
      </c>
      <c r="BJ217" s="348">
        <v>59524.559790401778</v>
      </c>
      <c r="BK217" s="348">
        <v>59194.044290560953</v>
      </c>
      <c r="BL217" s="348">
        <v>60171.047134421693</v>
      </c>
      <c r="BM217" s="348">
        <v>55998.071099456043</v>
      </c>
      <c r="BN217" s="348">
        <v>64745.131678070124</v>
      </c>
      <c r="BO217" s="348">
        <v>70887.573899814961</v>
      </c>
      <c r="BP217" s="348">
        <v>70951.78959319758</v>
      </c>
    </row>
    <row r="218" spans="1:69" x14ac:dyDescent="0.25">
      <c r="A218" s="348" t="s">
        <v>1469</v>
      </c>
      <c r="B218" s="348" t="s">
        <v>1470</v>
      </c>
      <c r="C218" s="348" t="s">
        <v>1578</v>
      </c>
      <c r="D218" s="348" t="s">
        <v>1579</v>
      </c>
      <c r="AJ218" s="348">
        <v>837.26702279507015</v>
      </c>
      <c r="AK218" s="348">
        <v>803.78707857171298</v>
      </c>
      <c r="AL218" s="348">
        <v>812.55729115915869</v>
      </c>
      <c r="AM218" s="348">
        <v>634.72773412893366</v>
      </c>
      <c r="AN218" s="348">
        <v>636.66207130767407</v>
      </c>
      <c r="AO218" s="348">
        <v>663.35113154835449</v>
      </c>
      <c r="AP218" s="348">
        <v>648.01716355116889</v>
      </c>
      <c r="AQ218" s="348">
        <v>662.67485718569549</v>
      </c>
      <c r="AR218" s="348">
        <v>682.97912334356738</v>
      </c>
      <c r="AS218" s="348">
        <v>702.85007111761138</v>
      </c>
      <c r="AT218" s="348">
        <v>723.37973295051006</v>
      </c>
      <c r="AU218" s="348">
        <v>749.91355091211483</v>
      </c>
      <c r="AV218" s="348">
        <v>777.88455273329896</v>
      </c>
      <c r="AW218" s="348">
        <v>803.05978058057065</v>
      </c>
      <c r="AX218" s="348">
        <v>830.80724593990885</v>
      </c>
      <c r="AY218" s="348">
        <v>857.99365590194066</v>
      </c>
      <c r="AZ218" s="348">
        <v>887.36935223579042</v>
      </c>
      <c r="BA218" s="348">
        <v>919.13208345282794</v>
      </c>
      <c r="BB218" s="348">
        <v>956.22032539240456</v>
      </c>
      <c r="BC218" s="348">
        <v>995.22555551231801</v>
      </c>
      <c r="BD218" s="348">
        <v>1054.362149791061</v>
      </c>
      <c r="BE218" s="348">
        <v>1114.804148928087</v>
      </c>
      <c r="BF218" s="348">
        <v>1197.721664597467</v>
      </c>
      <c r="BG218" s="348">
        <v>1259.2743288261461</v>
      </c>
      <c r="BH218" s="348">
        <v>1343.9251743960631</v>
      </c>
      <c r="BI218" s="348">
        <v>1384.1551741013491</v>
      </c>
      <c r="BJ218" s="348">
        <v>1527.660290716718</v>
      </c>
      <c r="BK218" s="348">
        <v>1504.979082034806</v>
      </c>
      <c r="BL218" s="348">
        <v>1491.2949391840541</v>
      </c>
      <c r="BM218" s="348">
        <v>1396.0554467497759</v>
      </c>
      <c r="BN218" s="348">
        <v>1392.3178205337049</v>
      </c>
      <c r="BO218" s="348">
        <v>1387.547537321911</v>
      </c>
      <c r="BP218" s="348">
        <v>1401.647352284554</v>
      </c>
      <c r="BQ218" s="350">
        <v>1409.334922332828</v>
      </c>
    </row>
    <row r="219" spans="1:69" x14ac:dyDescent="0.25">
      <c r="A219" s="348" t="s">
        <v>1471</v>
      </c>
      <c r="B219" s="348" t="s">
        <v>1472</v>
      </c>
      <c r="C219" s="348" t="s">
        <v>1578</v>
      </c>
      <c r="D219" s="348" t="s">
        <v>1579</v>
      </c>
      <c r="AN219" s="348">
        <v>9444.7907922914746</v>
      </c>
      <c r="AO219" s="348">
        <v>10035.055590161521</v>
      </c>
      <c r="AP219" s="348">
        <v>10965.527885560619</v>
      </c>
      <c r="AQ219" s="348">
        <v>11598.378847466211</v>
      </c>
      <c r="AR219" s="348">
        <v>10438.5043036479</v>
      </c>
      <c r="AS219" s="348">
        <v>11105.994880054681</v>
      </c>
      <c r="AT219" s="348">
        <v>11879.22565386403</v>
      </c>
      <c r="AU219" s="348">
        <v>12661.992120541079</v>
      </c>
      <c r="AV219" s="348">
        <v>13273.74511156776</v>
      </c>
      <c r="AW219" s="348">
        <v>14194.423995763849</v>
      </c>
      <c r="AX219" s="348">
        <v>15077.62117282801</v>
      </c>
      <c r="AY219" s="348">
        <v>15727.468589841959</v>
      </c>
      <c r="AZ219" s="348">
        <v>17028.157313984801</v>
      </c>
      <c r="BA219" s="348">
        <v>17983.355762158539</v>
      </c>
      <c r="BB219" s="348">
        <v>17488.195247327101</v>
      </c>
      <c r="BC219" s="348">
        <v>17841.50524823981</v>
      </c>
      <c r="BD219" s="348">
        <v>17986.658618639762</v>
      </c>
      <c r="BE219" s="348">
        <v>17993.889337270801</v>
      </c>
      <c r="BF219" s="348">
        <v>18163.280055755738</v>
      </c>
      <c r="BG219" s="348">
        <v>17922.51009283898</v>
      </c>
      <c r="BH219" s="348">
        <v>18247.88477938198</v>
      </c>
      <c r="BI219" s="348">
        <v>18889.459975738479</v>
      </c>
      <c r="BJ219" s="348">
        <v>19439.072326391859</v>
      </c>
      <c r="BK219" s="348">
        <v>20454.310707952969</v>
      </c>
      <c r="BL219" s="348">
        <v>21541.215734676109</v>
      </c>
      <c r="BM219" s="348">
        <v>21479.167928981431</v>
      </c>
      <c r="BN219" s="348">
        <v>23406.40363156344</v>
      </c>
      <c r="BO219" s="348">
        <v>24651.950049458781</v>
      </c>
      <c r="BP219" s="348">
        <v>25735.240200906312</v>
      </c>
      <c r="BQ219" s="350">
        <v>26900.85309132297</v>
      </c>
    </row>
    <row r="220" spans="1:69" x14ac:dyDescent="0.25">
      <c r="A220" s="348" t="s">
        <v>1473</v>
      </c>
      <c r="B220" s="348" t="s">
        <v>1474</v>
      </c>
      <c r="C220" s="348" t="s">
        <v>1578</v>
      </c>
      <c r="D220" s="348" t="s">
        <v>1579</v>
      </c>
      <c r="AI220" s="348">
        <v>4065.820274511269</v>
      </c>
      <c r="AJ220" s="348">
        <v>3990.111007910235</v>
      </c>
      <c r="AK220" s="348">
        <v>3886.8702408493691</v>
      </c>
      <c r="AL220" s="348">
        <v>3728.4990532217448</v>
      </c>
      <c r="AM220" s="348">
        <v>3661.227529123104</v>
      </c>
      <c r="AN220" s="348">
        <v>3681.3770850214678</v>
      </c>
      <c r="AO220" s="348">
        <v>3766.8248891648991</v>
      </c>
      <c r="AP220" s="348">
        <v>3822.2051451417078</v>
      </c>
      <c r="AQ220" s="348">
        <v>3827.6259041718381</v>
      </c>
      <c r="AR220" s="348">
        <v>3805.1625385305028</v>
      </c>
      <c r="AS220" s="348">
        <v>3831.942270755108</v>
      </c>
      <c r="AT220" s="348">
        <v>3892.7269360237829</v>
      </c>
      <c r="AU220" s="348">
        <v>4050.8815990850799</v>
      </c>
      <c r="AV220" s="348">
        <v>4118.2702586678533</v>
      </c>
      <c r="AW220" s="348">
        <v>4278.5133135535316</v>
      </c>
      <c r="AX220" s="348">
        <v>4411.2394063679176</v>
      </c>
      <c r="AY220" s="348">
        <v>4549.6496201086202</v>
      </c>
      <c r="AZ220" s="348">
        <v>4695.1809683903493</v>
      </c>
      <c r="BA220" s="348">
        <v>4806.0801686066334</v>
      </c>
      <c r="BB220" s="348">
        <v>4836.238315983629</v>
      </c>
      <c r="BC220" s="348">
        <v>4993.4164551547874</v>
      </c>
      <c r="BD220" s="348">
        <v>5078.367372664934</v>
      </c>
      <c r="BE220" s="348">
        <v>5138.7893965549474</v>
      </c>
      <c r="BF220" s="348">
        <v>5251.5134405900426</v>
      </c>
      <c r="BG220" s="348">
        <v>5355.7342357733969</v>
      </c>
      <c r="BH220" s="348">
        <v>5358.6556185732661</v>
      </c>
      <c r="BI220" s="348">
        <v>5268.8315013554156</v>
      </c>
      <c r="BJ220" s="348">
        <v>5249.0949832897668</v>
      </c>
      <c r="BK220" s="348">
        <v>5249.9435680270044</v>
      </c>
      <c r="BL220" s="348">
        <v>5237.5785928993373</v>
      </c>
      <c r="BM220" s="348">
        <v>4915.9307925453559</v>
      </c>
      <c r="BN220" s="348">
        <v>4958.956150199856</v>
      </c>
      <c r="BO220" s="348">
        <v>5035.7691082024421</v>
      </c>
      <c r="BP220" s="348">
        <v>5040.1541790863912</v>
      </c>
      <c r="BQ220" s="350">
        <v>5094.6131249395085</v>
      </c>
    </row>
    <row r="221" spans="1:69" x14ac:dyDescent="0.25">
      <c r="A221" s="348" t="s">
        <v>1475</v>
      </c>
      <c r="B221" s="348" t="s">
        <v>1476</v>
      </c>
      <c r="C221" s="348" t="s">
        <v>1578</v>
      </c>
      <c r="D221" s="348" t="s">
        <v>1579</v>
      </c>
    </row>
    <row r="222" spans="1:69" x14ac:dyDescent="0.25">
      <c r="A222" s="348" t="s">
        <v>1477</v>
      </c>
      <c r="B222" s="348" t="s">
        <v>1478</v>
      </c>
      <c r="C222" s="348" t="s">
        <v>1578</v>
      </c>
      <c r="D222" s="348" t="s">
        <v>1579</v>
      </c>
      <c r="AI222" s="348">
        <v>3775.4471582475239</v>
      </c>
      <c r="AJ222" s="348">
        <v>3692.9664784276129</v>
      </c>
      <c r="AK222" s="348">
        <v>3585.889811055401</v>
      </c>
      <c r="AL222" s="348">
        <v>3446.39871711459</v>
      </c>
      <c r="AM222" s="348">
        <v>3382.898706935156</v>
      </c>
      <c r="AN222" s="348">
        <v>3400.7921133669779</v>
      </c>
      <c r="AO222" s="348">
        <v>3482.8353824815122</v>
      </c>
      <c r="AP222" s="348">
        <v>3531.2526143185969</v>
      </c>
      <c r="AQ222" s="348">
        <v>3529.4672266836042</v>
      </c>
      <c r="AR222" s="348">
        <v>3509.318101362288</v>
      </c>
      <c r="AS222" s="348">
        <v>3534.517322415837</v>
      </c>
      <c r="AT222" s="348">
        <v>3592.1695011933102</v>
      </c>
      <c r="AU222" s="348">
        <v>3732.0852841095539</v>
      </c>
      <c r="AV222" s="348">
        <v>3787.2119058154099</v>
      </c>
      <c r="AW222" s="348">
        <v>3938.5247473563868</v>
      </c>
      <c r="AX222" s="348">
        <v>4064.794698567217</v>
      </c>
      <c r="AY222" s="348">
        <v>4196.0174214195304</v>
      </c>
      <c r="AZ222" s="348">
        <v>4334.8833472194074</v>
      </c>
      <c r="BA222" s="348">
        <v>4442.5605410532326</v>
      </c>
      <c r="BB222" s="348">
        <v>4476.2659581663756</v>
      </c>
      <c r="BC222" s="348">
        <v>4629.3415457211713</v>
      </c>
      <c r="BD222" s="348">
        <v>4716.8219632852479</v>
      </c>
      <c r="BE222" s="348">
        <v>4779.4509583287454</v>
      </c>
      <c r="BF222" s="348">
        <v>4893.03086171617</v>
      </c>
      <c r="BG222" s="348">
        <v>4999.5221948802318</v>
      </c>
      <c r="BH222" s="348">
        <v>5016.2275300052652</v>
      </c>
      <c r="BI222" s="348">
        <v>4948.6100214845501</v>
      </c>
      <c r="BJ222" s="348">
        <v>4944.8271656473307</v>
      </c>
      <c r="BK222" s="348">
        <v>4954.5622876737498</v>
      </c>
      <c r="BL222" s="348">
        <v>4956.2820456931377</v>
      </c>
      <c r="BM222" s="348">
        <v>4674.7299952428384</v>
      </c>
      <c r="BN222" s="348">
        <v>4720.35761389047</v>
      </c>
      <c r="BO222" s="348">
        <v>4796.0664154213764</v>
      </c>
      <c r="BP222" s="348">
        <v>4810.2157681186081</v>
      </c>
      <c r="BQ222" s="350">
        <v>4872.6356142047116</v>
      </c>
    </row>
    <row r="223" spans="1:69" x14ac:dyDescent="0.25">
      <c r="A223" s="348" t="s">
        <v>1479</v>
      </c>
      <c r="B223" s="348" t="s">
        <v>1480</v>
      </c>
      <c r="C223" s="348" t="s">
        <v>1578</v>
      </c>
      <c r="D223" s="348" t="s">
        <v>1579</v>
      </c>
      <c r="AI223" s="348">
        <v>12967.345601153969</v>
      </c>
      <c r="AJ223" s="348">
        <v>12767.210307970459</v>
      </c>
      <c r="AK223" s="348">
        <v>12543.26791326407</v>
      </c>
      <c r="AL223" s="348">
        <v>12506.74483405098</v>
      </c>
      <c r="AM223" s="348">
        <v>12764.091471428441</v>
      </c>
      <c r="AN223" s="348">
        <v>13158.898408188579</v>
      </c>
      <c r="AO223" s="348">
        <v>13499.583307901819</v>
      </c>
      <c r="AP223" s="348">
        <v>14082.154146698629</v>
      </c>
      <c r="AQ223" s="348">
        <v>14347.650816604981</v>
      </c>
      <c r="AR223" s="348">
        <v>14703.083503234169</v>
      </c>
      <c r="AS223" s="348">
        <v>15508.80763198732</v>
      </c>
      <c r="AT223" s="348">
        <v>15722.93403176428</v>
      </c>
      <c r="AU223" s="348">
        <v>16089.54816839149</v>
      </c>
      <c r="AV223" s="348">
        <v>16720.040671397019</v>
      </c>
      <c r="AW223" s="348">
        <v>17301.768199229591</v>
      </c>
      <c r="AX223" s="348">
        <v>17919.102934247108</v>
      </c>
      <c r="AY223" s="348">
        <v>18926.13742678647</v>
      </c>
      <c r="AZ223" s="348">
        <v>19583.324533946699</v>
      </c>
      <c r="BA223" s="348">
        <v>19626.802478510061</v>
      </c>
      <c r="BB223" s="348">
        <v>18687.13428875136</v>
      </c>
      <c r="BC223" s="348">
        <v>19028.38011813135</v>
      </c>
      <c r="BD223" s="348">
        <v>19400.093087139361</v>
      </c>
      <c r="BE223" s="348">
        <v>19654.552795559401</v>
      </c>
      <c r="BF223" s="348">
        <v>19723.91236403459</v>
      </c>
      <c r="BG223" s="348">
        <v>19990.188818425049</v>
      </c>
      <c r="BH223" s="348">
        <v>20210.195236399271</v>
      </c>
      <c r="BI223" s="348">
        <v>20317.365630592842</v>
      </c>
      <c r="BJ223" s="348">
        <v>20726.6600236013</v>
      </c>
      <c r="BK223" s="348">
        <v>21153.107145593742</v>
      </c>
      <c r="BL223" s="348">
        <v>21651.559557388329</v>
      </c>
      <c r="BM223" s="348">
        <v>20089.24262913756</v>
      </c>
      <c r="BN223" s="348">
        <v>21232.11243367596</v>
      </c>
      <c r="BO223" s="348">
        <v>22449.9535899521</v>
      </c>
      <c r="BP223" s="348">
        <v>23360.642658589772</v>
      </c>
      <c r="BQ223" s="350">
        <v>24699.249237061002</v>
      </c>
    </row>
    <row r="224" spans="1:69" x14ac:dyDescent="0.25">
      <c r="A224" s="348" t="s">
        <v>1481</v>
      </c>
      <c r="B224" s="348" t="s">
        <v>1482</v>
      </c>
      <c r="C224" s="348" t="s">
        <v>1578</v>
      </c>
      <c r="D224" s="348" t="s">
        <v>1579</v>
      </c>
      <c r="AI224" s="348">
        <v>3883.2042984226632</v>
      </c>
      <c r="AJ224" s="348">
        <v>3844.8963771481981</v>
      </c>
      <c r="AK224" s="348">
        <v>3798.8835292951421</v>
      </c>
      <c r="AL224" s="348">
        <v>3771.286124160622</v>
      </c>
      <c r="AM224" s="348">
        <v>3788.4837044215242</v>
      </c>
      <c r="AN224" s="348">
        <v>3802.2913230217359</v>
      </c>
      <c r="AO224" s="348">
        <v>3801.0816493385742</v>
      </c>
      <c r="AP224" s="348">
        <v>3784.7902343177971</v>
      </c>
      <c r="AQ224" s="348">
        <v>3828.99823839083</v>
      </c>
      <c r="AR224" s="348">
        <v>3878.1310852524621</v>
      </c>
      <c r="AS224" s="348">
        <v>3852.8904272145342</v>
      </c>
      <c r="AT224" s="348">
        <v>3907.0192818698029</v>
      </c>
      <c r="AU224" s="348">
        <v>3942.760406951149</v>
      </c>
      <c r="AV224" s="348">
        <v>4161.6383316754163</v>
      </c>
      <c r="AW224" s="348">
        <v>4202.561868987751</v>
      </c>
      <c r="AX224" s="348">
        <v>4371.4972164412757</v>
      </c>
      <c r="AY224" s="348">
        <v>4644.1804466999138</v>
      </c>
      <c r="AZ224" s="348">
        <v>4698.0841696183943</v>
      </c>
      <c r="BA224" s="348">
        <v>4873.1813112046048</v>
      </c>
      <c r="BB224" s="348">
        <v>4919.1952982286493</v>
      </c>
      <c r="BC224" s="348">
        <v>4882.047964663413</v>
      </c>
      <c r="BD224" s="348">
        <v>4876.4731579214549</v>
      </c>
      <c r="BE224" s="348">
        <v>4919.5529438657686</v>
      </c>
      <c r="BF224" s="348">
        <v>5072.1120019586588</v>
      </c>
      <c r="BG224" s="348">
        <v>5223.0957288638792</v>
      </c>
      <c r="BH224" s="348">
        <v>5210.203775543102</v>
      </c>
      <c r="BI224" s="348">
        <v>5388.5091334890976</v>
      </c>
      <c r="BJ224" s="348">
        <v>5521.2024959741284</v>
      </c>
      <c r="BK224" s="348">
        <v>5674.7237909401128</v>
      </c>
      <c r="BL224" s="348">
        <v>5702.0834707123613</v>
      </c>
      <c r="BM224" s="348">
        <v>5742.9472485882607</v>
      </c>
      <c r="BN224" s="348">
        <v>5732.6945606153558</v>
      </c>
      <c r="BO224" s="348">
        <v>5632.1389071504727</v>
      </c>
      <c r="BP224" s="348">
        <v>5541.3016760534974</v>
      </c>
      <c r="BQ224" s="350">
        <v>5491.29829852275</v>
      </c>
    </row>
    <row r="225" spans="1:69" x14ac:dyDescent="0.25">
      <c r="A225" s="348" t="s">
        <v>1483</v>
      </c>
      <c r="B225" s="348" t="s">
        <v>1484</v>
      </c>
      <c r="C225" s="348" t="s">
        <v>1578</v>
      </c>
      <c r="D225" s="348" t="s">
        <v>1579</v>
      </c>
      <c r="AI225" s="348">
        <v>17137.650970055591</v>
      </c>
      <c r="AJ225" s="348">
        <v>17493.496225742569</v>
      </c>
      <c r="AK225" s="348">
        <v>17455.125645432159</v>
      </c>
      <c r="AL225" s="348">
        <v>16217.166034710261</v>
      </c>
      <c r="AM225" s="348">
        <v>16648.53452589333</v>
      </c>
      <c r="AN225" s="348">
        <v>16368.311360582011</v>
      </c>
      <c r="AO225" s="348">
        <v>16184.499929506501</v>
      </c>
      <c r="AP225" s="348">
        <v>16754.351142706349</v>
      </c>
      <c r="AQ225" s="348">
        <v>16789.754900535561</v>
      </c>
      <c r="AR225" s="348">
        <v>16217.517303143761</v>
      </c>
      <c r="AS225" s="348">
        <v>16220.17906032624</v>
      </c>
      <c r="AT225" s="348">
        <v>16556.944060992679</v>
      </c>
      <c r="AU225" s="348">
        <v>16678.071870658219</v>
      </c>
      <c r="AV225" s="348">
        <v>17383.501550561221</v>
      </c>
      <c r="AW225" s="348">
        <v>18585.517086417611</v>
      </c>
      <c r="AX225" s="348">
        <v>19220.283969660541</v>
      </c>
      <c r="AY225" s="348">
        <v>20113.67075476946</v>
      </c>
      <c r="AZ225" s="348">
        <v>20902.139158927861</v>
      </c>
      <c r="BA225" s="348">
        <v>21515.811955109279</v>
      </c>
      <c r="BB225" s="348">
        <v>21906.410544749811</v>
      </c>
      <c r="BC225" s="348">
        <v>22772.475454368949</v>
      </c>
      <c r="BD225" s="348">
        <v>23829.533285639322</v>
      </c>
      <c r="BE225" s="348">
        <v>24193.841237392189</v>
      </c>
      <c r="BF225" s="348">
        <v>24624.021985460098</v>
      </c>
      <c r="BG225" s="348">
        <v>24414.355475973389</v>
      </c>
      <c r="BH225" s="348">
        <v>23327.525249744671</v>
      </c>
      <c r="BI225" s="348">
        <v>21950.412214862521</v>
      </c>
      <c r="BJ225" s="348">
        <v>22070.51375708354</v>
      </c>
      <c r="BK225" s="348">
        <v>22938.535371554521</v>
      </c>
      <c r="BL225" s="348">
        <v>22966.740599912449</v>
      </c>
      <c r="BM225" s="348">
        <v>19091.36171842262</v>
      </c>
      <c r="BN225" s="348">
        <v>18458.234999681041</v>
      </c>
      <c r="BO225" s="348">
        <v>18742.587376036849</v>
      </c>
      <c r="BP225" s="348">
        <v>19020.866390870651</v>
      </c>
      <c r="BQ225" s="350">
        <v>19179.101832163899</v>
      </c>
    </row>
    <row r="226" spans="1:69" x14ac:dyDescent="0.25">
      <c r="A226" s="348" t="s">
        <v>1485</v>
      </c>
      <c r="B226" s="348" t="s">
        <v>1486</v>
      </c>
      <c r="C226" s="348" t="s">
        <v>1578</v>
      </c>
      <c r="D226" s="348" t="s">
        <v>1579</v>
      </c>
      <c r="AI226" s="348">
        <v>17528.243147898262</v>
      </c>
      <c r="AJ226" s="348">
        <v>14962.11557267643</v>
      </c>
      <c r="AK226" s="348">
        <v>13951.908443283841</v>
      </c>
      <c r="AL226" s="348">
        <v>14163.013733986751</v>
      </c>
      <c r="AM226" s="348">
        <v>14982.74721634687</v>
      </c>
      <c r="AN226" s="348">
        <v>15811.9246441708</v>
      </c>
      <c r="AO226" s="348">
        <v>16744.067388444761</v>
      </c>
      <c r="AP226" s="348">
        <v>17630.039757719489</v>
      </c>
      <c r="AQ226" s="348">
        <v>18280.050128262639</v>
      </c>
      <c r="AR226" s="348">
        <v>18174.98013245867</v>
      </c>
      <c r="AS226" s="348">
        <v>18343.237153675</v>
      </c>
      <c r="AT226" s="348">
        <v>18914.390330453069</v>
      </c>
      <c r="AU226" s="348">
        <v>19757.06778889928</v>
      </c>
      <c r="AV226" s="348">
        <v>20730.24947993505</v>
      </c>
      <c r="AW226" s="348">
        <v>21851.95496018726</v>
      </c>
      <c r="AX226" s="348">
        <v>23266.757049344229</v>
      </c>
      <c r="AY226" s="348">
        <v>25342.309926835838</v>
      </c>
      <c r="AZ226" s="348">
        <v>28075.80727949983</v>
      </c>
      <c r="BA226" s="348">
        <v>29556.261797569539</v>
      </c>
      <c r="BB226" s="348">
        <v>27891.896941941719</v>
      </c>
      <c r="BC226" s="348">
        <v>29758.174014011689</v>
      </c>
      <c r="BD226" s="348">
        <v>30481.377866427949</v>
      </c>
      <c r="BE226" s="348">
        <v>30907.03924895596</v>
      </c>
      <c r="BF226" s="348">
        <v>31090.9880191144</v>
      </c>
      <c r="BG226" s="348">
        <v>31901.942498270189</v>
      </c>
      <c r="BH226" s="348">
        <v>33521.595476497532</v>
      </c>
      <c r="BI226" s="348">
        <v>34130.505067620303</v>
      </c>
      <c r="BJ226" s="348">
        <v>35057.222376316713</v>
      </c>
      <c r="BK226" s="348">
        <v>36430.794170419511</v>
      </c>
      <c r="BL226" s="348">
        <v>37209.533255307317</v>
      </c>
      <c r="BM226" s="348">
        <v>36216.400211081418</v>
      </c>
      <c r="BN226" s="348">
        <v>38346.093576817671</v>
      </c>
      <c r="BO226" s="348">
        <v>38664.907694985108</v>
      </c>
      <c r="BP226" s="348">
        <v>39518.220935924539</v>
      </c>
      <c r="BQ226" s="350">
        <v>40319.054723087313</v>
      </c>
    </row>
    <row r="227" spans="1:69" x14ac:dyDescent="0.25">
      <c r="A227" s="348" t="s">
        <v>1487</v>
      </c>
      <c r="B227" s="348" t="s">
        <v>1488</v>
      </c>
      <c r="C227" s="348" t="s">
        <v>1578</v>
      </c>
      <c r="D227" s="348" t="s">
        <v>1579</v>
      </c>
      <c r="AI227" s="348">
        <v>25345.048041960439</v>
      </c>
      <c r="AJ227" s="348">
        <v>23074.668607326868</v>
      </c>
      <c r="AK227" s="348">
        <v>21845.962852931181</v>
      </c>
      <c r="AL227" s="348">
        <v>22520.738313268019</v>
      </c>
      <c r="AM227" s="348">
        <v>23747.9865664018</v>
      </c>
      <c r="AN227" s="348">
        <v>24718.023829653899</v>
      </c>
      <c r="AO227" s="348">
        <v>25454.125609866442</v>
      </c>
      <c r="AP227" s="348">
        <v>26806.462783570922</v>
      </c>
      <c r="AQ227" s="348">
        <v>27688.092952681229</v>
      </c>
      <c r="AR227" s="348">
        <v>29125.891326314671</v>
      </c>
      <c r="AS227" s="348">
        <v>30055.57264655457</v>
      </c>
      <c r="AT227" s="348">
        <v>30857.11220434367</v>
      </c>
      <c r="AU227" s="348">
        <v>31830.555322668599</v>
      </c>
      <c r="AV227" s="348">
        <v>32827.75144194618</v>
      </c>
      <c r="AW227" s="348">
        <v>34298.127743526296</v>
      </c>
      <c r="AX227" s="348">
        <v>35558.377741919838</v>
      </c>
      <c r="AY227" s="348">
        <v>37539.459301666</v>
      </c>
      <c r="AZ227" s="348">
        <v>39995.205293839666</v>
      </c>
      <c r="BA227" s="348">
        <v>41278.609085634147</v>
      </c>
      <c r="BB227" s="348">
        <v>37802.088018675509</v>
      </c>
      <c r="BC227" s="348">
        <v>38056.181524177518</v>
      </c>
      <c r="BD227" s="348">
        <v>38226.125548990283</v>
      </c>
      <c r="BE227" s="348">
        <v>37033.766754188619</v>
      </c>
      <c r="BF227" s="348">
        <v>36678.874664209623</v>
      </c>
      <c r="BG227" s="348">
        <v>37655.197989807348</v>
      </c>
      <c r="BH227" s="348">
        <v>38527.422254968267</v>
      </c>
      <c r="BI227" s="348">
        <v>39667.457983007233</v>
      </c>
      <c r="BJ227" s="348">
        <v>41692.836279788033</v>
      </c>
      <c r="BK227" s="348">
        <v>43361.094447431038</v>
      </c>
      <c r="BL227" s="348">
        <v>44569.587841653512</v>
      </c>
      <c r="BM227" s="348">
        <v>42463.563534619447</v>
      </c>
      <c r="BN227" s="348">
        <v>45914.057239240552</v>
      </c>
      <c r="BO227" s="348">
        <v>47050.067644164163</v>
      </c>
      <c r="BP227" s="348">
        <v>47977.426811765203</v>
      </c>
      <c r="BQ227" s="350">
        <v>48648.907883408137</v>
      </c>
    </row>
    <row r="228" spans="1:69" x14ac:dyDescent="0.25">
      <c r="A228" s="348" t="s">
        <v>1489</v>
      </c>
      <c r="B228" s="348" t="s">
        <v>1490</v>
      </c>
      <c r="C228" s="348" t="s">
        <v>1578</v>
      </c>
      <c r="D228" s="348" t="s">
        <v>1579</v>
      </c>
      <c r="AI228" s="348">
        <v>40549.307517759873</v>
      </c>
      <c r="AJ228" s="348">
        <v>39812.317708336574</v>
      </c>
      <c r="AK228" s="348">
        <v>39120.924913399693</v>
      </c>
      <c r="AL228" s="348">
        <v>38090.945896073557</v>
      </c>
      <c r="AM228" s="348">
        <v>39340.001662261857</v>
      </c>
      <c r="AN228" s="348">
        <v>40736.427340013492</v>
      </c>
      <c r="AO228" s="348">
        <v>41364.985725427803</v>
      </c>
      <c r="AP228" s="348">
        <v>42608.413669045724</v>
      </c>
      <c r="AQ228" s="348">
        <v>44392.844991929916</v>
      </c>
      <c r="AR228" s="348">
        <v>46221.807993723232</v>
      </c>
      <c r="AS228" s="348">
        <v>48284.800184104337</v>
      </c>
      <c r="AT228" s="348">
        <v>48810.644590654992</v>
      </c>
      <c r="AU228" s="348">
        <v>49760.216163600548</v>
      </c>
      <c r="AV228" s="348">
        <v>50507.933073864129</v>
      </c>
      <c r="AW228" s="348">
        <v>52412.411275873019</v>
      </c>
      <c r="AX228" s="348">
        <v>53661.317864362289</v>
      </c>
      <c r="AY228" s="348">
        <v>55855.497827934661</v>
      </c>
      <c r="AZ228" s="348">
        <v>57230.790161015648</v>
      </c>
      <c r="BA228" s="348">
        <v>56262.470075199373</v>
      </c>
      <c r="BB228" s="348">
        <v>53411.200585318191</v>
      </c>
      <c r="BC228" s="348">
        <v>56003.270471551063</v>
      </c>
      <c r="BD228" s="348">
        <v>57340.503981324669</v>
      </c>
      <c r="BE228" s="348">
        <v>56682.018701375353</v>
      </c>
      <c r="BF228" s="348">
        <v>56843.164926373407</v>
      </c>
      <c r="BG228" s="348">
        <v>57574.050048526449</v>
      </c>
      <c r="BH228" s="348">
        <v>59468.353868762533</v>
      </c>
      <c r="BI228" s="348">
        <v>59977.38860106939</v>
      </c>
      <c r="BJ228" s="348">
        <v>60288.799816867628</v>
      </c>
      <c r="BK228" s="348">
        <v>60647.449528585952</v>
      </c>
      <c r="BL228" s="348">
        <v>61601.629233877757</v>
      </c>
      <c r="BM228" s="348">
        <v>59975.364406189517</v>
      </c>
      <c r="BN228" s="348">
        <v>62731.700616293027</v>
      </c>
      <c r="BO228" s="348">
        <v>63088.423667873438</v>
      </c>
      <c r="BP228" s="348">
        <v>62662.765279776053</v>
      </c>
      <c r="BQ228" s="350">
        <v>62978.939045983512</v>
      </c>
    </row>
    <row r="229" spans="1:69" x14ac:dyDescent="0.25">
      <c r="A229" s="348" t="s">
        <v>1491</v>
      </c>
      <c r="B229" s="348" t="s">
        <v>1492</v>
      </c>
      <c r="C229" s="348" t="s">
        <v>1578</v>
      </c>
      <c r="D229" s="348" t="s">
        <v>1579</v>
      </c>
      <c r="AI229" s="348">
        <v>5447.7390023334647</v>
      </c>
      <c r="AJ229" s="348">
        <v>5325.3524564788677</v>
      </c>
      <c r="AK229" s="348">
        <v>5291.8962906278412</v>
      </c>
      <c r="AL229" s="348">
        <v>5299.5323053542288</v>
      </c>
      <c r="AM229" s="348">
        <v>5427.3500142292969</v>
      </c>
      <c r="AN229" s="348">
        <v>5693.8219538124722</v>
      </c>
      <c r="AO229" s="348">
        <v>5796.6525518059098</v>
      </c>
      <c r="AP229" s="348">
        <v>5876.803412465124</v>
      </c>
      <c r="AQ229" s="348">
        <v>5952.8542272807408</v>
      </c>
      <c r="AR229" s="348">
        <v>6062.3480511104763</v>
      </c>
      <c r="AS229" s="348">
        <v>6106.0747874046501</v>
      </c>
      <c r="AT229" s="348">
        <v>6135.4529995429684</v>
      </c>
      <c r="AU229" s="348">
        <v>6335.8135183919267</v>
      </c>
      <c r="AV229" s="348">
        <v>6578.3015286360496</v>
      </c>
      <c r="AW229" s="348">
        <v>6775.2217412301989</v>
      </c>
      <c r="AX229" s="348">
        <v>7142.1921864324022</v>
      </c>
      <c r="AY229" s="348">
        <v>7584.7203061779401</v>
      </c>
      <c r="AZ229" s="348">
        <v>7866.7307345527324</v>
      </c>
      <c r="BA229" s="348">
        <v>7926.3796113822082</v>
      </c>
      <c r="BB229" s="348">
        <v>7988.597500053027</v>
      </c>
      <c r="BC229" s="348">
        <v>8245.6415333221503</v>
      </c>
      <c r="BD229" s="348">
        <v>8350.8919093286549</v>
      </c>
      <c r="BE229" s="348">
        <v>8645.8447828780172</v>
      </c>
      <c r="BF229" s="348">
        <v>8951.0574980589117</v>
      </c>
      <c r="BG229" s="348">
        <v>9084.4940578063506</v>
      </c>
      <c r="BH229" s="348">
        <v>9186.6534472051499</v>
      </c>
      <c r="BI229" s="348">
        <v>9402.5083410368061</v>
      </c>
      <c r="BJ229" s="348">
        <v>9660.5516153808567</v>
      </c>
      <c r="BK229" s="348">
        <v>9578.1006108980491</v>
      </c>
      <c r="BL229" s="348">
        <v>10099.5863118406</v>
      </c>
      <c r="BM229" s="348">
        <v>9695.824980587553</v>
      </c>
      <c r="BN229" s="348">
        <v>9990.4349195120467</v>
      </c>
      <c r="BO229" s="348">
        <v>9927.6056700813933</v>
      </c>
      <c r="BP229" s="348">
        <v>10181.504073039659</v>
      </c>
      <c r="BQ229" s="350">
        <v>10380.396663051581</v>
      </c>
    </row>
    <row r="230" spans="1:69" x14ac:dyDescent="0.25">
      <c r="A230" s="348" t="s">
        <v>1493</v>
      </c>
      <c r="B230" s="348" t="s">
        <v>1494</v>
      </c>
      <c r="C230" s="348" t="s">
        <v>1578</v>
      </c>
      <c r="D230" s="348" t="s">
        <v>1579</v>
      </c>
      <c r="BB230" s="348">
        <v>50980.940083898342</v>
      </c>
      <c r="BC230" s="348">
        <v>52140.599657789979</v>
      </c>
      <c r="BD230" s="348">
        <v>53786.24620003267</v>
      </c>
      <c r="BE230" s="348">
        <v>53357.003462796987</v>
      </c>
      <c r="BF230" s="348">
        <v>52801.40310547917</v>
      </c>
      <c r="BG230" s="348">
        <v>52439.473675604779</v>
      </c>
      <c r="BH230" s="348">
        <v>51375.603250373693</v>
      </c>
      <c r="BI230" s="348">
        <v>50817.681494268072</v>
      </c>
      <c r="BJ230" s="348">
        <v>46088.358383915227</v>
      </c>
      <c r="BK230" s="348">
        <v>42154.102026750421</v>
      </c>
      <c r="BL230" s="348">
        <v>45996.791234692158</v>
      </c>
      <c r="BM230" s="348">
        <v>39265.761679056828</v>
      </c>
      <c r="BN230" s="348">
        <v>40507.067241171717</v>
      </c>
      <c r="BO230" s="348">
        <v>45515.652338927168</v>
      </c>
      <c r="BP230" s="348">
        <v>46571.0886504628</v>
      </c>
      <c r="BQ230" s="350">
        <v>47303.194758482037</v>
      </c>
    </row>
    <row r="231" spans="1:69" x14ac:dyDescent="0.25">
      <c r="A231" s="348" t="s">
        <v>1495</v>
      </c>
      <c r="B231" s="348" t="s">
        <v>1496</v>
      </c>
      <c r="C231" s="348" t="s">
        <v>1578</v>
      </c>
      <c r="D231" s="348" t="s">
        <v>1579</v>
      </c>
      <c r="AI231" s="348">
        <v>15478.847544422761</v>
      </c>
      <c r="AJ231" s="348">
        <v>15695.670838946029</v>
      </c>
      <c r="AK231" s="348">
        <v>16744.50808160341</v>
      </c>
      <c r="AL231" s="348">
        <v>17596.897761717071</v>
      </c>
      <c r="AM231" s="348">
        <v>16716.52071889228</v>
      </c>
      <c r="AN231" s="348">
        <v>16552.45478152308</v>
      </c>
      <c r="AO231" s="348">
        <v>17942.173303662708</v>
      </c>
      <c r="AP231" s="348">
        <v>19895.14221884307</v>
      </c>
      <c r="AQ231" s="348">
        <v>19991.2293154949</v>
      </c>
      <c r="AR231" s="348">
        <v>19969.351374617439</v>
      </c>
      <c r="AS231" s="348">
        <v>20633.674695076072</v>
      </c>
      <c r="AT231" s="348">
        <v>20147.418765616731</v>
      </c>
      <c r="AU231" s="348">
        <v>19777.75252497214</v>
      </c>
      <c r="AV231" s="348">
        <v>18825.22069361894</v>
      </c>
      <c r="AW231" s="348">
        <v>18356.47114472117</v>
      </c>
      <c r="AX231" s="348">
        <v>19917.11945342207</v>
      </c>
      <c r="AY231" s="348">
        <v>21341.859752600281</v>
      </c>
      <c r="AZ231" s="348">
        <v>23117.855522477112</v>
      </c>
      <c r="BA231" s="348">
        <v>21990.368526970531</v>
      </c>
      <c r="BB231" s="348">
        <v>21361.130787528349</v>
      </c>
      <c r="BC231" s="348">
        <v>21708.755450656568</v>
      </c>
      <c r="BD231" s="348">
        <v>24406.412976410549</v>
      </c>
      <c r="BE231" s="348">
        <v>24919.955210327949</v>
      </c>
      <c r="BF231" s="348">
        <v>24770.651459179451</v>
      </c>
      <c r="BG231" s="348">
        <v>25379.418070701318</v>
      </c>
      <c r="BH231" s="348">
        <v>27032.208388000239</v>
      </c>
      <c r="BI231" s="348">
        <v>29905.134738995181</v>
      </c>
      <c r="BJ231" s="348">
        <v>31595.66805705052</v>
      </c>
      <c r="BK231" s="348">
        <v>32841.424246738126</v>
      </c>
      <c r="BL231" s="348">
        <v>34346.070892348289</v>
      </c>
      <c r="BM231" s="348">
        <v>30056.199430096811</v>
      </c>
      <c r="BN231" s="348">
        <v>29979.82726860906</v>
      </c>
      <c r="BO231" s="348">
        <v>27978.177055093689</v>
      </c>
      <c r="BP231" s="348">
        <v>28635.356358174391</v>
      </c>
      <c r="BQ231" s="350">
        <v>29241.775804882509</v>
      </c>
    </row>
    <row r="232" spans="1:69" x14ac:dyDescent="0.25">
      <c r="A232" s="348" t="s">
        <v>1497</v>
      </c>
      <c r="B232" s="348" t="s">
        <v>1498</v>
      </c>
      <c r="C232" s="348" t="s">
        <v>1578</v>
      </c>
      <c r="D232" s="348" t="s">
        <v>1579</v>
      </c>
      <c r="AI232" s="348">
        <v>5828.4055161171336</v>
      </c>
      <c r="AJ232" s="348">
        <v>6081.0890710388949</v>
      </c>
      <c r="AK232" s="348">
        <v>6662.2431424016522</v>
      </c>
      <c r="AL232" s="348">
        <v>6861.7950469760217</v>
      </c>
      <c r="AM232" s="348">
        <v>7142.9538014731424</v>
      </c>
      <c r="AN232" s="348">
        <v>7431.3542101479961</v>
      </c>
      <c r="AO232" s="348">
        <v>7943.4406049344343</v>
      </c>
      <c r="AP232" s="348">
        <v>8126.3657764713053</v>
      </c>
      <c r="AQ232" s="348">
        <v>8456.7828752505629</v>
      </c>
      <c r="AR232" s="348">
        <v>7951.3901471374938</v>
      </c>
      <c r="AS232" s="348">
        <v>7807.9299554874242</v>
      </c>
      <c r="AT232" s="348">
        <v>7698.3969367865984</v>
      </c>
      <c r="AU232" s="348">
        <v>7811.8160191097186</v>
      </c>
      <c r="AV232" s="348">
        <v>8177.5450685439419</v>
      </c>
      <c r="AW232" s="348">
        <v>8528.6560459715383</v>
      </c>
      <c r="AX232" s="348">
        <v>8828.9459046152278</v>
      </c>
      <c r="AY232" s="348">
        <v>8885.8053963037346</v>
      </c>
      <c r="AZ232" s="348">
        <v>8829.3090636742454</v>
      </c>
      <c r="BA232" s="348">
        <v>8903.7722526413108</v>
      </c>
      <c r="BB232" s="348">
        <v>9284.1016212658706</v>
      </c>
      <c r="BC232" s="348">
        <v>9546.5604880539904</v>
      </c>
      <c r="BD232" s="348">
        <v>9648.8242671836069</v>
      </c>
      <c r="BE232" s="348">
        <v>7144.3724495274482</v>
      </c>
      <c r="BF232" s="348">
        <v>5530.9747275703521</v>
      </c>
      <c r="BG232" s="348">
        <v>5301.6253525794073</v>
      </c>
      <c r="BH232" s="348">
        <v>5302.0741372149723</v>
      </c>
      <c r="BI232" s="348">
        <v>5022.1127178436982</v>
      </c>
      <c r="BJ232" s="348">
        <v>4977.7921006379802</v>
      </c>
      <c r="BK232" s="348">
        <v>4956.0929646477662</v>
      </c>
      <c r="BL232" s="348">
        <v>4825.4060205376136</v>
      </c>
      <c r="BM232" s="348">
        <v>4633.3495184772801</v>
      </c>
      <c r="BN232" s="348">
        <v>4592.8386010087397</v>
      </c>
      <c r="BO232" s="348">
        <v>4454.8537327146378</v>
      </c>
    </row>
    <row r="233" spans="1:69" x14ac:dyDescent="0.25">
      <c r="A233" s="348" t="s">
        <v>1499</v>
      </c>
      <c r="B233" s="348" t="s">
        <v>1500</v>
      </c>
      <c r="C233" s="348" t="s">
        <v>1578</v>
      </c>
      <c r="D233" s="348" t="s">
        <v>1579</v>
      </c>
      <c r="AZ233" s="348">
        <v>21878.820601307099</v>
      </c>
      <c r="BA233" s="348">
        <v>22689.31601337688</v>
      </c>
      <c r="BB233" s="348">
        <v>17512.197777787638</v>
      </c>
      <c r="BC233" s="348">
        <v>17000.22277664626</v>
      </c>
      <c r="BD233" s="348">
        <v>17147.424764126961</v>
      </c>
      <c r="BE233" s="348">
        <v>16024.691565225399</v>
      </c>
      <c r="BF233" s="348">
        <v>15461.87351127104</v>
      </c>
      <c r="BG233" s="348">
        <v>16138.848760424929</v>
      </c>
      <c r="BH233" s="348">
        <v>17201.772034593319</v>
      </c>
      <c r="BI233" s="348">
        <v>17625.720284351461</v>
      </c>
      <c r="BJ233" s="348">
        <v>29540.353747315079</v>
      </c>
      <c r="BK233" s="348">
        <v>30286.11961121513</v>
      </c>
      <c r="BL233" s="348">
        <v>30611.21302373811</v>
      </c>
      <c r="BM233" s="348">
        <v>19702.53681968552</v>
      </c>
      <c r="BN233" s="348">
        <v>25056.48805155688</v>
      </c>
      <c r="BO233" s="348">
        <v>28209.62425360789</v>
      </c>
      <c r="BP233" s="348">
        <v>31839.370538196948</v>
      </c>
      <c r="BQ233" s="350">
        <v>33390.526714805877</v>
      </c>
    </row>
    <row r="234" spans="1:69" x14ac:dyDescent="0.25">
      <c r="A234" s="348" t="s">
        <v>1501</v>
      </c>
      <c r="B234" s="348" t="s">
        <v>1502</v>
      </c>
      <c r="C234" s="348" t="s">
        <v>1578</v>
      </c>
      <c r="D234" s="348" t="s">
        <v>1579</v>
      </c>
      <c r="AI234" s="348">
        <v>1711.369884420355</v>
      </c>
      <c r="AJ234" s="348">
        <v>1790.737910983529</v>
      </c>
      <c r="AK234" s="348">
        <v>1853.67667631479</v>
      </c>
      <c r="AL234" s="348">
        <v>1526.054325300016</v>
      </c>
      <c r="AM234" s="348">
        <v>1642.5165321329771</v>
      </c>
      <c r="AN234" s="348">
        <v>1591.1415405672749</v>
      </c>
      <c r="AO234" s="348">
        <v>1555.9139248829761</v>
      </c>
      <c r="AP234" s="348">
        <v>1588.0986041743929</v>
      </c>
      <c r="AQ234" s="348">
        <v>1641.0571532851191</v>
      </c>
      <c r="AR234" s="348">
        <v>1573.5853138998939</v>
      </c>
      <c r="AS234" s="348">
        <v>1506.715772055154</v>
      </c>
      <c r="AT234" s="348">
        <v>1626.566831293341</v>
      </c>
      <c r="AU234" s="348">
        <v>1704.2729514738239</v>
      </c>
      <c r="AV234" s="348">
        <v>1878.5857861973809</v>
      </c>
      <c r="AW234" s="348">
        <v>2400.9700498057719</v>
      </c>
      <c r="AX234" s="348">
        <v>2705.8165083570029</v>
      </c>
      <c r="AY234" s="348">
        <v>2596.0323545856299</v>
      </c>
      <c r="AZ234" s="348">
        <v>2613.4738738521269</v>
      </c>
      <c r="BA234" s="348">
        <v>2601.3612580351778</v>
      </c>
      <c r="BB234" s="348">
        <v>2474.707583512668</v>
      </c>
      <c r="BC234" s="348">
        <v>2717.4054018437719</v>
      </c>
      <c r="BD234" s="348">
        <v>2741.070833989123</v>
      </c>
      <c r="BE234" s="348">
        <v>2886.2747456371098</v>
      </c>
      <c r="BF234" s="348">
        <v>2864.1130140853011</v>
      </c>
      <c r="BG234" s="348">
        <v>2820.6779506743578</v>
      </c>
      <c r="BH234" s="348">
        <v>2822.5792990023592</v>
      </c>
      <c r="BI234" s="348">
        <v>2622.5978084379649</v>
      </c>
      <c r="BJ234" s="348">
        <v>2496.2621364400752</v>
      </c>
      <c r="BK234" s="348">
        <v>2552.3703638857569</v>
      </c>
      <c r="BL234" s="348">
        <v>2604.5315366339169</v>
      </c>
      <c r="BM234" s="348">
        <v>2513.029227290077</v>
      </c>
      <c r="BN234" s="348">
        <v>2435.072746510989</v>
      </c>
      <c r="BO234" s="348">
        <v>2449.4825105248419</v>
      </c>
      <c r="BP234" s="348">
        <v>2433.0987915339711</v>
      </c>
      <c r="BQ234" s="350">
        <v>2412.8658553920031</v>
      </c>
    </row>
    <row r="235" spans="1:69" x14ac:dyDescent="0.25">
      <c r="A235" s="348" t="s">
        <v>1503</v>
      </c>
      <c r="B235" s="348" t="s">
        <v>1504</v>
      </c>
      <c r="C235" s="348" t="s">
        <v>1578</v>
      </c>
      <c r="D235" s="348" t="s">
        <v>1579</v>
      </c>
      <c r="AI235" s="348">
        <v>2543.8635353410618</v>
      </c>
      <c r="AJ235" s="348">
        <v>2698.511520352662</v>
      </c>
      <c r="AK235" s="348">
        <v>2932.5232193505421</v>
      </c>
      <c r="AL235" s="348">
        <v>3192.5007671695771</v>
      </c>
      <c r="AM235" s="348">
        <v>3470.4937715925098</v>
      </c>
      <c r="AN235" s="348">
        <v>3753.2908125762019</v>
      </c>
      <c r="AO235" s="348">
        <v>4030.4889314624802</v>
      </c>
      <c r="AP235" s="348">
        <v>4244.1152126989327</v>
      </c>
      <c r="AQ235" s="348">
        <v>4232.9937921893707</v>
      </c>
      <c r="AR235" s="348">
        <v>4433.5868004545418</v>
      </c>
      <c r="AS235" s="348">
        <v>4713.1936009989522</v>
      </c>
      <c r="AT235" s="348">
        <v>4969.3250003962048</v>
      </c>
      <c r="AU235" s="348">
        <v>5304.1822212611287</v>
      </c>
      <c r="AV235" s="348">
        <v>5708.83022946858</v>
      </c>
      <c r="AW235" s="348">
        <v>6155.1147693437952</v>
      </c>
      <c r="AX235" s="348">
        <v>6679.654952544648</v>
      </c>
      <c r="AY235" s="348">
        <v>7309.4286664746887</v>
      </c>
      <c r="AZ235" s="348">
        <v>8093.4907987685992</v>
      </c>
      <c r="BA235" s="348">
        <v>8684.5179294075333</v>
      </c>
      <c r="BB235" s="348">
        <v>9251.63086959459</v>
      </c>
      <c r="BC235" s="348">
        <v>10056.951454564291</v>
      </c>
      <c r="BD235" s="348">
        <v>10788.80432807228</v>
      </c>
      <c r="BE235" s="348">
        <v>11489.188981968789</v>
      </c>
      <c r="BF235" s="348">
        <v>12195.245873369689</v>
      </c>
      <c r="BG235" s="348">
        <v>12914.211408705391</v>
      </c>
      <c r="BH235" s="348">
        <v>13646.02245769935</v>
      </c>
      <c r="BI235" s="348">
        <v>14404.466473594641</v>
      </c>
      <c r="BJ235" s="348">
        <v>15229.5232265583</v>
      </c>
      <c r="BK235" s="348">
        <v>16103.538271072061</v>
      </c>
      <c r="BL235" s="348">
        <v>16941.74493539795</v>
      </c>
      <c r="BM235" s="348">
        <v>17005.014831845459</v>
      </c>
      <c r="BN235" s="348">
        <v>18167.529889649821</v>
      </c>
      <c r="BO235" s="348">
        <v>18808.724969288731</v>
      </c>
      <c r="BP235" s="348">
        <v>19741.610921998719</v>
      </c>
      <c r="BQ235" s="350">
        <v>20682.776650041291</v>
      </c>
    </row>
    <row r="236" spans="1:69" x14ac:dyDescent="0.25">
      <c r="A236" s="348" t="s">
        <v>1505</v>
      </c>
      <c r="B236" s="348" t="s">
        <v>1506</v>
      </c>
      <c r="C236" s="348" t="s">
        <v>1578</v>
      </c>
      <c r="D236" s="348" t="s">
        <v>1579</v>
      </c>
      <c r="AI236" s="348">
        <v>19344.518029042349</v>
      </c>
      <c r="AJ236" s="348">
        <v>18058.115607040869</v>
      </c>
      <c r="AK236" s="348">
        <v>16059.190408425129</v>
      </c>
      <c r="AL236" s="348">
        <v>14987.23675726373</v>
      </c>
      <c r="AM236" s="348">
        <v>13409.96973280927</v>
      </c>
      <c r="AN236" s="348">
        <v>13158.293301478319</v>
      </c>
      <c r="AO236" s="348">
        <v>13085.025324902619</v>
      </c>
      <c r="AP236" s="348">
        <v>13360.66038947179</v>
      </c>
      <c r="AQ236" s="348">
        <v>13174.008376578129</v>
      </c>
      <c r="AR236" s="348">
        <v>13554.97269735159</v>
      </c>
      <c r="AS236" s="348">
        <v>14594.43547812319</v>
      </c>
      <c r="AT236" s="348">
        <v>15130.404303394809</v>
      </c>
      <c r="AU236" s="348">
        <v>15898.89458670677</v>
      </c>
      <c r="AV236" s="348">
        <v>16934.816184871292</v>
      </c>
      <c r="AW236" s="348">
        <v>18285.071127747771</v>
      </c>
      <c r="AX236" s="348">
        <v>19453.304165795929</v>
      </c>
      <c r="AY236" s="348">
        <v>20993.8377087726</v>
      </c>
      <c r="AZ236" s="348">
        <v>22656.19503731115</v>
      </c>
      <c r="BA236" s="348">
        <v>23653.016904280568</v>
      </c>
      <c r="BB236" s="348">
        <v>22248.625139266129</v>
      </c>
      <c r="BC236" s="348">
        <v>23166.088651726292</v>
      </c>
      <c r="BD236" s="348">
        <v>24326.86904883524</v>
      </c>
      <c r="BE236" s="348">
        <v>25013.050388391901</v>
      </c>
      <c r="BF236" s="348">
        <v>25605.186076577891</v>
      </c>
      <c r="BG236" s="348">
        <v>25846.454531853011</v>
      </c>
      <c r="BH236" s="348">
        <v>25818.835598775979</v>
      </c>
      <c r="BI236" s="348">
        <v>26097.793695321499</v>
      </c>
      <c r="BJ236" s="348">
        <v>26985.068312481431</v>
      </c>
      <c r="BK236" s="348">
        <v>27855.492574884789</v>
      </c>
      <c r="BL236" s="348">
        <v>28513.429391567621</v>
      </c>
      <c r="BM236" s="348">
        <v>27934.620601194008</v>
      </c>
      <c r="BN236" s="348">
        <v>29887.283653826311</v>
      </c>
      <c r="BO236" s="348">
        <v>30145.86533953539</v>
      </c>
      <c r="BP236" s="348">
        <v>31475.21274723675</v>
      </c>
      <c r="BQ236" s="350">
        <v>32609.92706530889</v>
      </c>
    </row>
    <row r="237" spans="1:69" x14ac:dyDescent="0.25">
      <c r="A237" s="348" t="s">
        <v>1507</v>
      </c>
      <c r="B237" s="348" t="s">
        <v>1508</v>
      </c>
      <c r="C237" s="348" t="s">
        <v>1578</v>
      </c>
      <c r="D237" s="348" t="s">
        <v>1579</v>
      </c>
      <c r="AI237" s="348">
        <v>2237.5998445015921</v>
      </c>
      <c r="AJ237" s="348">
        <v>2158.8791103229019</v>
      </c>
      <c r="AK237" s="348">
        <v>2015.1356692749901</v>
      </c>
      <c r="AL237" s="348">
        <v>1721.573690940457</v>
      </c>
      <c r="AM237" s="348">
        <v>1972.2474491180469</v>
      </c>
      <c r="AN237" s="348">
        <v>2036.381598226958</v>
      </c>
      <c r="AO237" s="348">
        <v>2135.4558160945771</v>
      </c>
      <c r="AP237" s="348">
        <v>2366.4027514620329</v>
      </c>
      <c r="AQ237" s="348">
        <v>2247.3488708809441</v>
      </c>
      <c r="AR237" s="348">
        <v>2238.935149716609</v>
      </c>
      <c r="AS237" s="348">
        <v>2160.9893667198648</v>
      </c>
      <c r="AT237" s="348">
        <v>2122.0804744958282</v>
      </c>
      <c r="AU237" s="348">
        <v>2147.9743833722641</v>
      </c>
      <c r="AV237" s="348">
        <v>2234.9772223053001</v>
      </c>
      <c r="AW237" s="348">
        <v>2157.0275199146131</v>
      </c>
      <c r="AX237" s="348">
        <v>2004.2585823215279</v>
      </c>
      <c r="AY237" s="348">
        <v>2000.541760150538</v>
      </c>
      <c r="AZ237" s="348">
        <v>1920.269286706543</v>
      </c>
      <c r="BA237" s="348">
        <v>1941.154866683928</v>
      </c>
      <c r="BB237" s="348">
        <v>1989.8299034696311</v>
      </c>
      <c r="BC237" s="348">
        <v>2049.7805593020312</v>
      </c>
      <c r="BD237" s="348">
        <v>2111.4748342991611</v>
      </c>
      <c r="BE237" s="348">
        <v>2186.3095197143671</v>
      </c>
      <c r="BF237" s="348">
        <v>2254.9883835961632</v>
      </c>
      <c r="BG237" s="348">
        <v>2322.404082945432</v>
      </c>
      <c r="BH237" s="348">
        <v>2388.4260986156828</v>
      </c>
      <c r="BI237" s="348">
        <v>2427.300362264029</v>
      </c>
      <c r="BJ237" s="348">
        <v>2462.277449352684</v>
      </c>
      <c r="BK237" s="348">
        <v>2517.3489869300938</v>
      </c>
      <c r="BL237" s="348">
        <v>2577.516168313723</v>
      </c>
      <c r="BM237" s="348">
        <v>2570.483152085339</v>
      </c>
      <c r="BN237" s="348">
        <v>2638.810952679632</v>
      </c>
      <c r="BO237" s="348">
        <v>2739.688132347113</v>
      </c>
      <c r="BP237" s="348">
        <v>2842.2307624074679</v>
      </c>
      <c r="BQ237" s="350">
        <v>2960.7754256910848</v>
      </c>
    </row>
    <row r="238" spans="1:69" x14ac:dyDescent="0.25">
      <c r="A238" s="348" t="s">
        <v>1509</v>
      </c>
      <c r="B238" s="348" t="s">
        <v>1510</v>
      </c>
      <c r="C238" s="348" t="s">
        <v>1578</v>
      </c>
      <c r="D238" s="348" t="s">
        <v>1579</v>
      </c>
      <c r="AI238" s="348">
        <v>8701.9543605325707</v>
      </c>
      <c r="AJ238" s="348">
        <v>9294.0310625539423</v>
      </c>
      <c r="AK238" s="348">
        <v>9886.8998286912083</v>
      </c>
      <c r="AL238" s="348">
        <v>10538.816389549709</v>
      </c>
      <c r="AM238" s="348">
        <v>11215.036659460589</v>
      </c>
      <c r="AN238" s="348">
        <v>11953.920382866991</v>
      </c>
      <c r="AO238" s="348">
        <v>12456.32908574174</v>
      </c>
      <c r="AP238" s="348">
        <v>11952.84912383715</v>
      </c>
      <c r="AQ238" s="348">
        <v>10897.1533831339</v>
      </c>
      <c r="AR238" s="348">
        <v>11253.38749559045</v>
      </c>
      <c r="AS238" s="348">
        <v>11622.525027853721</v>
      </c>
      <c r="AT238" s="348">
        <v>11901.31821046593</v>
      </c>
      <c r="AU238" s="348">
        <v>12512.18313249629</v>
      </c>
      <c r="AV238" s="348">
        <v>13287.304898745881</v>
      </c>
      <c r="AW238" s="348">
        <v>13997.001386729189</v>
      </c>
      <c r="AX238" s="348">
        <v>14458.255181069449</v>
      </c>
      <c r="AY238" s="348">
        <v>15051.06067487188</v>
      </c>
      <c r="AZ238" s="348">
        <v>15742.655289178059</v>
      </c>
      <c r="BA238" s="348">
        <v>15891.78234098854</v>
      </c>
      <c r="BB238" s="348">
        <v>15665.9031153449</v>
      </c>
      <c r="BC238" s="348">
        <v>16730.369788448839</v>
      </c>
      <c r="BD238" s="348">
        <v>16766.34770578831</v>
      </c>
      <c r="BE238" s="348">
        <v>17869.637660745859</v>
      </c>
      <c r="BF238" s="348">
        <v>18242.42567153633</v>
      </c>
      <c r="BG238" s="348">
        <v>18324.614467487459</v>
      </c>
      <c r="BH238" s="348">
        <v>18811.997510006371</v>
      </c>
      <c r="BI238" s="348">
        <v>19370.608781011659</v>
      </c>
      <c r="BJ238" s="348">
        <v>20094.677876260292</v>
      </c>
      <c r="BK238" s="348">
        <v>20879.902782144869</v>
      </c>
      <c r="BL238" s="348">
        <v>21277.839268476389</v>
      </c>
      <c r="BM238" s="348">
        <v>19957.25714091695</v>
      </c>
      <c r="BN238" s="348">
        <v>20242.770003565591</v>
      </c>
      <c r="BO238" s="348">
        <v>20762.79525985269</v>
      </c>
      <c r="BP238" s="348">
        <v>21191.454030927391</v>
      </c>
      <c r="BQ238" s="350">
        <v>21740.540321926092</v>
      </c>
    </row>
    <row r="239" spans="1:69" x14ac:dyDescent="0.25">
      <c r="A239" s="348" t="s">
        <v>1511</v>
      </c>
      <c r="B239" s="348" t="s">
        <v>1512</v>
      </c>
      <c r="C239" s="348" t="s">
        <v>1578</v>
      </c>
      <c r="D239" s="348" t="s">
        <v>1579</v>
      </c>
      <c r="AI239" s="348">
        <v>4173.0460798224922</v>
      </c>
      <c r="AJ239" s="348">
        <v>3777.1075063218318</v>
      </c>
      <c r="AK239" s="348">
        <v>2630.3865806618642</v>
      </c>
      <c r="AL239" s="348">
        <v>2169.9674735392782</v>
      </c>
      <c r="AM239" s="348">
        <v>1678.338517339181</v>
      </c>
      <c r="AN239" s="348">
        <v>1439.50277584065</v>
      </c>
      <c r="AO239" s="348">
        <v>1175.794072352418</v>
      </c>
      <c r="AP239" s="348">
        <v>1181.281101336333</v>
      </c>
      <c r="AQ239" s="348">
        <v>1236.6755289555631</v>
      </c>
      <c r="AR239" s="348">
        <v>1275.8224902604511</v>
      </c>
      <c r="AS239" s="348">
        <v>1365.233274471293</v>
      </c>
      <c r="AT239" s="348">
        <v>1467.3988247463799</v>
      </c>
      <c r="AU239" s="348">
        <v>1594.93890470219</v>
      </c>
      <c r="AV239" s="348">
        <v>1736.640397498551</v>
      </c>
      <c r="AW239" s="348">
        <v>1878.28696227255</v>
      </c>
      <c r="AX239" s="348">
        <v>1965.3002045825649</v>
      </c>
      <c r="AY239" s="348">
        <v>2063.2885082430021</v>
      </c>
      <c r="AZ239" s="348">
        <v>2181.897980565358</v>
      </c>
      <c r="BA239" s="348">
        <v>2308.094300403342</v>
      </c>
      <c r="BB239" s="348">
        <v>2349.500302694164</v>
      </c>
      <c r="BC239" s="348">
        <v>2449.2735874535861</v>
      </c>
      <c r="BD239" s="348">
        <v>2572.480748954978</v>
      </c>
      <c r="BE239" s="348">
        <v>2700.095460373584</v>
      </c>
      <c r="BF239" s="348">
        <v>2828.3854207514751</v>
      </c>
      <c r="BG239" s="348">
        <v>2943.0886791731668</v>
      </c>
      <c r="BH239" s="348">
        <v>3041.44479553257</v>
      </c>
      <c r="BI239" s="348">
        <v>3169.966782052396</v>
      </c>
      <c r="BJ239" s="348">
        <v>3312.712022435056</v>
      </c>
      <c r="BK239" s="348">
        <v>3479.6923596604061</v>
      </c>
      <c r="BL239" s="348">
        <v>3649.8837551864631</v>
      </c>
      <c r="BM239" s="348">
        <v>3724.7489591465969</v>
      </c>
      <c r="BN239" s="348">
        <v>3985.9124761121848</v>
      </c>
      <c r="BO239" s="348">
        <v>4213.7561836268687</v>
      </c>
      <c r="BP239" s="348">
        <v>4472.3241378777047</v>
      </c>
      <c r="BQ239" s="350">
        <v>4755.932967047187</v>
      </c>
    </row>
    <row r="240" spans="1:69" x14ac:dyDescent="0.25">
      <c r="A240" s="348" t="s">
        <v>1513</v>
      </c>
      <c r="B240" s="348" t="s">
        <v>1514</v>
      </c>
      <c r="C240" s="348" t="s">
        <v>1578</v>
      </c>
      <c r="D240" s="348" t="s">
        <v>1579</v>
      </c>
      <c r="AI240" s="348">
        <v>7925.4980346993789</v>
      </c>
      <c r="AJ240" s="348">
        <v>7373.5841921315323</v>
      </c>
      <c r="AK240" s="348">
        <v>6128.9155614875626</v>
      </c>
      <c r="AL240" s="348">
        <v>6085.5255499596979</v>
      </c>
      <c r="AM240" s="348">
        <v>4929.7339513333482</v>
      </c>
      <c r="AN240" s="348">
        <v>4493.4279331068292</v>
      </c>
      <c r="AO240" s="348">
        <v>4712.8335784403853</v>
      </c>
      <c r="AP240" s="348">
        <v>4105.3690230442817</v>
      </c>
      <c r="AQ240" s="348">
        <v>4323.3016820431076</v>
      </c>
      <c r="AR240" s="348">
        <v>4945.0854198828811</v>
      </c>
      <c r="AS240" s="348">
        <v>5112.5294814735207</v>
      </c>
      <c r="AT240" s="348">
        <v>5228.8032928649109</v>
      </c>
      <c r="AU240" s="348">
        <v>5138.8711776060391</v>
      </c>
      <c r="AV240" s="348">
        <v>5203.8543813176047</v>
      </c>
      <c r="AW240" s="348">
        <v>5360.2242991053172</v>
      </c>
      <c r="AX240" s="348">
        <v>5945.952398048038</v>
      </c>
      <c r="AY240" s="348">
        <v>6476.8280570055103</v>
      </c>
      <c r="AZ240" s="348">
        <v>7060.1484499304279</v>
      </c>
      <c r="BA240" s="348">
        <v>7944.9959007310626</v>
      </c>
      <c r="BB240" s="348">
        <v>8264.8653432273477</v>
      </c>
      <c r="BC240" s="348">
        <v>8842.3328358511208</v>
      </c>
      <c r="BD240" s="348">
        <v>9929.689346346453</v>
      </c>
      <c r="BE240" s="348">
        <v>10794.233523366331</v>
      </c>
      <c r="BF240" s="348">
        <v>11633.29059877574</v>
      </c>
      <c r="BG240" s="348">
        <v>12544.398346406129</v>
      </c>
      <c r="BH240" s="348">
        <v>13057.830325355661</v>
      </c>
      <c r="BI240" s="348">
        <v>13552.84771187452</v>
      </c>
      <c r="BJ240" s="348">
        <v>14107.66711992893</v>
      </c>
      <c r="BK240" s="348">
        <v>14648.135352724959</v>
      </c>
      <c r="BL240" s="348">
        <v>15231.30561765655</v>
      </c>
      <c r="BM240" s="348">
        <v>15791.177585760121</v>
      </c>
      <c r="BN240" s="348">
        <v>16434.139906035271</v>
      </c>
      <c r="BO240" s="348">
        <v>17119.574494614219</v>
      </c>
      <c r="BP240" s="348">
        <v>17866.404180916921</v>
      </c>
      <c r="BQ240" s="350">
        <v>18662.29879905601</v>
      </c>
    </row>
    <row r="241" spans="1:69" x14ac:dyDescent="0.25">
      <c r="A241" s="348" t="s">
        <v>1515</v>
      </c>
      <c r="B241" s="348" t="s">
        <v>1516</v>
      </c>
      <c r="C241" s="348" t="s">
        <v>1578</v>
      </c>
      <c r="D241" s="348" t="s">
        <v>1579</v>
      </c>
      <c r="AI241" s="348">
        <v>12391.487190882641</v>
      </c>
      <c r="AJ241" s="348">
        <v>12568.296881204469</v>
      </c>
      <c r="AK241" s="348">
        <v>12691.728187265449</v>
      </c>
      <c r="AL241" s="348">
        <v>13054.56856727044</v>
      </c>
      <c r="AM241" s="348">
        <v>13517.833965391281</v>
      </c>
      <c r="AN241" s="348">
        <v>13396.988488655679</v>
      </c>
      <c r="AO241" s="348">
        <v>13704.61852231629</v>
      </c>
      <c r="AP241" s="348">
        <v>14224.22381280341</v>
      </c>
      <c r="AQ241" s="348">
        <v>14414.210639353731</v>
      </c>
      <c r="AR241" s="348">
        <v>14257.59484979539</v>
      </c>
      <c r="AS241" s="348">
        <v>14550.041051733529</v>
      </c>
      <c r="AT241" s="348">
        <v>14382.817070781521</v>
      </c>
      <c r="AU241" s="348">
        <v>14258.39535990317</v>
      </c>
      <c r="AV241" s="348">
        <v>14430.89963107051</v>
      </c>
      <c r="AW241" s="348">
        <v>15004.49040400272</v>
      </c>
      <c r="AX241" s="348">
        <v>15420.96767540855</v>
      </c>
      <c r="AY241" s="348">
        <v>16038.972982356931</v>
      </c>
      <c r="AZ241" s="348">
        <v>16697.323316299651</v>
      </c>
      <c r="BA241" s="348">
        <v>17129.61401095067</v>
      </c>
      <c r="BB241" s="348">
        <v>16551.704542401319</v>
      </c>
      <c r="BC241" s="348">
        <v>17449.591679205871</v>
      </c>
      <c r="BD241" s="348">
        <v>18056.583482728842</v>
      </c>
      <c r="BE241" s="348">
        <v>18341.54431719533</v>
      </c>
      <c r="BF241" s="348">
        <v>18677.765971932949</v>
      </c>
      <c r="BG241" s="348">
        <v>18763.634450426471</v>
      </c>
      <c r="BH241" s="348">
        <v>18671.675676723251</v>
      </c>
      <c r="BI241" s="348">
        <v>18456.85390635984</v>
      </c>
      <c r="BJ241" s="348">
        <v>18654.330100522231</v>
      </c>
      <c r="BK241" s="348">
        <v>18808.493749286899</v>
      </c>
      <c r="BL241" s="348">
        <v>18790.952891464902</v>
      </c>
      <c r="BM241" s="348">
        <v>17418.312947885319</v>
      </c>
      <c r="BN241" s="348">
        <v>18606.934682662351</v>
      </c>
      <c r="BO241" s="348">
        <v>19256.497375881328</v>
      </c>
      <c r="BP241" s="348">
        <v>19556.811759820321</v>
      </c>
      <c r="BQ241" s="350">
        <v>19850.768767506612</v>
      </c>
    </row>
    <row r="242" spans="1:69" x14ac:dyDescent="0.25">
      <c r="A242" s="348" t="s">
        <v>1517</v>
      </c>
      <c r="B242" s="348" t="s">
        <v>1518</v>
      </c>
      <c r="C242" s="348" t="s">
        <v>1578</v>
      </c>
      <c r="D242" s="348" t="s">
        <v>1579</v>
      </c>
      <c r="AI242" s="348">
        <v>2143.791984857919</v>
      </c>
      <c r="AJ242" s="348">
        <v>2318.794305465135</v>
      </c>
      <c r="AK242" s="348">
        <v>2493.9086204168912</v>
      </c>
      <c r="AL242" s="348">
        <v>2674.3992600029951</v>
      </c>
      <c r="AM242" s="348">
        <v>2786.6762833925468</v>
      </c>
      <c r="AN242" s="348">
        <v>2891.8646503463551</v>
      </c>
      <c r="AO242" s="348">
        <v>3038.2304368651789</v>
      </c>
      <c r="AP242" s="348">
        <v>3073.970437096646</v>
      </c>
      <c r="AQ242" s="348">
        <v>2931.4808862255818</v>
      </c>
      <c r="AR242" s="348">
        <v>2136.649500095426</v>
      </c>
      <c r="AS242" s="348">
        <v>3783.783490406207</v>
      </c>
      <c r="AT242" s="348">
        <v>4038.3358326694829</v>
      </c>
      <c r="AU242" s="348">
        <v>3480.9886048191838</v>
      </c>
      <c r="AV242" s="348">
        <v>3264.9464922744341</v>
      </c>
      <c r="AW242" s="348">
        <v>3234.9757289337258</v>
      </c>
      <c r="AX242" s="348">
        <v>3263.9446959296611</v>
      </c>
      <c r="AY242" s="348">
        <v>3038.9525339788129</v>
      </c>
      <c r="AZ242" s="348">
        <v>3256.5697369619929</v>
      </c>
      <c r="BA242" s="348">
        <v>3530.8822194066129</v>
      </c>
      <c r="BB242" s="348">
        <v>3792.3582606222972</v>
      </c>
      <c r="BC242" s="348">
        <v>4047.2494639208562</v>
      </c>
      <c r="BD242" s="348">
        <v>4189.7998034834091</v>
      </c>
      <c r="BE242" s="348">
        <v>4297.9148220439829</v>
      </c>
      <c r="BF242" s="348">
        <v>4340.2785179054372</v>
      </c>
      <c r="BG242" s="348">
        <v>4445.359427210301</v>
      </c>
      <c r="BH242" s="348">
        <v>4467.8001198817656</v>
      </c>
      <c r="BI242" s="348">
        <v>4515.4226379882011</v>
      </c>
      <c r="BJ242" s="348">
        <v>4290.0272653216434</v>
      </c>
      <c r="BK242" s="348">
        <v>4188.8411517512668</v>
      </c>
      <c r="BL242" s="348">
        <v>5103.1496287255522</v>
      </c>
      <c r="BM242" s="348">
        <v>6594.881755039014</v>
      </c>
      <c r="BN242" s="348">
        <v>6825.0458863074482</v>
      </c>
      <c r="BO242" s="348">
        <v>5348.4920006498651</v>
      </c>
      <c r="BP242" s="348">
        <v>4331.0780614430541</v>
      </c>
      <c r="BQ242" s="350">
        <v>3890.9576343418662</v>
      </c>
    </row>
    <row r="243" spans="1:69" x14ac:dyDescent="0.25">
      <c r="A243" s="348" t="s">
        <v>1519</v>
      </c>
      <c r="B243" s="348" t="s">
        <v>1520</v>
      </c>
      <c r="C243" s="348" t="s">
        <v>1578</v>
      </c>
      <c r="D243" s="348" t="s">
        <v>1579</v>
      </c>
      <c r="AI243" s="348">
        <v>6461.538986730985</v>
      </c>
      <c r="AJ243" s="348">
        <v>6309.7228735457102</v>
      </c>
      <c r="AK243" s="348">
        <v>6459.1514653013692</v>
      </c>
      <c r="AL243" s="348">
        <v>6396.377008796685</v>
      </c>
      <c r="AM243" s="348">
        <v>6376.217895205863</v>
      </c>
      <c r="AN243" s="348">
        <v>6424.1824015277134</v>
      </c>
      <c r="AO243" s="348">
        <v>6654.7778945047976</v>
      </c>
      <c r="AP243" s="348">
        <v>6725.7127061404062</v>
      </c>
      <c r="AQ243" s="348">
        <v>6940.1931708321526</v>
      </c>
      <c r="AR243" s="348">
        <v>7072.1061346978868</v>
      </c>
      <c r="AS243" s="348">
        <v>7321.3392043030699</v>
      </c>
      <c r="AT243" s="348">
        <v>7371.2033871493604</v>
      </c>
      <c r="AU243" s="348">
        <v>7458.1450032560306</v>
      </c>
      <c r="AV243" s="348">
        <v>7487.9405955036118</v>
      </c>
      <c r="AW243" s="348">
        <v>7878.4365206104076</v>
      </c>
      <c r="AX243" s="348">
        <v>8072.5397608944713</v>
      </c>
      <c r="AY243" s="348">
        <v>8330.0633530541872</v>
      </c>
      <c r="AZ243" s="348">
        <v>8635.0003471235523</v>
      </c>
      <c r="BA243" s="348">
        <v>8759.2276764373619</v>
      </c>
      <c r="BB243" s="348">
        <v>8835.7957895667114</v>
      </c>
      <c r="BC243" s="348">
        <v>9055.9611751728808</v>
      </c>
      <c r="BD243" s="348">
        <v>8989.2035290478998</v>
      </c>
      <c r="BE243" s="348">
        <v>8986.4815886161668</v>
      </c>
      <c r="BF243" s="348">
        <v>8909.0172336006508</v>
      </c>
      <c r="BG243" s="348">
        <v>8995.014374626433</v>
      </c>
      <c r="BH243" s="348">
        <v>9042.194213564062</v>
      </c>
      <c r="BI243" s="348">
        <v>9416.2005663957916</v>
      </c>
      <c r="BJ243" s="348">
        <v>9563.2922788646338</v>
      </c>
      <c r="BK243" s="348">
        <v>9616.697714909762</v>
      </c>
      <c r="BL243" s="348">
        <v>9629.4860882414941</v>
      </c>
      <c r="BM243" s="348">
        <v>9317.3991823076558</v>
      </c>
      <c r="BN243" s="348">
        <v>9525.1251489087463</v>
      </c>
      <c r="BO243" s="348">
        <v>9800.7224471361897</v>
      </c>
      <c r="BP243" s="348">
        <v>9915.1352502568971</v>
      </c>
      <c r="BQ243" s="350">
        <v>10005.77425740583</v>
      </c>
    </row>
    <row r="244" spans="1:69" x14ac:dyDescent="0.25">
      <c r="A244" s="348" t="s">
        <v>1521</v>
      </c>
      <c r="B244" s="348" t="s">
        <v>1522</v>
      </c>
      <c r="C244" s="348" t="s">
        <v>1578</v>
      </c>
      <c r="D244" s="348" t="s">
        <v>1579</v>
      </c>
      <c r="AI244" s="348">
        <v>4487.819218602991</v>
      </c>
      <c r="AJ244" s="348">
        <v>4766.3883130856757</v>
      </c>
      <c r="AK244" s="348">
        <v>4772.3311124715228</v>
      </c>
      <c r="AL244" s="348">
        <v>4946.7176624643116</v>
      </c>
      <c r="AM244" s="348">
        <v>5188.4395519550062</v>
      </c>
      <c r="AN244" s="348">
        <v>5508.3393462772283</v>
      </c>
      <c r="AO244" s="348">
        <v>5510.7084261901964</v>
      </c>
      <c r="AP244" s="348">
        <v>5455.9051757381731</v>
      </c>
      <c r="AQ244" s="348">
        <v>5541.6832577384084</v>
      </c>
      <c r="AR244" s="348">
        <v>5632.7225239659929</v>
      </c>
      <c r="AS244" s="348">
        <v>5808.2650914335218</v>
      </c>
      <c r="AT244" s="348">
        <v>5860.0807778693488</v>
      </c>
      <c r="AU244" s="348">
        <v>6085.1132319362578</v>
      </c>
      <c r="AV244" s="348">
        <v>6053.8798660638986</v>
      </c>
      <c r="AW244" s="348">
        <v>5900.4574129139382</v>
      </c>
      <c r="AX244" s="348">
        <v>5828.3705439801761</v>
      </c>
      <c r="AY244" s="348">
        <v>5670.914184286903</v>
      </c>
      <c r="AZ244" s="348">
        <v>5506.6517783375193</v>
      </c>
      <c r="BA244" s="348">
        <v>5758.5682866521884</v>
      </c>
      <c r="BB244" s="348">
        <v>5453.8751454888315</v>
      </c>
      <c r="BC244" s="348">
        <v>5488.7504032659544</v>
      </c>
      <c r="BD244" s="348">
        <v>5847.4438942076858</v>
      </c>
      <c r="BE244" s="348">
        <v>5907.2671160350701</v>
      </c>
      <c r="BF244" s="348">
        <v>5951.6943211123826</v>
      </c>
      <c r="BG244" s="348">
        <v>6096.8691478474502</v>
      </c>
      <c r="BH244" s="348">
        <v>6194.6392300371763</v>
      </c>
      <c r="BI244" s="348">
        <v>6639.136787379638</v>
      </c>
      <c r="BJ244" s="348">
        <v>6862.6687060502454</v>
      </c>
      <c r="BK244" s="348">
        <v>6885.1027162040546</v>
      </c>
      <c r="BL244" s="348">
        <v>6858.8387121015403</v>
      </c>
      <c r="BM244" s="348">
        <v>6980.4101173406771</v>
      </c>
      <c r="BN244" s="348">
        <v>6929.1766928843772</v>
      </c>
      <c r="BO244" s="348">
        <v>6810.6097063254283</v>
      </c>
      <c r="BP244" s="348">
        <v>7030.419174397146</v>
      </c>
    </row>
    <row r="245" spans="1:69" x14ac:dyDescent="0.25">
      <c r="A245" s="348" t="s">
        <v>1523</v>
      </c>
      <c r="B245" s="348" t="s">
        <v>1524</v>
      </c>
      <c r="C245" s="348" t="s">
        <v>1578</v>
      </c>
      <c r="D245" s="348" t="s">
        <v>1579</v>
      </c>
      <c r="AI245" s="348">
        <v>2221.1040111705838</v>
      </c>
      <c r="AJ245" s="348">
        <v>2207.152293662376</v>
      </c>
      <c r="AK245" s="348">
        <v>2278.2956227530731</v>
      </c>
      <c r="AL245" s="348">
        <v>2338.649094380497</v>
      </c>
      <c r="AM245" s="348">
        <v>2437.5272636842701</v>
      </c>
      <c r="AN245" s="348">
        <v>2561.138718688102</v>
      </c>
      <c r="AO245" s="348">
        <v>2688.748849500304</v>
      </c>
      <c r="AP245" s="348">
        <v>2747.1844930872899</v>
      </c>
      <c r="AQ245" s="348">
        <v>2855.9997403997309</v>
      </c>
      <c r="AR245" s="348">
        <v>3032.5386744459852</v>
      </c>
      <c r="AS245" s="348">
        <v>3097.806570681591</v>
      </c>
      <c r="AT245" s="348">
        <v>3182.3165181118088</v>
      </c>
      <c r="AU245" s="348">
        <v>3244.373011723615</v>
      </c>
      <c r="AV245" s="348">
        <v>3427.976938435796</v>
      </c>
      <c r="AW245" s="348">
        <v>3626.6599528875422</v>
      </c>
      <c r="AX245" s="348">
        <v>3844.0063274984768</v>
      </c>
      <c r="AY245" s="348">
        <v>4085.0733118729299</v>
      </c>
      <c r="AZ245" s="348">
        <v>4330.3026057184561</v>
      </c>
      <c r="BA245" s="348">
        <v>4419.8321124642216</v>
      </c>
      <c r="BB245" s="348">
        <v>4683.4232055957737</v>
      </c>
      <c r="BC245" s="348">
        <v>4997.841582093818</v>
      </c>
      <c r="BD245" s="348">
        <v>5199.398280238478</v>
      </c>
      <c r="BE245" s="348">
        <v>5421.1697399169252</v>
      </c>
      <c r="BF245" s="348">
        <v>5690.3266487174433</v>
      </c>
      <c r="BG245" s="348">
        <v>6029.5488910267859</v>
      </c>
      <c r="BH245" s="348">
        <v>6420.3975340839643</v>
      </c>
      <c r="BI245" s="348">
        <v>6853.8362204555669</v>
      </c>
      <c r="BJ245" s="348">
        <v>7237.9013460910974</v>
      </c>
      <c r="BK245" s="348">
        <v>7622.2508421199254</v>
      </c>
      <c r="BL245" s="348">
        <v>7857.6146923331389</v>
      </c>
      <c r="BM245" s="348">
        <v>7399.2146905548962</v>
      </c>
      <c r="BN245" s="348">
        <v>8015.3567446281104</v>
      </c>
      <c r="BO245" s="348">
        <v>8522.0255526636793</v>
      </c>
      <c r="BP245" s="348">
        <v>9169.1742595986925</v>
      </c>
      <c r="BQ245" s="350">
        <v>9654.1661001537959</v>
      </c>
    </row>
    <row r="246" spans="1:69" x14ac:dyDescent="0.25">
      <c r="A246" s="348" t="s">
        <v>1525</v>
      </c>
      <c r="B246" s="348" t="s">
        <v>1526</v>
      </c>
      <c r="C246" s="348" t="s">
        <v>1578</v>
      </c>
      <c r="D246" s="348" t="s">
        <v>1579</v>
      </c>
      <c r="AI246" s="348">
        <v>3775.4471582475248</v>
      </c>
      <c r="AJ246" s="348">
        <v>3692.9664784276151</v>
      </c>
      <c r="AK246" s="348">
        <v>3585.8898110554028</v>
      </c>
      <c r="AL246" s="348">
        <v>3446.3987171145918</v>
      </c>
      <c r="AM246" s="348">
        <v>3382.898706935157</v>
      </c>
      <c r="AN246" s="348">
        <v>3400.7921133669788</v>
      </c>
      <c r="AO246" s="348">
        <v>3482.835382481514</v>
      </c>
      <c r="AP246" s="348">
        <v>3531.2526143185992</v>
      </c>
      <c r="AQ246" s="348">
        <v>3529.467226683606</v>
      </c>
      <c r="AR246" s="348">
        <v>3509.3181013622889</v>
      </c>
      <c r="AS246" s="348">
        <v>3534.517322415838</v>
      </c>
      <c r="AT246" s="348">
        <v>3592.1695011933111</v>
      </c>
      <c r="AU246" s="348">
        <v>3732.0852841095571</v>
      </c>
      <c r="AV246" s="348">
        <v>3787.2119058154121</v>
      </c>
      <c r="AW246" s="348">
        <v>3938.5247473563891</v>
      </c>
      <c r="AX246" s="348">
        <v>4064.794698567217</v>
      </c>
      <c r="AY246" s="348">
        <v>4196.0174214195313</v>
      </c>
      <c r="AZ246" s="348">
        <v>4334.8833472194074</v>
      </c>
      <c r="BA246" s="348">
        <v>4442.5605410532344</v>
      </c>
      <c r="BB246" s="348">
        <v>4476.2659581663756</v>
      </c>
      <c r="BC246" s="348">
        <v>4629.3415457211713</v>
      </c>
      <c r="BD246" s="348">
        <v>4716.8219632852497</v>
      </c>
      <c r="BE246" s="348">
        <v>4779.4509583287436</v>
      </c>
      <c r="BF246" s="348">
        <v>4893.0308617161691</v>
      </c>
      <c r="BG246" s="348">
        <v>4999.5221948802327</v>
      </c>
      <c r="BH246" s="348">
        <v>5016.2275300052643</v>
      </c>
      <c r="BI246" s="348">
        <v>4948.6100214845501</v>
      </c>
      <c r="BJ246" s="348">
        <v>4944.8271656473298</v>
      </c>
      <c r="BK246" s="348">
        <v>4954.5622876737489</v>
      </c>
      <c r="BL246" s="348">
        <v>4956.2820456931386</v>
      </c>
      <c r="BM246" s="348">
        <v>4674.7299952428393</v>
      </c>
      <c r="BN246" s="348">
        <v>4720.35761389047</v>
      </c>
      <c r="BO246" s="348">
        <v>4796.0664154213737</v>
      </c>
      <c r="BP246" s="348">
        <v>4810.2157681186072</v>
      </c>
      <c r="BQ246" s="350">
        <v>4872.6356142047107</v>
      </c>
    </row>
    <row r="247" spans="1:69" x14ac:dyDescent="0.25">
      <c r="A247" s="348" t="s">
        <v>1527</v>
      </c>
      <c r="B247" s="348" t="s">
        <v>1528</v>
      </c>
      <c r="C247" s="348" t="s">
        <v>1578</v>
      </c>
      <c r="D247" s="348" t="s">
        <v>1579</v>
      </c>
      <c r="AI247" s="348">
        <v>11869.52872663167</v>
      </c>
      <c r="AJ247" s="348">
        <v>12142.34815029701</v>
      </c>
      <c r="AK247" s="348">
        <v>13267.97705817068</v>
      </c>
      <c r="AL247" s="348">
        <v>13088.707385516849</v>
      </c>
      <c r="AM247" s="348">
        <v>13472.74641550311</v>
      </c>
      <c r="AN247" s="348">
        <v>13912.313329904469</v>
      </c>
      <c r="AO247" s="348">
        <v>14838.90265296757</v>
      </c>
      <c r="AP247" s="348">
        <v>15895.24387631643</v>
      </c>
      <c r="AQ247" s="348">
        <v>17129.091144468632</v>
      </c>
      <c r="AR247" s="348">
        <v>18440.574131290759</v>
      </c>
      <c r="AS247" s="348">
        <v>19637.554541072081</v>
      </c>
      <c r="AT247" s="348">
        <v>20366.75313221195</v>
      </c>
      <c r="AU247" s="348">
        <v>21876.852907040269</v>
      </c>
      <c r="AV247" s="348">
        <v>24910.823196151989</v>
      </c>
      <c r="AW247" s="348">
        <v>26757.907560142939</v>
      </c>
      <c r="AX247" s="348">
        <v>29536.439410109611</v>
      </c>
      <c r="AY247" s="348">
        <v>33348.750747088561</v>
      </c>
      <c r="AZ247" s="348">
        <v>34793.645752110482</v>
      </c>
      <c r="BA247" s="348">
        <v>35825.333345636223</v>
      </c>
      <c r="BB247" s="348">
        <v>34212.268305700818</v>
      </c>
      <c r="BC247" s="348">
        <v>35145.125363906183</v>
      </c>
      <c r="BD247" s="348">
        <v>34769.762025137607</v>
      </c>
      <c r="BE247" s="348">
        <v>36903.68985740943</v>
      </c>
      <c r="BF247" s="348">
        <v>37994.068648047272</v>
      </c>
      <c r="BG247" s="348">
        <v>39248.657051602298</v>
      </c>
      <c r="BH247" s="348">
        <v>38963.964178301117</v>
      </c>
      <c r="BI247" s="348">
        <v>35914.990197098297</v>
      </c>
      <c r="BJ247" s="348">
        <v>34095.989925615169</v>
      </c>
      <c r="BK247" s="348">
        <v>33710.017854000776</v>
      </c>
      <c r="BL247" s="348">
        <v>33748.706084992453</v>
      </c>
      <c r="BM247" s="348">
        <v>30720.887693604229</v>
      </c>
      <c r="BN247" s="348">
        <v>30482.12017986305</v>
      </c>
      <c r="BO247" s="348">
        <v>30784.111258035569</v>
      </c>
      <c r="BP247" s="348">
        <v>31196.603554717982</v>
      </c>
      <c r="BQ247" s="350">
        <v>31960.156888898291</v>
      </c>
    </row>
    <row r="248" spans="1:69" x14ac:dyDescent="0.25">
      <c r="A248" s="348" t="s">
        <v>1529</v>
      </c>
      <c r="B248" s="348" t="s">
        <v>1530</v>
      </c>
      <c r="C248" s="348" t="s">
        <v>1578</v>
      </c>
      <c r="D248" s="348" t="s">
        <v>1579</v>
      </c>
      <c r="AI248" s="348">
        <v>6742.5842642055113</v>
      </c>
      <c r="AJ248" s="348">
        <v>6859.7342715377699</v>
      </c>
      <c r="AK248" s="348">
        <v>7241.291058947385</v>
      </c>
      <c r="AL248" s="348">
        <v>7253.3361457988094</v>
      </c>
      <c r="AM248" s="348">
        <v>7350.6560047149414</v>
      </c>
      <c r="AN248" s="348">
        <v>7406.2390093084241</v>
      </c>
      <c r="AO248" s="348">
        <v>7821.7921910735859</v>
      </c>
      <c r="AP248" s="348">
        <v>8136.3376111407979</v>
      </c>
      <c r="AQ248" s="348">
        <v>8417.9849326468466</v>
      </c>
      <c r="AR248" s="348">
        <v>8821.9879128825723</v>
      </c>
      <c r="AS248" s="348">
        <v>9134.4150632700494</v>
      </c>
      <c r="AT248" s="348">
        <v>9380.5631761702425</v>
      </c>
      <c r="AU248" s="348">
        <v>9407.5567667159303</v>
      </c>
      <c r="AV248" s="348">
        <v>9752.024423358238</v>
      </c>
      <c r="AW248" s="348">
        <v>10263.80554224082</v>
      </c>
      <c r="AX248" s="348">
        <v>10529.159895684459</v>
      </c>
      <c r="AY248" s="348">
        <v>10983.922190399129</v>
      </c>
      <c r="AZ248" s="348">
        <v>11613.92475114282</v>
      </c>
      <c r="BA248" s="348">
        <v>11990.19623717158</v>
      </c>
      <c r="BB248" s="348">
        <v>12229.77525366927</v>
      </c>
      <c r="BC248" s="348">
        <v>12458.271036655109</v>
      </c>
      <c r="BD248" s="348">
        <v>12068.71362576667</v>
      </c>
      <c r="BE248" s="348">
        <v>12436.395811573509</v>
      </c>
      <c r="BF248" s="348">
        <v>12587.995064559629</v>
      </c>
      <c r="BG248" s="348">
        <v>12824.00289144413</v>
      </c>
      <c r="BH248" s="348">
        <v>12802.79172114331</v>
      </c>
      <c r="BI248" s="348">
        <v>12803.87973715433</v>
      </c>
      <c r="BJ248" s="348">
        <v>12955.401481424071</v>
      </c>
      <c r="BK248" s="348">
        <v>13163.195223035669</v>
      </c>
      <c r="BL248" s="348">
        <v>13243.9024233246</v>
      </c>
      <c r="BM248" s="348">
        <v>11955.59836984789</v>
      </c>
      <c r="BN248" s="348">
        <v>12444.326402688701</v>
      </c>
      <c r="BO248" s="348">
        <v>12712.22345453002</v>
      </c>
      <c r="BP248" s="348">
        <v>12650.961515816591</v>
      </c>
      <c r="BQ248" s="350">
        <v>12774.91585680211</v>
      </c>
    </row>
    <row r="249" spans="1:69" x14ac:dyDescent="0.25">
      <c r="A249" s="348" t="s">
        <v>1531</v>
      </c>
      <c r="B249" s="348" t="s">
        <v>1532</v>
      </c>
      <c r="C249" s="348" t="s">
        <v>1578</v>
      </c>
      <c r="D249" s="348" t="s">
        <v>1579</v>
      </c>
      <c r="AI249" s="348">
        <v>12184.199594530301</v>
      </c>
      <c r="AJ249" s="348">
        <v>12057.93543601921</v>
      </c>
      <c r="AK249" s="348">
        <v>12451.045120115639</v>
      </c>
      <c r="AL249" s="348">
        <v>13174.46711618876</v>
      </c>
      <c r="AM249" s="348">
        <v>12343.004185130851</v>
      </c>
      <c r="AN249" s="348">
        <v>13099.257526761219</v>
      </c>
      <c r="AO249" s="348">
        <v>13826.9201097072</v>
      </c>
      <c r="AP249" s="348">
        <v>14631.29588147392</v>
      </c>
      <c r="AQ249" s="348">
        <v>14704.338574420661</v>
      </c>
      <c r="AR249" s="348">
        <v>14066.18962572332</v>
      </c>
      <c r="AS249" s="348">
        <v>14856.914625257001</v>
      </c>
      <c r="AT249" s="348">
        <v>13872.128728456581</v>
      </c>
      <c r="AU249" s="348">
        <v>14587.894621655971</v>
      </c>
      <c r="AV249" s="348">
        <v>15255.71779606888</v>
      </c>
      <c r="AW249" s="348">
        <v>16583.883709406211</v>
      </c>
      <c r="AX249" s="348">
        <v>17902.596600448669</v>
      </c>
      <c r="AY249" s="348">
        <v>18972.008956363199</v>
      </c>
      <c r="AZ249" s="348">
        <v>19909.08351967499</v>
      </c>
      <c r="BA249" s="348">
        <v>19839.584546226881</v>
      </c>
      <c r="BB249" s="348">
        <v>18612.19252319049</v>
      </c>
      <c r="BC249" s="348">
        <v>19897.446483688651</v>
      </c>
      <c r="BD249" s="348">
        <v>21760.429192363361</v>
      </c>
      <c r="BE249" s="348">
        <v>22517.71482878751</v>
      </c>
      <c r="BF249" s="348">
        <v>24117.312109983872</v>
      </c>
      <c r="BG249" s="348">
        <v>24888.852174257569</v>
      </c>
      <c r="BH249" s="348">
        <v>25984.802730617721</v>
      </c>
      <c r="BI249" s="348">
        <v>26489.643681604572</v>
      </c>
      <c r="BJ249" s="348">
        <v>28194.688309381039</v>
      </c>
      <c r="BK249" s="348">
        <v>28780.30364581514</v>
      </c>
      <c r="BL249" s="348">
        <v>28741.05350827015</v>
      </c>
      <c r="BM249" s="348">
        <v>28976.717916161069</v>
      </c>
      <c r="BN249" s="348">
        <v>32105.547440050559</v>
      </c>
      <c r="BO249" s="348">
        <v>33520.811138420817</v>
      </c>
      <c r="BP249" s="348">
        <v>35069.170171468468</v>
      </c>
      <c r="BQ249" s="350">
        <v>36154.490436556996</v>
      </c>
    </row>
    <row r="250" spans="1:69" x14ac:dyDescent="0.25">
      <c r="A250" s="348" t="s">
        <v>1533</v>
      </c>
      <c r="B250" s="348" t="s">
        <v>1534</v>
      </c>
      <c r="C250" s="348" t="s">
        <v>1578</v>
      </c>
      <c r="D250" s="348" t="s">
        <v>1579</v>
      </c>
      <c r="AI250" s="348">
        <v>2984.2855514891571</v>
      </c>
      <c r="AJ250" s="348">
        <v>3046.9715755826251</v>
      </c>
      <c r="AK250" s="348">
        <v>3093.826794440633</v>
      </c>
      <c r="AL250" s="348">
        <v>3189.9490883321691</v>
      </c>
      <c r="AM250" s="348">
        <v>3487.03357118243</v>
      </c>
      <c r="AN250" s="348">
        <v>3286.469057700896</v>
      </c>
      <c r="AO250" s="348">
        <v>3070.0394223931871</v>
      </c>
      <c r="AP250" s="348">
        <v>3356.3070596411558</v>
      </c>
      <c r="AQ250" s="348">
        <v>3855.654814408053</v>
      </c>
      <c r="AR250" s="348">
        <v>3777.3717722978422</v>
      </c>
      <c r="AS250" s="348">
        <v>3721.8994787524321</v>
      </c>
      <c r="AT250" s="348">
        <v>3705.59238735794</v>
      </c>
      <c r="AU250" s="348">
        <v>4042.9011761499178</v>
      </c>
      <c r="AV250" s="348">
        <v>3838.4036432853982</v>
      </c>
      <c r="AW250" s="348">
        <v>3704.9272589071488</v>
      </c>
      <c r="AX250" s="348">
        <v>3488.5363457740291</v>
      </c>
      <c r="AY250" s="348">
        <v>3532.3994257371928</v>
      </c>
      <c r="AZ250" s="348">
        <v>3737.878675100304</v>
      </c>
      <c r="BA250" s="348">
        <v>3933.3739671087469</v>
      </c>
      <c r="BB250" s="348">
        <v>3638.1876178062612</v>
      </c>
      <c r="BC250" s="348">
        <v>3506.0602338093022</v>
      </c>
      <c r="BD250" s="348">
        <v>3687.4392733126178</v>
      </c>
      <c r="BE250" s="348">
        <v>3558.1523704125352</v>
      </c>
      <c r="BF250" s="348">
        <v>3690.2420429533122</v>
      </c>
      <c r="BG250" s="348">
        <v>3695.953451796192</v>
      </c>
      <c r="BH250" s="348">
        <v>4088.7657991084729</v>
      </c>
      <c r="BI250" s="348">
        <v>4333.248993621618</v>
      </c>
      <c r="BJ250" s="348">
        <v>4464.2588462993699</v>
      </c>
      <c r="BK250" s="348">
        <v>4575.8690051042358</v>
      </c>
      <c r="BL250" s="348">
        <v>5292.0302596942147</v>
      </c>
      <c r="BM250" s="348">
        <v>5154.459578340151</v>
      </c>
      <c r="BN250" s="348">
        <v>5352.9786253789734</v>
      </c>
      <c r="BO250" s="348">
        <v>5498.1845544720873</v>
      </c>
      <c r="BP250" s="348">
        <v>5812.3992453775263</v>
      </c>
    </row>
    <row r="251" spans="1:69" x14ac:dyDescent="0.25">
      <c r="A251" s="348" t="s">
        <v>1535</v>
      </c>
      <c r="B251" s="348" t="s">
        <v>1536</v>
      </c>
      <c r="C251" s="348" t="s">
        <v>1578</v>
      </c>
      <c r="D251" s="348" t="s">
        <v>1579</v>
      </c>
      <c r="AI251" s="348">
        <v>1794.20458984375</v>
      </c>
      <c r="AJ251" s="348">
        <v>1785.66394042969</v>
      </c>
      <c r="AK251" s="348">
        <v>1751.91845703125</v>
      </c>
      <c r="AL251" s="348">
        <v>1718.39306640625</v>
      </c>
      <c r="AM251" s="348">
        <v>1679.66235351563</v>
      </c>
      <c r="AN251" s="348">
        <v>1685.85107421875</v>
      </c>
      <c r="AO251" s="348">
        <v>1730.55456542969</v>
      </c>
      <c r="AP251" s="348">
        <v>1755.8037109375</v>
      </c>
      <c r="AQ251" s="348">
        <v>1773.72424316406</v>
      </c>
      <c r="AR251" s="348">
        <v>1810.97155761719</v>
      </c>
      <c r="AS251" s="348">
        <v>1839.93664550781</v>
      </c>
      <c r="AT251" s="348">
        <v>1899.74536132813</v>
      </c>
      <c r="AU251" s="348">
        <v>1982.64428710938</v>
      </c>
      <c r="AV251" s="348">
        <v>2059.83740234375</v>
      </c>
      <c r="AW251" s="348">
        <v>2155.24145507813</v>
      </c>
      <c r="AX251" s="348">
        <v>2253.09326171875</v>
      </c>
      <c r="AY251" s="348">
        <v>2334.1044921875</v>
      </c>
      <c r="AZ251" s="348">
        <v>2423.61596679688</v>
      </c>
      <c r="BA251" s="348">
        <v>2493.25927734375</v>
      </c>
      <c r="BB251" s="348">
        <v>2560.81103515625</v>
      </c>
      <c r="BC251" s="348">
        <v>2654.80346679688</v>
      </c>
      <c r="BD251" s="348">
        <v>2779.70776367188</v>
      </c>
      <c r="BE251" s="348">
        <v>2822.4853515625</v>
      </c>
      <c r="BF251" s="348">
        <v>2924.86328125</v>
      </c>
      <c r="BG251" s="348">
        <v>3027.56909179688</v>
      </c>
      <c r="BH251" s="348">
        <v>3111.44458007813</v>
      </c>
      <c r="BI251" s="348">
        <v>3214.24682617188</v>
      </c>
      <c r="BJ251" s="348">
        <v>3318.28833007813</v>
      </c>
      <c r="BK251" s="348">
        <v>3392.68872070313</v>
      </c>
      <c r="BL251" s="348">
        <v>3484.63256835938</v>
      </c>
      <c r="BM251" s="348">
        <v>3449.82153320313</v>
      </c>
      <c r="BN251" s="348">
        <v>3493.0830078125</v>
      </c>
      <c r="BO251" s="348">
        <v>3546.98095703125</v>
      </c>
      <c r="BP251" s="348">
        <v>3620.79345703125</v>
      </c>
      <c r="BQ251" s="350">
        <v>3713.26293945313</v>
      </c>
    </row>
    <row r="252" spans="1:69" x14ac:dyDescent="0.25">
      <c r="A252" s="348" t="s">
        <v>1537</v>
      </c>
      <c r="B252" s="348" t="s">
        <v>1538</v>
      </c>
      <c r="C252" s="348" t="s">
        <v>1578</v>
      </c>
      <c r="D252" s="348" t="s">
        <v>1579</v>
      </c>
      <c r="AI252" s="348">
        <v>1080.0383098039811</v>
      </c>
      <c r="AJ252" s="348">
        <v>1103.228972788346</v>
      </c>
      <c r="AK252" s="348">
        <v>1102.7299214570101</v>
      </c>
      <c r="AL252" s="348">
        <v>1153.993690703182</v>
      </c>
      <c r="AM252" s="348">
        <v>1187.3678054173431</v>
      </c>
      <c r="AN252" s="348">
        <v>1288.508866743482</v>
      </c>
      <c r="AO252" s="348">
        <v>1367.9457376493569</v>
      </c>
      <c r="AP252" s="348">
        <v>1396.6310691521819</v>
      </c>
      <c r="AQ252" s="348">
        <v>1422.207891847052</v>
      </c>
      <c r="AR252" s="348">
        <v>1487.75796178874</v>
      </c>
      <c r="AS252" s="348">
        <v>1487.0049885351191</v>
      </c>
      <c r="AT252" s="348">
        <v>1516.964237556952</v>
      </c>
      <c r="AU252" s="348">
        <v>1598.5828380848991</v>
      </c>
      <c r="AV252" s="348">
        <v>1649.148260144797</v>
      </c>
      <c r="AW252" s="348">
        <v>1709.3615921685739</v>
      </c>
      <c r="AX252" s="348">
        <v>1765.0378845706571</v>
      </c>
      <c r="AY252" s="348">
        <v>1898.9791528047849</v>
      </c>
      <c r="AZ252" s="348">
        <v>1999.0624896434049</v>
      </c>
      <c r="BA252" s="348">
        <v>2110.1004927150311</v>
      </c>
      <c r="BB252" s="348">
        <v>2188.2991624632741</v>
      </c>
      <c r="BC252" s="348">
        <v>2244.6059519458372</v>
      </c>
      <c r="BD252" s="348">
        <v>2384.4653273154049</v>
      </c>
      <c r="BE252" s="348">
        <v>2405.0945593276738</v>
      </c>
      <c r="BF252" s="348">
        <v>2420.8880808726622</v>
      </c>
      <c r="BG252" s="348">
        <v>2470.503809095982</v>
      </c>
      <c r="BH252" s="348">
        <v>2520.020102884298</v>
      </c>
      <c r="BI252" s="348">
        <v>2554.227690620728</v>
      </c>
      <c r="BJ252" s="348">
        <v>2543.8475439495651</v>
      </c>
      <c r="BK252" s="348">
        <v>2613.8797641396309</v>
      </c>
      <c r="BL252" s="348">
        <v>2689.4100914491919</v>
      </c>
      <c r="BM252" s="348">
        <v>2678.0090720229268</v>
      </c>
      <c r="BN252" s="348">
        <v>2684.9203593974348</v>
      </c>
      <c r="BO252" s="348">
        <v>2724.9060956840858</v>
      </c>
      <c r="BP252" s="348">
        <v>2791.0557688586132</v>
      </c>
      <c r="BQ252" s="350">
        <v>2879.6700929037611</v>
      </c>
    </row>
    <row r="253" spans="1:69" x14ac:dyDescent="0.25">
      <c r="A253" s="348" t="s">
        <v>1539</v>
      </c>
      <c r="B253" s="348" t="s">
        <v>1540</v>
      </c>
      <c r="C253" s="348" t="s">
        <v>1578</v>
      </c>
      <c r="D253" s="348" t="s">
        <v>1579</v>
      </c>
      <c r="AI253" s="348">
        <v>22815.798828125</v>
      </c>
      <c r="AJ253" s="348">
        <v>20784.16015625</v>
      </c>
      <c r="AK253" s="348">
        <v>18671.873046875</v>
      </c>
      <c r="AL253" s="348">
        <v>16012.3720703125</v>
      </c>
      <c r="AM253" s="348">
        <v>12410.525390625</v>
      </c>
      <c r="AN253" s="348">
        <v>10983.0087890625</v>
      </c>
      <c r="AO253" s="348">
        <v>9969.5009765625</v>
      </c>
      <c r="AP253" s="348">
        <v>9754.0498046875</v>
      </c>
      <c r="AQ253" s="348">
        <v>9646.0546875</v>
      </c>
      <c r="AR253" s="348">
        <v>9704.4453125</v>
      </c>
      <c r="AS253" s="348">
        <v>10364.0625</v>
      </c>
      <c r="AT253" s="348">
        <v>11379.3857421875</v>
      </c>
      <c r="AU253" s="348">
        <v>12092.7890625</v>
      </c>
      <c r="AV253" s="348">
        <v>13342.8798828125</v>
      </c>
      <c r="AW253" s="348">
        <v>15021.06640625</v>
      </c>
      <c r="AX253" s="348">
        <v>15610.5732421875</v>
      </c>
      <c r="AY253" s="348">
        <v>16901.5078125</v>
      </c>
      <c r="AZ253" s="348">
        <v>18374.013671875</v>
      </c>
      <c r="BA253" s="348">
        <v>18883.986328125</v>
      </c>
      <c r="BB253" s="348">
        <v>16092.7958984375</v>
      </c>
      <c r="BC253" s="348">
        <v>16811.794921875</v>
      </c>
      <c r="BD253" s="348">
        <v>17783.95703125</v>
      </c>
      <c r="BE253" s="348">
        <v>17848.740234375</v>
      </c>
      <c r="BF253" s="348">
        <v>17889.091796875</v>
      </c>
      <c r="BG253" s="348">
        <v>16978.8125</v>
      </c>
      <c r="BH253" s="348">
        <v>15403.7099609375</v>
      </c>
      <c r="BI253" s="348">
        <v>15856.8125</v>
      </c>
      <c r="BJ253" s="348">
        <v>16310.3603515625</v>
      </c>
      <c r="BK253" s="348">
        <v>16978.984375</v>
      </c>
      <c r="BL253" s="348">
        <v>17636.5546875</v>
      </c>
      <c r="BM253" s="348">
        <v>17092.5390625</v>
      </c>
      <c r="BN253" s="348">
        <v>17846.408203125</v>
      </c>
      <c r="BO253" s="348">
        <v>13787.12109375</v>
      </c>
      <c r="BP253" s="348">
        <v>15916.9580078125</v>
      </c>
      <c r="BQ253" s="350">
        <v>16319.8447265625</v>
      </c>
    </row>
    <row r="254" spans="1:69" x14ac:dyDescent="0.25">
      <c r="A254" s="348" t="s">
        <v>1541</v>
      </c>
      <c r="B254" s="348" t="s">
        <v>1542</v>
      </c>
      <c r="C254" s="348" t="s">
        <v>1578</v>
      </c>
      <c r="D254" s="348" t="s">
        <v>1579</v>
      </c>
      <c r="AI254" s="348">
        <v>5959.9970668704582</v>
      </c>
      <c r="AJ254" s="348">
        <v>5984.3267576516546</v>
      </c>
      <c r="AK254" s="348">
        <v>6093.5810026808786</v>
      </c>
      <c r="AL254" s="348">
        <v>6281.1334065798419</v>
      </c>
      <c r="AM254" s="348">
        <v>6434.9787868853309</v>
      </c>
      <c r="AN254" s="348">
        <v>6596.9785996339906</v>
      </c>
      <c r="AO254" s="348">
        <v>6887.3223218948151</v>
      </c>
      <c r="AP254" s="348">
        <v>7184.3249972897511</v>
      </c>
      <c r="AQ254" s="348">
        <v>7250.5654150964474</v>
      </c>
      <c r="AR254" s="348">
        <v>7382.556097753567</v>
      </c>
      <c r="AS254" s="348">
        <v>7738.5391207230923</v>
      </c>
      <c r="AT254" s="348">
        <v>7918.8364765289771</v>
      </c>
      <c r="AU254" s="348">
        <v>8217.2505161394056</v>
      </c>
      <c r="AV254" s="348">
        <v>8605.5612500071056</v>
      </c>
      <c r="AW254" s="348">
        <v>9197.6925659758726</v>
      </c>
      <c r="AX254" s="348">
        <v>9763.2497884883105</v>
      </c>
      <c r="AY254" s="348">
        <v>10470.854475981871</v>
      </c>
      <c r="AZ254" s="348">
        <v>11315.48483984142</v>
      </c>
      <c r="BA254" s="348">
        <v>11880.05614078209</v>
      </c>
      <c r="BB254" s="348">
        <v>12087.70758007447</v>
      </c>
      <c r="BC254" s="348">
        <v>12967.50964949127</v>
      </c>
      <c r="BD254" s="348">
        <v>13710.94144338837</v>
      </c>
      <c r="BE254" s="348">
        <v>14318.651296536549</v>
      </c>
      <c r="BF254" s="348">
        <v>14943.77408552666</v>
      </c>
      <c r="BG254" s="348">
        <v>15484.943730245441</v>
      </c>
      <c r="BH254" s="348">
        <v>15974.420845102421</v>
      </c>
      <c r="BI254" s="348">
        <v>16542.850854101911</v>
      </c>
      <c r="BJ254" s="348">
        <v>17244.503683203591</v>
      </c>
      <c r="BK254" s="348">
        <v>17907.458384178561</v>
      </c>
      <c r="BL254" s="348">
        <v>18493.597384262692</v>
      </c>
      <c r="BM254" s="348">
        <v>18242.542165783459</v>
      </c>
      <c r="BN254" s="348">
        <v>19507.211676921841</v>
      </c>
      <c r="BO254" s="348">
        <v>20094.837994807171</v>
      </c>
      <c r="BP254" s="348">
        <v>20950.183342858221</v>
      </c>
      <c r="BQ254" s="350">
        <v>21737.63645657272</v>
      </c>
    </row>
    <row r="255" spans="1:69" x14ac:dyDescent="0.25">
      <c r="A255" s="348" t="s">
        <v>1543</v>
      </c>
      <c r="B255" s="348" t="s">
        <v>1544</v>
      </c>
      <c r="C255" s="348" t="s">
        <v>1578</v>
      </c>
      <c r="D255" s="348" t="s">
        <v>1579</v>
      </c>
      <c r="AI255" s="348">
        <v>14060.845476221781</v>
      </c>
      <c r="AJ255" s="348">
        <v>14474.73271061758</v>
      </c>
      <c r="AK255" s="348">
        <v>15536.487209279579</v>
      </c>
      <c r="AL255" s="348">
        <v>15865.2775154336</v>
      </c>
      <c r="AM255" s="348">
        <v>16932.028455054551</v>
      </c>
      <c r="AN255" s="348">
        <v>16600.03918859284</v>
      </c>
      <c r="AO255" s="348">
        <v>17433.69328516279</v>
      </c>
      <c r="AP255" s="348">
        <v>18823.941917064531</v>
      </c>
      <c r="AQ255" s="348">
        <v>19577.789966469449</v>
      </c>
      <c r="AR255" s="348">
        <v>19192.717568508251</v>
      </c>
      <c r="AS255" s="348">
        <v>18752.057811296581</v>
      </c>
      <c r="AT255" s="348">
        <v>17986.900759643271</v>
      </c>
      <c r="AU255" s="348">
        <v>16572.78817601335</v>
      </c>
      <c r="AV255" s="348">
        <v>16694.438923159469</v>
      </c>
      <c r="AW255" s="348">
        <v>17519.37962511327</v>
      </c>
      <c r="AX255" s="348">
        <v>18811.319597102069</v>
      </c>
      <c r="AY255" s="348">
        <v>19560.081755640531</v>
      </c>
      <c r="AZ255" s="348">
        <v>20803.893182055999</v>
      </c>
      <c r="BA255" s="348">
        <v>22249.383516553258</v>
      </c>
      <c r="BB255" s="348">
        <v>23138.082068701438</v>
      </c>
      <c r="BC255" s="348">
        <v>24879.835019261809</v>
      </c>
      <c r="BD255" s="348">
        <v>26099.32152938026</v>
      </c>
      <c r="BE255" s="348">
        <v>26953.28110653839</v>
      </c>
      <c r="BF255" s="348">
        <v>28119.483334140361</v>
      </c>
      <c r="BG255" s="348">
        <v>28935.0974409271</v>
      </c>
      <c r="BH255" s="348">
        <v>28941.629410701109</v>
      </c>
      <c r="BI255" s="348">
        <v>29332.56726152464</v>
      </c>
      <c r="BJ255" s="348">
        <v>29762.433317168521</v>
      </c>
      <c r="BK255" s="348">
        <v>29757.93885437827</v>
      </c>
      <c r="BL255" s="348">
        <v>30010.574261579721</v>
      </c>
      <c r="BM255" s="348">
        <v>27788.185496815309</v>
      </c>
      <c r="BN255" s="348">
        <v>29431.885008747071</v>
      </c>
      <c r="BO255" s="348">
        <v>30804.703277579691</v>
      </c>
      <c r="BP255" s="348">
        <v>31059.253707245942</v>
      </c>
      <c r="BQ255" s="350">
        <v>32038.772728822729</v>
      </c>
    </row>
    <row r="256" spans="1:69" x14ac:dyDescent="0.25">
      <c r="A256" s="348" t="s">
        <v>1545</v>
      </c>
      <c r="B256" s="348" t="s">
        <v>1546</v>
      </c>
      <c r="C256" s="348" t="s">
        <v>1578</v>
      </c>
      <c r="D256" s="348" t="s">
        <v>1579</v>
      </c>
      <c r="AI256" s="348">
        <v>44378.524027557462</v>
      </c>
      <c r="AJ256" s="348">
        <v>43742.026121354887</v>
      </c>
      <c r="AK256" s="348">
        <v>44659.151461799389</v>
      </c>
      <c r="AL256" s="348">
        <v>45286.935509034192</v>
      </c>
      <c r="AM256" s="348">
        <v>46537.357147742368</v>
      </c>
      <c r="AN256" s="348">
        <v>47220.957960435779</v>
      </c>
      <c r="AO256" s="348">
        <v>48435.700104160009</v>
      </c>
      <c r="AP256" s="348">
        <v>49984.269649741931</v>
      </c>
      <c r="AQ256" s="348">
        <v>51619.869837521612</v>
      </c>
      <c r="AR256" s="348">
        <v>53474.045430103994</v>
      </c>
      <c r="AS256" s="348">
        <v>55038.622495945106</v>
      </c>
      <c r="AT256" s="348">
        <v>55017.304978660839</v>
      </c>
      <c r="AU256" s="348">
        <v>55436.116981377752</v>
      </c>
      <c r="AV256" s="348">
        <v>56498.207831491112</v>
      </c>
      <c r="AW256" s="348">
        <v>58131.63368534956</v>
      </c>
      <c r="AX256" s="348">
        <v>59604.753637457667</v>
      </c>
      <c r="AY256" s="348">
        <v>60676.565569066363</v>
      </c>
      <c r="AZ256" s="348">
        <v>61306.596938633033</v>
      </c>
      <c r="BA256" s="348">
        <v>60798.433840160556</v>
      </c>
      <c r="BB256" s="348">
        <v>58714.973691586121</v>
      </c>
      <c r="BC256" s="348">
        <v>59789.412906974881</v>
      </c>
      <c r="BD256" s="348">
        <v>60245.484399456509</v>
      </c>
      <c r="BE256" s="348">
        <v>61134.530608776033</v>
      </c>
      <c r="BF256" s="348">
        <v>61958.723441695292</v>
      </c>
      <c r="BG256" s="348">
        <v>63018.803394219191</v>
      </c>
      <c r="BH256" s="348">
        <v>64359.472589946621</v>
      </c>
      <c r="BI256" s="348">
        <v>65017.65496386696</v>
      </c>
      <c r="BJ256" s="348">
        <v>66155.555567624921</v>
      </c>
      <c r="BK256" s="348">
        <v>67719.765639206395</v>
      </c>
      <c r="BL256" s="348">
        <v>69112.602688656028</v>
      </c>
      <c r="BM256" s="348">
        <v>67342.070928772169</v>
      </c>
      <c r="BN256" s="348">
        <v>71307.401727721808</v>
      </c>
      <c r="BO256" s="348">
        <v>72679.25753963484</v>
      </c>
      <c r="BP256" s="348">
        <v>74158.716415560528</v>
      </c>
      <c r="BQ256" s="350">
        <v>75489.266433481665</v>
      </c>
    </row>
    <row r="257" spans="1:69" x14ac:dyDescent="0.25">
      <c r="A257" s="348" t="s">
        <v>1547</v>
      </c>
      <c r="B257" s="348" t="s">
        <v>1548</v>
      </c>
      <c r="C257" s="348" t="s">
        <v>1578</v>
      </c>
      <c r="D257" s="348" t="s">
        <v>1579</v>
      </c>
      <c r="AI257" s="348">
        <v>4214.5839974719574</v>
      </c>
      <c r="AJ257" s="348">
        <v>4094.2273655645608</v>
      </c>
      <c r="AK257" s="348">
        <v>3547.3114038795029</v>
      </c>
      <c r="AL257" s="348">
        <v>3386.4620769559151</v>
      </c>
      <c r="AM257" s="348">
        <v>3142.4328796299392</v>
      </c>
      <c r="AN257" s="348">
        <v>3052.4188107759601</v>
      </c>
      <c r="AO257" s="348">
        <v>3046.5637634475288</v>
      </c>
      <c r="AP257" s="348">
        <v>3150.0853013379001</v>
      </c>
      <c r="AQ257" s="348">
        <v>3234.3575135740739</v>
      </c>
      <c r="AR257" s="348">
        <v>3326.4252682467031</v>
      </c>
      <c r="AS257" s="348">
        <v>3410.6504499189768</v>
      </c>
      <c r="AT257" s="348">
        <v>3509.728637616935</v>
      </c>
      <c r="AU257" s="348">
        <v>3604.6934620251409</v>
      </c>
      <c r="AV257" s="348">
        <v>3711.7785305442249</v>
      </c>
      <c r="AW257" s="348">
        <v>3939.530398148765</v>
      </c>
      <c r="AX257" s="348">
        <v>4160.9551297070338</v>
      </c>
      <c r="AY257" s="348">
        <v>4413.7228122726583</v>
      </c>
      <c r="AZ257" s="348">
        <v>4764.5639142752934</v>
      </c>
      <c r="BA257" s="348">
        <v>5115.6439146559396</v>
      </c>
      <c r="BB257" s="348">
        <v>5439.5506812384674</v>
      </c>
      <c r="BC257" s="348">
        <v>5760.8051195779117</v>
      </c>
      <c r="BD257" s="348">
        <v>6100.2510099828423</v>
      </c>
      <c r="BE257" s="348">
        <v>6435.564672264285</v>
      </c>
      <c r="BF257" s="348">
        <v>6797.7749478449377</v>
      </c>
      <c r="BG257" s="348">
        <v>7145.1098066415116</v>
      </c>
      <c r="BH257" s="348">
        <v>7529.7636427417883</v>
      </c>
      <c r="BI257" s="348">
        <v>7839.9782010023637</v>
      </c>
      <c r="BJ257" s="348">
        <v>8047.053754694658</v>
      </c>
      <c r="BK257" s="348">
        <v>8348.9605787312739</v>
      </c>
      <c r="BL257" s="348">
        <v>8755.1259398494894</v>
      </c>
      <c r="BM257" s="348">
        <v>8727.411049392229</v>
      </c>
      <c r="BN257" s="348">
        <v>9247.6438270392937</v>
      </c>
      <c r="BO257" s="348">
        <v>9607.5616727344932</v>
      </c>
      <c r="BP257" s="348">
        <v>10007.68550261802</v>
      </c>
      <c r="BQ257" s="350">
        <v>10450.20514028519</v>
      </c>
    </row>
    <row r="258" spans="1:69" x14ac:dyDescent="0.25">
      <c r="A258" s="348" t="s">
        <v>1549</v>
      </c>
      <c r="B258" s="348" t="s">
        <v>1550</v>
      </c>
      <c r="C258" s="348" t="s">
        <v>1578</v>
      </c>
      <c r="D258" s="348" t="s">
        <v>1579</v>
      </c>
      <c r="AI258" s="348">
        <v>7467.3787465723854</v>
      </c>
      <c r="AJ258" s="348">
        <v>7524.5847781596312</v>
      </c>
      <c r="AK258" s="348">
        <v>7984.0795966208789</v>
      </c>
      <c r="AL258" s="348">
        <v>8306.7752713918817</v>
      </c>
      <c r="AM258" s="348">
        <v>8189.8436271109822</v>
      </c>
      <c r="AN258" s="348">
        <v>8815.8487182574827</v>
      </c>
      <c r="AO258" s="348">
        <v>8923.7055551429603</v>
      </c>
      <c r="AP258" s="348">
        <v>9234.6988836876444</v>
      </c>
      <c r="AQ258" s="348">
        <v>9609.1037862050198</v>
      </c>
      <c r="AR258" s="348">
        <v>9853.3473655196158</v>
      </c>
      <c r="AS258" s="348">
        <v>9999.0587920368471</v>
      </c>
      <c r="AT258" s="348">
        <v>10177.80945838958</v>
      </c>
      <c r="AU258" s="348">
        <v>10736.087871416399</v>
      </c>
      <c r="AV258" s="348">
        <v>11475.331241453059</v>
      </c>
      <c r="AW258" s="348">
        <v>11979.907294500979</v>
      </c>
      <c r="AX258" s="348">
        <v>12320.07100110767</v>
      </c>
      <c r="AY258" s="348">
        <v>13233.406893043129</v>
      </c>
      <c r="AZ258" s="348">
        <v>13732.36225914954</v>
      </c>
      <c r="BA258" s="348">
        <v>13850.393679006251</v>
      </c>
      <c r="BB258" s="348">
        <v>13723.78382526216</v>
      </c>
      <c r="BC258" s="348">
        <v>13175.723015422829</v>
      </c>
      <c r="BD258" s="348">
        <v>13168.89642917426</v>
      </c>
      <c r="BE258" s="348">
        <v>13397.96329827005</v>
      </c>
      <c r="BF258" s="348">
        <v>13804.183795188659</v>
      </c>
      <c r="BG258" s="348">
        <v>14040.246069045221</v>
      </c>
      <c r="BH258" s="348">
        <v>14508.86094654587</v>
      </c>
      <c r="BI258" s="348">
        <v>15197.74825133517</v>
      </c>
      <c r="BJ258" s="348">
        <v>15533.221282154391</v>
      </c>
      <c r="BK258" s="348">
        <v>16139.066108496459</v>
      </c>
      <c r="BL258" s="348">
        <v>16365.325578512409</v>
      </c>
      <c r="BM258" s="348">
        <v>15763.705438253881</v>
      </c>
      <c r="BN258" s="348">
        <v>16200.899459784519</v>
      </c>
      <c r="BO258" s="348">
        <v>16835.02351454095</v>
      </c>
      <c r="BP258" s="348">
        <v>17858.244646870229</v>
      </c>
      <c r="BQ258" s="350">
        <v>18714.198849352972</v>
      </c>
    </row>
    <row r="259" spans="1:69" x14ac:dyDescent="0.25">
      <c r="A259" s="348" t="s">
        <v>1551</v>
      </c>
      <c r="B259" s="348" t="s">
        <v>1552</v>
      </c>
      <c r="C259" s="348" t="s">
        <v>1578</v>
      </c>
      <c r="D259" s="348" t="s">
        <v>1579</v>
      </c>
    </row>
    <row r="260" spans="1:69" x14ac:dyDescent="0.25">
      <c r="A260" s="348" t="s">
        <v>1553</v>
      </c>
      <c r="B260" s="348" t="s">
        <v>1554</v>
      </c>
      <c r="C260" s="348" t="s">
        <v>1578</v>
      </c>
      <c r="D260" s="348" t="s">
        <v>1579</v>
      </c>
    </row>
    <row r="261" spans="1:69" x14ac:dyDescent="0.25">
      <c r="A261" s="348" t="s">
        <v>1555</v>
      </c>
      <c r="B261" s="348" t="s">
        <v>1556</v>
      </c>
      <c r="C261" s="348" t="s">
        <v>1578</v>
      </c>
      <c r="D261" s="348" t="s">
        <v>1579</v>
      </c>
      <c r="AU261" s="348">
        <v>54299.229869939372</v>
      </c>
      <c r="AV261" s="348">
        <v>54086.154794567257</v>
      </c>
      <c r="AW261" s="348">
        <v>55883.454551086368</v>
      </c>
      <c r="AX261" s="348">
        <v>57838.097714282339</v>
      </c>
      <c r="AY261" s="348">
        <v>59911.722445316183</v>
      </c>
      <c r="AZ261" s="348">
        <v>62332.944537134746</v>
      </c>
      <c r="BA261" s="348">
        <v>63057.626312363813</v>
      </c>
      <c r="BB261" s="348">
        <v>58895.305689949608</v>
      </c>
      <c r="BC261" s="348">
        <v>59272.24568563432</v>
      </c>
      <c r="BD261" s="348">
        <v>54443.068694249807</v>
      </c>
      <c r="BE261" s="348">
        <v>46422.415123622341</v>
      </c>
      <c r="BF261" s="348">
        <v>43563.886493140722</v>
      </c>
      <c r="BG261" s="348">
        <v>42853.898659918523</v>
      </c>
      <c r="BH261" s="348">
        <v>42739.083502299291</v>
      </c>
      <c r="BI261" s="348">
        <v>43502.43369415636</v>
      </c>
      <c r="BJ261" s="348">
        <v>43277.154652352197</v>
      </c>
      <c r="BK261" s="348">
        <v>44205.407132439388</v>
      </c>
      <c r="BL261" s="348">
        <v>45632.636471569247</v>
      </c>
      <c r="BM261" s="348">
        <v>45055.782930352332</v>
      </c>
      <c r="BN261" s="348">
        <v>46893.549698874143</v>
      </c>
      <c r="BO261" s="348">
        <v>46479.299668532643</v>
      </c>
    </row>
    <row r="262" spans="1:69" x14ac:dyDescent="0.25">
      <c r="A262" s="348" t="s">
        <v>1557</v>
      </c>
      <c r="B262" s="348" t="s">
        <v>1558</v>
      </c>
      <c r="C262" s="348" t="s">
        <v>1578</v>
      </c>
      <c r="D262" s="348" t="s">
        <v>1579</v>
      </c>
      <c r="AI262" s="348">
        <v>2467.9646008046329</v>
      </c>
      <c r="AJ262" s="348">
        <v>2560.8438349616422</v>
      </c>
      <c r="AK262" s="348">
        <v>2726.4737374848719</v>
      </c>
      <c r="AL262" s="348">
        <v>2890.4243173776131</v>
      </c>
      <c r="AM262" s="348">
        <v>3089.6093372563059</v>
      </c>
      <c r="AN262" s="348">
        <v>3328.214860395577</v>
      </c>
      <c r="AO262" s="348">
        <v>3584.028983351468</v>
      </c>
      <c r="AP262" s="348">
        <v>3820.3024948543389</v>
      </c>
      <c r="AQ262" s="348">
        <v>3982.9580596560331</v>
      </c>
      <c r="AR262" s="348">
        <v>4119.0536720823093</v>
      </c>
      <c r="AS262" s="348">
        <v>4349.2234875146223</v>
      </c>
      <c r="AT262" s="348">
        <v>4570.2684657738519</v>
      </c>
      <c r="AU262" s="348">
        <v>4809.6215111853498</v>
      </c>
      <c r="AV262" s="348">
        <v>5090.2899086988446</v>
      </c>
      <c r="AW262" s="348">
        <v>5421.0970282912149</v>
      </c>
      <c r="AX262" s="348">
        <v>5776.3630445126792</v>
      </c>
      <c r="AY262" s="348">
        <v>6098.2449543651401</v>
      </c>
      <c r="AZ262" s="348">
        <v>6418.5438140287797</v>
      </c>
      <c r="BA262" s="348">
        <v>6659.1356143206549</v>
      </c>
      <c r="BB262" s="348">
        <v>6914.3386358954549</v>
      </c>
      <c r="BC262" s="348">
        <v>7274.7331069801576</v>
      </c>
      <c r="BD262" s="348">
        <v>7652.6189567227102</v>
      </c>
      <c r="BE262" s="348">
        <v>7979.8682892685847</v>
      </c>
      <c r="BF262" s="348">
        <v>8324.1987125004689</v>
      </c>
      <c r="BG262" s="348">
        <v>8751.8828063437486</v>
      </c>
      <c r="BH262" s="348">
        <v>9248.0239606962223</v>
      </c>
      <c r="BI262" s="348">
        <v>9743.1882231455038</v>
      </c>
      <c r="BJ262" s="348">
        <v>10290.54871422442</v>
      </c>
      <c r="BK262" s="348">
        <v>10936.89378595577</v>
      </c>
      <c r="BL262" s="348">
        <v>11628.613914745059</v>
      </c>
      <c r="BM262" s="348">
        <v>11851.3965685649</v>
      </c>
      <c r="BN262" s="348">
        <v>12048.9019935536</v>
      </c>
      <c r="BO262" s="348">
        <v>12979.763904993421</v>
      </c>
      <c r="BP262" s="348">
        <v>13545.93466167519</v>
      </c>
      <c r="BQ262" s="350">
        <v>14415.215953281289</v>
      </c>
    </row>
    <row r="263" spans="1:69" x14ac:dyDescent="0.25">
      <c r="A263" s="348" t="s">
        <v>1559</v>
      </c>
      <c r="B263" s="348" t="s">
        <v>1560</v>
      </c>
      <c r="C263" s="348" t="s">
        <v>1578</v>
      </c>
      <c r="D263" s="348" t="s">
        <v>1579</v>
      </c>
      <c r="AI263" s="348">
        <v>3101.6805510109839</v>
      </c>
      <c r="AJ263" s="348">
        <v>3120.6937888937891</v>
      </c>
      <c r="AK263" s="348">
        <v>3122.889333977661</v>
      </c>
      <c r="AL263" s="348">
        <v>3069.805834216761</v>
      </c>
      <c r="AM263" s="348">
        <v>3269.6283308298389</v>
      </c>
      <c r="AN263" s="348">
        <v>3226.915091280277</v>
      </c>
      <c r="AO263" s="348">
        <v>3229.10220217595</v>
      </c>
      <c r="AP263" s="348">
        <v>3315.4813724077608</v>
      </c>
      <c r="AQ263" s="348">
        <v>3285.138352268008</v>
      </c>
      <c r="AR263" s="348">
        <v>3228.5918051304302</v>
      </c>
      <c r="AS263" s="348">
        <v>3342.1672661155822</v>
      </c>
      <c r="AT263" s="348">
        <v>3148.3346401084191</v>
      </c>
      <c r="AU263" s="348">
        <v>2911.0413470179328</v>
      </c>
      <c r="AV263" s="348">
        <v>2962.031072921322</v>
      </c>
      <c r="AW263" s="348">
        <v>3005.797263897879</v>
      </c>
      <c r="AX263" s="348">
        <v>3089.4370403576481</v>
      </c>
      <c r="AY263" s="348">
        <v>3270.7023752762161</v>
      </c>
      <c r="AZ263" s="348">
        <v>3283.3655331949881</v>
      </c>
      <c r="BA263" s="348">
        <v>3381.3856442608758</v>
      </c>
      <c r="BB263" s="348">
        <v>3396.7359945814142</v>
      </c>
      <c r="BC263" s="348">
        <v>3359.8495447643222</v>
      </c>
      <c r="BD263" s="348">
        <v>3390.9610391260221</v>
      </c>
      <c r="BE263" s="348">
        <v>3350.7708895897381</v>
      </c>
      <c r="BF263" s="348">
        <v>3292.234245525492</v>
      </c>
      <c r="BG263" s="348">
        <v>3302.2917794868681</v>
      </c>
      <c r="BH263" s="348">
        <v>3357.638885340144</v>
      </c>
      <c r="BI263" s="348">
        <v>3397.7673044648318</v>
      </c>
      <c r="BJ263" s="348">
        <v>3465.9196856110079</v>
      </c>
      <c r="BK263" s="348">
        <v>3482.0227252590539</v>
      </c>
      <c r="BL263" s="348">
        <v>3512.07197251664</v>
      </c>
      <c r="BM263" s="348">
        <v>3259.9954375319812</v>
      </c>
      <c r="BN263" s="348">
        <v>3135.836649456779</v>
      </c>
      <c r="BO263" s="348">
        <v>3222.8359545934591</v>
      </c>
      <c r="BP263" s="348">
        <v>3214.7024401212052</v>
      </c>
      <c r="BQ263" s="350">
        <v>3172.0477275139069</v>
      </c>
    </row>
    <row r="264" spans="1:69" x14ac:dyDescent="0.25">
      <c r="A264" s="348" t="s">
        <v>1561</v>
      </c>
      <c r="B264" s="348" t="s">
        <v>1562</v>
      </c>
      <c r="C264" s="348" t="s">
        <v>1578</v>
      </c>
      <c r="D264" s="348" t="s">
        <v>1579</v>
      </c>
      <c r="AI264" s="348">
        <v>11257.43626305422</v>
      </c>
      <c r="AJ264" s="348">
        <v>11166.5096464532</v>
      </c>
      <c r="AK264" s="348">
        <v>11132.37951880129</v>
      </c>
      <c r="AL264" s="348">
        <v>11125.655948461341</v>
      </c>
      <c r="AM264" s="348">
        <v>11251.21600151599</v>
      </c>
      <c r="AN264" s="348">
        <v>11429.359024753259</v>
      </c>
      <c r="AO264" s="348">
        <v>11679.153608780651</v>
      </c>
      <c r="AP264" s="348">
        <v>11964.177719327859</v>
      </c>
      <c r="AQ264" s="348">
        <v>12088.101662261561</v>
      </c>
      <c r="AR264" s="348">
        <v>12351.548049120391</v>
      </c>
      <c r="AS264" s="348">
        <v>12769.83149176615</v>
      </c>
      <c r="AT264" s="348">
        <v>12904.86192829496</v>
      </c>
      <c r="AU264" s="348">
        <v>13093.06512085816</v>
      </c>
      <c r="AV264" s="348">
        <v>13402.991953645809</v>
      </c>
      <c r="AW264" s="348">
        <v>13914.81114229048</v>
      </c>
      <c r="AX264" s="348">
        <v>14370.885028756211</v>
      </c>
      <c r="AY264" s="348">
        <v>14927.548526144859</v>
      </c>
      <c r="AZ264" s="348">
        <v>15510.86576686097</v>
      </c>
      <c r="BA264" s="348">
        <v>15747.72951097517</v>
      </c>
      <c r="BB264" s="348">
        <v>15452.501218625681</v>
      </c>
      <c r="BC264" s="348">
        <v>16047.98973912013</v>
      </c>
      <c r="BD264" s="348">
        <v>16479.488794650872</v>
      </c>
      <c r="BE264" s="348">
        <v>16784.949179715099</v>
      </c>
      <c r="BF264" s="348">
        <v>17122.045527201219</v>
      </c>
      <c r="BG264" s="348">
        <v>17500.17482812225</v>
      </c>
      <c r="BH264" s="348">
        <v>17868.090856870789</v>
      </c>
      <c r="BI264" s="348">
        <v>18232.72691570795</v>
      </c>
      <c r="BJ264" s="348">
        <v>18714.93894312589</v>
      </c>
      <c r="BK264" s="348">
        <v>19189.020223224859</v>
      </c>
      <c r="BL264" s="348">
        <v>19552.083514829628</v>
      </c>
      <c r="BM264" s="348">
        <v>18811.493553031509</v>
      </c>
      <c r="BN264" s="348">
        <v>19866.767918404639</v>
      </c>
      <c r="BO264" s="348">
        <v>20409.442097193969</v>
      </c>
      <c r="BP264" s="348">
        <v>20918.304708117041</v>
      </c>
      <c r="BQ264" s="350">
        <v>21405.118104266388</v>
      </c>
    </row>
    <row r="265" spans="1:69" x14ac:dyDescent="0.25">
      <c r="A265" s="348" t="s">
        <v>1563</v>
      </c>
      <c r="B265" s="348" t="s">
        <v>1564</v>
      </c>
      <c r="C265" s="348" t="s">
        <v>1578</v>
      </c>
      <c r="D265" s="348" t="s">
        <v>1579</v>
      </c>
      <c r="AI265" s="348">
        <v>3990.926713022493</v>
      </c>
      <c r="AJ265" s="348">
        <v>3891.629838521993</v>
      </c>
      <c r="AK265" s="348">
        <v>3861.8889814238778</v>
      </c>
      <c r="AL265" s="348">
        <v>3986.453880421649</v>
      </c>
      <c r="AM265" s="348">
        <v>3854.039406197724</v>
      </c>
      <c r="AN265" s="348">
        <v>4077.99085675777</v>
      </c>
      <c r="AO265" s="348">
        <v>4333.5128721101737</v>
      </c>
      <c r="AP265" s="348">
        <v>4325.1382222132906</v>
      </c>
      <c r="AQ265" s="348">
        <v>4386.5191596141194</v>
      </c>
      <c r="AR265" s="348">
        <v>4448.319779127949</v>
      </c>
      <c r="AS265" s="348">
        <v>4638.5944650259662</v>
      </c>
      <c r="AT265" s="348">
        <v>4941.115225408902</v>
      </c>
      <c r="AU265" s="348">
        <v>5183.4545624422599</v>
      </c>
      <c r="AV265" s="348">
        <v>5425.443835579842</v>
      </c>
      <c r="AW265" s="348">
        <v>5568.3473462223801</v>
      </c>
      <c r="AX265" s="348">
        <v>5914.8897060430036</v>
      </c>
      <c r="AY265" s="348">
        <v>6017.4770426427276</v>
      </c>
      <c r="AZ265" s="348">
        <v>6013.2762882765874</v>
      </c>
      <c r="BA265" s="348">
        <v>6182.7632785477344</v>
      </c>
      <c r="BB265" s="348">
        <v>6104.1275149136382</v>
      </c>
      <c r="BC265" s="348">
        <v>6427.3115622769856</v>
      </c>
      <c r="BD265" s="348">
        <v>6616.7710962494984</v>
      </c>
      <c r="BE265" s="348">
        <v>6311.9607023507288</v>
      </c>
      <c r="BF265" s="348">
        <v>6262.3237201791244</v>
      </c>
      <c r="BG265" s="348">
        <v>6247.9048090472406</v>
      </c>
      <c r="BH265" s="348">
        <v>6432.3597916852596</v>
      </c>
      <c r="BI265" s="348">
        <v>6887.3052354528581</v>
      </c>
      <c r="BJ265" s="348">
        <v>6919.0157285850073</v>
      </c>
      <c r="BK265" s="348">
        <v>6805.0451717529004</v>
      </c>
      <c r="BL265" s="348">
        <v>7033.5211338454692</v>
      </c>
      <c r="BM265" s="348">
        <v>6745.2924135043804</v>
      </c>
      <c r="BN265" s="348">
        <v>6350.1142835325281</v>
      </c>
      <c r="BO265" s="348">
        <v>6449.3650526374413</v>
      </c>
      <c r="BP265" s="348">
        <v>7383.7457030018177</v>
      </c>
      <c r="BQ265" s="350">
        <v>7686.2494257186863</v>
      </c>
    </row>
    <row r="266" spans="1:69" x14ac:dyDescent="0.25">
      <c r="A266" s="348" t="s">
        <v>1565</v>
      </c>
      <c r="B266" s="348" t="s">
        <v>1566</v>
      </c>
      <c r="C266" s="348" t="s">
        <v>1578</v>
      </c>
      <c r="D266" s="348" t="s">
        <v>1579</v>
      </c>
      <c r="BA266" s="348">
        <v>7098.4030190904195</v>
      </c>
      <c r="BB266" s="348">
        <v>7481.4588983278454</v>
      </c>
      <c r="BC266" s="348">
        <v>7877.10199850556</v>
      </c>
      <c r="BD266" s="348">
        <v>8359.9362147933571</v>
      </c>
      <c r="BE266" s="348">
        <v>8431.6623269465654</v>
      </c>
      <c r="BF266" s="348">
        <v>8828.2768325163815</v>
      </c>
      <c r="BG266" s="348">
        <v>9150.7499729388255</v>
      </c>
      <c r="BH266" s="348">
        <v>9824.9910595531856</v>
      </c>
      <c r="BI266" s="348">
        <v>10434.88882592679</v>
      </c>
      <c r="BJ266" s="348">
        <v>10856.290207423899</v>
      </c>
      <c r="BK266" s="348">
        <v>11188.22446279663</v>
      </c>
      <c r="BL266" s="348">
        <v>11774.117851090839</v>
      </c>
      <c r="BM266" s="348">
        <v>11137.502856040401</v>
      </c>
      <c r="BN266" s="348">
        <v>12362.421018121309</v>
      </c>
      <c r="BO266" s="348">
        <v>13022.4627441502</v>
      </c>
      <c r="BP266" s="348">
        <v>14240.203032036459</v>
      </c>
      <c r="BQ266" s="350">
        <v>15716.292556458629</v>
      </c>
    </row>
    <row r="267" spans="1:69" x14ac:dyDescent="0.25">
      <c r="A267" s="348" t="s">
        <v>1567</v>
      </c>
      <c r="B267" s="348" t="s">
        <v>1568</v>
      </c>
      <c r="C267" s="348" t="s">
        <v>1578</v>
      </c>
      <c r="D267" s="348" t="s">
        <v>1579</v>
      </c>
    </row>
    <row r="268" spans="1:69" x14ac:dyDescent="0.25">
      <c r="A268" s="348" t="s">
        <v>1569</v>
      </c>
      <c r="B268" s="348" t="s">
        <v>1570</v>
      </c>
      <c r="C268" s="348" t="s">
        <v>1578</v>
      </c>
      <c r="D268" s="348" t="s">
        <v>1579</v>
      </c>
      <c r="AI268" s="348">
        <v>10811.15153282961</v>
      </c>
      <c r="AJ268" s="348">
        <v>10459.355981856401</v>
      </c>
      <c r="AK268" s="348">
        <v>10053.61012122922</v>
      </c>
      <c r="AL268" s="348">
        <v>9976.965064583741</v>
      </c>
      <c r="AM268" s="348">
        <v>10130.805823300399</v>
      </c>
      <c r="AN268" s="348">
        <v>10318.83859843533</v>
      </c>
      <c r="AO268" s="348">
        <v>10623.86035931512</v>
      </c>
      <c r="AP268" s="348">
        <v>10770.277962482811</v>
      </c>
      <c r="AQ268" s="348">
        <v>10693.68823266222</v>
      </c>
      <c r="AR268" s="348">
        <v>10831.65896179489</v>
      </c>
      <c r="AS268" s="348">
        <v>11183.825503143031</v>
      </c>
      <c r="AT268" s="348">
        <v>11387.49236678196</v>
      </c>
      <c r="AU268" s="348">
        <v>11697.565726168679</v>
      </c>
      <c r="AV268" s="348">
        <v>11923.12110136326</v>
      </c>
      <c r="AW268" s="348">
        <v>12341.21026558284</v>
      </c>
      <c r="AX268" s="348">
        <v>12861.563308911371</v>
      </c>
      <c r="AY268" s="348">
        <v>13444.233212605761</v>
      </c>
      <c r="AZ268" s="348">
        <v>14016.2444716386</v>
      </c>
      <c r="BA268" s="348">
        <v>14297.68878026325</v>
      </c>
      <c r="BB268" s="348">
        <v>13910.701709339381</v>
      </c>
      <c r="BC268" s="348">
        <v>14164.995836311549</v>
      </c>
      <c r="BD268" s="348">
        <v>14434.261145604811</v>
      </c>
      <c r="BE268" s="348">
        <v>14563.76240410324</v>
      </c>
      <c r="BF268" s="348">
        <v>14681.09663895704</v>
      </c>
      <c r="BG268" s="348">
        <v>14643.33847829363</v>
      </c>
      <c r="BH268" s="348">
        <v>14541.67486136687</v>
      </c>
      <c r="BI268" s="348">
        <v>14501.2807823402</v>
      </c>
      <c r="BJ268" s="348">
        <v>14573.598084000419</v>
      </c>
      <c r="BK268" s="348">
        <v>14553.561566895731</v>
      </c>
      <c r="BL268" s="348">
        <v>14352.66987098708</v>
      </c>
      <c r="BM268" s="348">
        <v>13250.56665944564</v>
      </c>
      <c r="BN268" s="348">
        <v>13681.954814481311</v>
      </c>
      <c r="BO268" s="348">
        <v>13767.49675899361</v>
      </c>
      <c r="BP268" s="348">
        <v>13695.375569407601</v>
      </c>
      <c r="BQ268" s="350">
        <v>13597.653849599779</v>
      </c>
    </row>
    <row r="269" spans="1:69" x14ac:dyDescent="0.25">
      <c r="A269" s="348" t="s">
        <v>1571</v>
      </c>
      <c r="B269" s="348" t="s">
        <v>1572</v>
      </c>
      <c r="C269" s="348" t="s">
        <v>1578</v>
      </c>
      <c r="D269" s="348" t="s">
        <v>1579</v>
      </c>
      <c r="AI269" s="348">
        <v>2425.1112867838169</v>
      </c>
      <c r="AJ269" s="348">
        <v>2364.862340399563</v>
      </c>
      <c r="AK269" s="348">
        <v>2268.4981219537799</v>
      </c>
      <c r="AL269" s="348">
        <v>2365.6295363077838</v>
      </c>
      <c r="AM269" s="348">
        <v>2110.5832556480968</v>
      </c>
      <c r="AN269" s="348">
        <v>2119.9564292869732</v>
      </c>
      <c r="AO269" s="348">
        <v>2197.195649252415</v>
      </c>
      <c r="AP269" s="348">
        <v>2223.457454457307</v>
      </c>
      <c r="AQ269" s="348">
        <v>2157.5733933566721</v>
      </c>
      <c r="AR269" s="348">
        <v>2198.189129986476</v>
      </c>
      <c r="AS269" s="348">
        <v>2220.5653712714038</v>
      </c>
      <c r="AT269" s="348">
        <v>2268.969655645968</v>
      </c>
      <c r="AU269" s="348">
        <v>2299.332891881143</v>
      </c>
      <c r="AV269" s="348">
        <v>2383.876117410889</v>
      </c>
      <c r="AW269" s="348">
        <v>2471.720733286847</v>
      </c>
      <c r="AX269" s="348">
        <v>2564.4756096591168</v>
      </c>
      <c r="AY269" s="348">
        <v>2673.4615192852848</v>
      </c>
      <c r="AZ269" s="348">
        <v>2796.352933218403</v>
      </c>
      <c r="BA269" s="348">
        <v>2908.1436251066812</v>
      </c>
      <c r="BB269" s="348">
        <v>3065.8442010899748</v>
      </c>
      <c r="BC269" s="348">
        <v>3266.5074929382849</v>
      </c>
      <c r="BD269" s="348">
        <v>3335.6433950065698</v>
      </c>
      <c r="BE269" s="348">
        <v>3474.5525284409209</v>
      </c>
      <c r="BF269" s="348">
        <v>3535.2244904314398</v>
      </c>
      <c r="BG269" s="348">
        <v>3585.5774850713128</v>
      </c>
      <c r="BH269" s="348">
        <v>3576.9254483412501</v>
      </c>
      <c r="BI269" s="348">
        <v>3598.1716602338952</v>
      </c>
      <c r="BJ269" s="348">
        <v>3612.5059766459258</v>
      </c>
      <c r="BK269" s="348">
        <v>3646.9596648165461</v>
      </c>
      <c r="BL269" s="348">
        <v>3591.5641888310802</v>
      </c>
      <c r="BM269" s="348">
        <v>3391.595411560952</v>
      </c>
      <c r="BN269" s="348">
        <v>3503.034914183715</v>
      </c>
      <c r="BO269" s="348">
        <v>3585.123790843465</v>
      </c>
      <c r="BP269" s="348">
        <v>3673.4841969922009</v>
      </c>
      <c r="BQ269" s="350">
        <v>3708.0690429564679</v>
      </c>
    </row>
    <row r="270" spans="1:69" x14ac:dyDescent="0.25">
      <c r="A270" s="348" t="s">
        <v>1573</v>
      </c>
      <c r="B270" s="348" t="s">
        <v>1574</v>
      </c>
      <c r="C270" s="348" t="s">
        <v>1578</v>
      </c>
      <c r="D270" s="348" t="s">
        <v>1579</v>
      </c>
      <c r="AI270" s="348">
        <v>6082.8424509531851</v>
      </c>
      <c r="AJ270" s="348">
        <v>6254.2747351314802</v>
      </c>
      <c r="AK270" s="348">
        <v>5532.0374034506267</v>
      </c>
      <c r="AL270" s="348">
        <v>5509.0831125663017</v>
      </c>
      <c r="AM270" s="348">
        <v>6010.7424174615871</v>
      </c>
      <c r="AN270" s="348">
        <v>5964.5893804643038</v>
      </c>
      <c r="AO270" s="348">
        <v>6474.1601829652727</v>
      </c>
      <c r="AP270" s="348">
        <v>6524.0626578280544</v>
      </c>
      <c r="AQ270" s="348">
        <v>6582.3484193418262</v>
      </c>
      <c r="AR270" s="348">
        <v>6423.7088683319535</v>
      </c>
      <c r="AS270" s="348">
        <v>6170.3339083220162</v>
      </c>
      <c r="AT270" s="348">
        <v>6217.4117942519924</v>
      </c>
      <c r="AU270" s="348">
        <v>5610.1914686143673</v>
      </c>
      <c r="AV270" s="348">
        <v>4601.6607468251041</v>
      </c>
      <c r="AW270" s="348">
        <v>4287.5982919608323</v>
      </c>
      <c r="AX270" s="348">
        <v>4004.6644372094529</v>
      </c>
      <c r="AY270" s="348">
        <v>3819.2334285388979</v>
      </c>
      <c r="AZ270" s="348">
        <v>3631.5376156625571</v>
      </c>
      <c r="BA270" s="348">
        <v>2954.099323779265</v>
      </c>
      <c r="BB270" s="348">
        <v>3299.4137959487289</v>
      </c>
      <c r="BC270" s="348">
        <v>3885.3937845434298</v>
      </c>
      <c r="BD270" s="348">
        <v>4358.925826493095</v>
      </c>
      <c r="BE270" s="348">
        <v>5003.4870618674804</v>
      </c>
      <c r="BF270" s="348">
        <v>5031.6874440039064</v>
      </c>
      <c r="BG270" s="348">
        <v>5081.1124039922497</v>
      </c>
      <c r="BH270" s="348">
        <v>5102.7143234760706</v>
      </c>
      <c r="BI270" s="348">
        <v>5070.4021701605107</v>
      </c>
      <c r="BJ270" s="348">
        <v>5234.3838655748032</v>
      </c>
      <c r="BK270" s="348">
        <v>5415.4697637168947</v>
      </c>
      <c r="BL270" s="348">
        <v>4993.8438389475205</v>
      </c>
      <c r="BM270" s="348">
        <v>4527.7198808272378</v>
      </c>
      <c r="BN270" s="348">
        <v>4827.0886936085999</v>
      </c>
      <c r="BO270" s="348">
        <v>5036.7613610948874</v>
      </c>
      <c r="BP270" s="348">
        <v>5218.0226646212868</v>
      </c>
      <c r="BQ270" s="350">
        <v>5215.2530107574239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BQ270"/>
  <sheetViews>
    <sheetView topLeftCell="AQ1" zoomScale="85" zoomScaleNormal="85" workbookViewId="0">
      <selection activeCell="AR98" sqref="AR98"/>
    </sheetView>
  </sheetViews>
  <sheetFormatPr defaultRowHeight="15" x14ac:dyDescent="0.25"/>
  <cols>
    <col min="3" max="34" width="13" hidden="1" customWidth="1"/>
  </cols>
  <sheetData>
    <row r="1" spans="1:69" x14ac:dyDescent="0.25">
      <c r="A1" t="s">
        <v>970</v>
      </c>
      <c r="B1" t="s">
        <v>971</v>
      </c>
    </row>
    <row r="2" spans="1:69" x14ac:dyDescent="0.25">
      <c r="A2" t="s">
        <v>972</v>
      </c>
      <c r="B2" s="24">
        <v>46050</v>
      </c>
    </row>
    <row r="4" spans="1:69" x14ac:dyDescent="0.25">
      <c r="A4" t="s">
        <v>973</v>
      </c>
      <c r="B4" t="s">
        <v>974</v>
      </c>
      <c r="C4" t="s">
        <v>975</v>
      </c>
      <c r="D4" t="s">
        <v>976</v>
      </c>
      <c r="E4" t="s">
        <v>977</v>
      </c>
      <c r="F4" t="s">
        <v>978</v>
      </c>
      <c r="G4" t="s">
        <v>979</v>
      </c>
      <c r="H4" t="s">
        <v>980</v>
      </c>
      <c r="I4" t="s">
        <v>981</v>
      </c>
      <c r="J4" t="s">
        <v>982</v>
      </c>
      <c r="K4" t="s">
        <v>983</v>
      </c>
      <c r="L4" t="s">
        <v>984</v>
      </c>
      <c r="M4" t="s">
        <v>985</v>
      </c>
      <c r="N4" t="s">
        <v>986</v>
      </c>
      <c r="O4" t="s">
        <v>987</v>
      </c>
      <c r="P4" t="s">
        <v>988</v>
      </c>
      <c r="Q4" t="s">
        <v>989</v>
      </c>
      <c r="R4" t="s">
        <v>990</v>
      </c>
      <c r="S4" t="s">
        <v>991</v>
      </c>
      <c r="T4" t="s">
        <v>992</v>
      </c>
      <c r="U4" t="s">
        <v>993</v>
      </c>
      <c r="V4" t="s">
        <v>994</v>
      </c>
      <c r="W4" t="s">
        <v>995</v>
      </c>
      <c r="X4" t="s">
        <v>996</v>
      </c>
      <c r="Y4" t="s">
        <v>997</v>
      </c>
      <c r="Z4" t="s">
        <v>998</v>
      </c>
      <c r="AA4" t="s">
        <v>999</v>
      </c>
      <c r="AB4" t="s">
        <v>1000</v>
      </c>
      <c r="AC4" t="s">
        <v>1001</v>
      </c>
      <c r="AD4" t="s">
        <v>1002</v>
      </c>
      <c r="AE4" t="s">
        <v>1003</v>
      </c>
      <c r="AF4" t="s">
        <v>1004</v>
      </c>
      <c r="AG4" t="s">
        <v>1005</v>
      </c>
      <c r="AH4" t="s">
        <v>1006</v>
      </c>
      <c r="AI4" t="s">
        <v>1007</v>
      </c>
      <c r="AJ4" t="s">
        <v>1008</v>
      </c>
      <c r="AK4" t="s">
        <v>1009</v>
      </c>
      <c r="AL4" t="s">
        <v>1010</v>
      </c>
      <c r="AM4" t="s">
        <v>1011</v>
      </c>
      <c r="AN4" t="s">
        <v>1012</v>
      </c>
      <c r="AO4" t="s">
        <v>1013</v>
      </c>
      <c r="AP4" t="s">
        <v>1014</v>
      </c>
      <c r="AQ4" t="s">
        <v>1015</v>
      </c>
      <c r="AR4" t="s">
        <v>1016</v>
      </c>
      <c r="AS4" t="s">
        <v>1017</v>
      </c>
      <c r="AT4" t="s">
        <v>1018</v>
      </c>
      <c r="AU4" t="s">
        <v>1019</v>
      </c>
      <c r="AV4" t="s">
        <v>1020</v>
      </c>
      <c r="AW4" t="s">
        <v>1021</v>
      </c>
      <c r="AX4" t="s">
        <v>1022</v>
      </c>
      <c r="AY4" t="s">
        <v>1023</v>
      </c>
      <c r="AZ4" t="s">
        <v>1024</v>
      </c>
      <c r="BA4" t="s">
        <v>1025</v>
      </c>
      <c r="BB4" t="s">
        <v>1026</v>
      </c>
      <c r="BC4" t="s">
        <v>1027</v>
      </c>
      <c r="BD4" t="s">
        <v>1028</v>
      </c>
      <c r="BE4" t="s">
        <v>1029</v>
      </c>
      <c r="BF4" t="s">
        <v>1030</v>
      </c>
      <c r="BG4" t="s">
        <v>1031</v>
      </c>
      <c r="BH4" t="s">
        <v>1032</v>
      </c>
      <c r="BI4" t="s">
        <v>1033</v>
      </c>
      <c r="BJ4" t="s">
        <v>1034</v>
      </c>
      <c r="BK4" t="s">
        <v>1035</v>
      </c>
      <c r="BL4" t="s">
        <v>1036</v>
      </c>
      <c r="BM4" t="s">
        <v>1037</v>
      </c>
      <c r="BN4" t="s">
        <v>1038</v>
      </c>
      <c r="BO4" t="s">
        <v>1039</v>
      </c>
      <c r="BP4" t="s">
        <v>1040</v>
      </c>
      <c r="BQ4" t="s">
        <v>1041</v>
      </c>
    </row>
    <row r="5" spans="1:69" x14ac:dyDescent="0.25">
      <c r="A5" t="s">
        <v>1042</v>
      </c>
      <c r="B5" t="s">
        <v>1043</v>
      </c>
      <c r="C5" t="s">
        <v>1580</v>
      </c>
      <c r="D5" t="s">
        <v>1581</v>
      </c>
      <c r="AI5">
        <v>21732.85831481083</v>
      </c>
      <c r="AJ5">
        <v>23099.940085341979</v>
      </c>
      <c r="AK5">
        <v>23889.045017862471</v>
      </c>
      <c r="AL5">
        <v>24575.660659642741</v>
      </c>
      <c r="AM5">
        <v>25791.043179095919</v>
      </c>
      <c r="AN5">
        <v>26254.742803767469</v>
      </c>
      <c r="AO5">
        <v>26004.495627638909</v>
      </c>
      <c r="AP5">
        <v>27240.802789280791</v>
      </c>
      <c r="AQ5">
        <v>27412.75519307483</v>
      </c>
      <c r="AR5">
        <v>27765.653257602578</v>
      </c>
      <c r="AS5">
        <v>30245.706973927401</v>
      </c>
      <c r="AT5">
        <v>31920.239073231831</v>
      </c>
      <c r="AU5">
        <v>31888.5087369598</v>
      </c>
      <c r="AV5">
        <v>32507.084314832751</v>
      </c>
      <c r="AW5">
        <v>35059.27309757124</v>
      </c>
      <c r="AX5">
        <v>35098.797669142477</v>
      </c>
      <c r="AY5">
        <v>35937.594655646993</v>
      </c>
      <c r="AZ5">
        <v>37768.566014235214</v>
      </c>
      <c r="BA5">
        <v>38904.999248464432</v>
      </c>
      <c r="BB5">
        <v>34339.939155952932</v>
      </c>
      <c r="BC5">
        <v>33729.511910502777</v>
      </c>
      <c r="BD5">
        <v>35324.072064332489</v>
      </c>
      <c r="BE5">
        <v>34095.647171441597</v>
      </c>
      <c r="BF5">
        <v>35901.645960558322</v>
      </c>
      <c r="BG5">
        <v>35657.28719705296</v>
      </c>
      <c r="BH5">
        <v>35972.859661930423</v>
      </c>
      <c r="BI5">
        <v>36117.535261983452</v>
      </c>
      <c r="BJ5">
        <v>37524.914920355739</v>
      </c>
      <c r="BK5">
        <v>39287.059712612201</v>
      </c>
      <c r="BL5">
        <v>38543.907293604083</v>
      </c>
      <c r="BM5">
        <v>28854.59729978639</v>
      </c>
      <c r="BN5">
        <v>35104.786803537441</v>
      </c>
      <c r="BO5">
        <v>41758.895756654398</v>
      </c>
      <c r="BP5">
        <v>46574.357419765307</v>
      </c>
      <c r="BQ5">
        <v>50649.301523221176</v>
      </c>
    </row>
    <row r="6" spans="1:69" x14ac:dyDescent="0.25">
      <c r="A6" t="s">
        <v>1046</v>
      </c>
      <c r="B6" t="s">
        <v>1047</v>
      </c>
      <c r="C6" t="s">
        <v>1580</v>
      </c>
      <c r="D6" t="s">
        <v>1581</v>
      </c>
      <c r="AI6">
        <v>1851.172550922515</v>
      </c>
      <c r="AJ6">
        <v>1866.163505177869</v>
      </c>
      <c r="AK6">
        <v>1820.062818412262</v>
      </c>
      <c r="AL6">
        <v>1807.249785467674</v>
      </c>
      <c r="AM6">
        <v>1832.163205248343</v>
      </c>
      <c r="AN6">
        <v>1903.8265392773339</v>
      </c>
      <c r="AO6">
        <v>1994.831064172512</v>
      </c>
      <c r="AP6">
        <v>2063.257707215193</v>
      </c>
      <c r="AQ6">
        <v>2071.8744681755102</v>
      </c>
      <c r="AR6">
        <v>2103.976822108647</v>
      </c>
      <c r="AS6">
        <v>2167.0225766855629</v>
      </c>
      <c r="AT6">
        <v>2238.454817353309</v>
      </c>
      <c r="AU6">
        <v>2299.255596949939</v>
      </c>
      <c r="AV6">
        <v>2353.9724162015191</v>
      </c>
      <c r="AW6">
        <v>2486.091030257197</v>
      </c>
      <c r="AX6">
        <v>2649.4982340116771</v>
      </c>
      <c r="AY6">
        <v>2835.8450154753</v>
      </c>
      <c r="AZ6">
        <v>3023.7551320920238</v>
      </c>
      <c r="BA6">
        <v>3132.5359588530928</v>
      </c>
      <c r="BB6">
        <v>3095.1085041257611</v>
      </c>
      <c r="BC6">
        <v>3210.348231696019</v>
      </c>
      <c r="BD6">
        <v>3320.0332471983911</v>
      </c>
      <c r="BE6">
        <v>3244.6643447238862</v>
      </c>
      <c r="BF6">
        <v>3373.823792966009</v>
      </c>
      <c r="BG6">
        <v>3514.322152803431</v>
      </c>
      <c r="BH6">
        <v>3539.8155060707791</v>
      </c>
      <c r="BI6">
        <v>3634.4416734649299</v>
      </c>
      <c r="BJ6">
        <v>3837.7263749346062</v>
      </c>
      <c r="BK6">
        <v>3723.2164226402401</v>
      </c>
      <c r="BL6">
        <v>3801.4131834295599</v>
      </c>
      <c r="BM6">
        <v>3708.094649299459</v>
      </c>
      <c r="BN6">
        <v>4028.3765038774491</v>
      </c>
      <c r="BO6">
        <v>4369.1910563236497</v>
      </c>
      <c r="BP6">
        <v>4501.6011005615956</v>
      </c>
      <c r="BQ6">
        <v>4635.7882240455028</v>
      </c>
    </row>
    <row r="7" spans="1:69" x14ac:dyDescent="0.25">
      <c r="A7" t="s">
        <v>1048</v>
      </c>
      <c r="B7" t="s">
        <v>1049</v>
      </c>
      <c r="C7" t="s">
        <v>1580</v>
      </c>
      <c r="D7" t="s">
        <v>1581</v>
      </c>
      <c r="AS7">
        <v>813.55025598962447</v>
      </c>
      <c r="AT7">
        <v>747.68804549241315</v>
      </c>
      <c r="AU7">
        <v>926.5079410116457</v>
      </c>
      <c r="AV7">
        <v>966.96203205578115</v>
      </c>
      <c r="AW7">
        <v>971.63350304666596</v>
      </c>
      <c r="AX7">
        <v>1076.087352608705</v>
      </c>
      <c r="AY7">
        <v>1121.8344707774861</v>
      </c>
      <c r="AZ7">
        <v>1286.9498431267491</v>
      </c>
      <c r="BA7">
        <v>1333.747266618969</v>
      </c>
      <c r="BB7">
        <v>1570.6981451794879</v>
      </c>
      <c r="BC7">
        <v>1765.538028306152</v>
      </c>
      <c r="BD7">
        <v>1744.060623215581</v>
      </c>
      <c r="BE7">
        <v>1988.429303815544</v>
      </c>
      <c r="BF7">
        <v>2133.241270986467</v>
      </c>
      <c r="BG7">
        <v>2224.4907481521468</v>
      </c>
      <c r="BH7">
        <v>2284.075847893494</v>
      </c>
      <c r="BI7">
        <v>2213.1814410479042</v>
      </c>
      <c r="BJ7">
        <v>2335.7958623445379</v>
      </c>
      <c r="BK7">
        <v>2432.2767008333622</v>
      </c>
      <c r="BL7">
        <v>2583.4853323987691</v>
      </c>
      <c r="BM7">
        <v>2561.981760586219</v>
      </c>
      <c r="BN7">
        <v>2144.1665700281878</v>
      </c>
      <c r="BO7">
        <v>2122.9958151266328</v>
      </c>
      <c r="BP7">
        <v>2201.722906916772</v>
      </c>
    </row>
    <row r="8" spans="1:69" x14ac:dyDescent="0.25">
      <c r="A8" t="s">
        <v>1050</v>
      </c>
      <c r="B8" t="s">
        <v>1051</v>
      </c>
      <c r="C8" t="s">
        <v>1580</v>
      </c>
      <c r="D8" t="s">
        <v>1581</v>
      </c>
      <c r="AI8">
        <v>2128.81226026284</v>
      </c>
      <c r="AJ8">
        <v>2167.9197755450982</v>
      </c>
      <c r="AK8">
        <v>2213.8761615195231</v>
      </c>
      <c r="AL8">
        <v>2177.1097934626</v>
      </c>
      <c r="AM8">
        <v>2158.4701107331748</v>
      </c>
      <c r="AN8">
        <v>2180.440934219539</v>
      </c>
      <c r="AO8">
        <v>2259.8409562788001</v>
      </c>
      <c r="AP8">
        <v>2331.208775172478</v>
      </c>
      <c r="AQ8">
        <v>2373.9131385939681</v>
      </c>
      <c r="AR8">
        <v>2377.3672138605189</v>
      </c>
      <c r="AS8">
        <v>2457.445110816926</v>
      </c>
      <c r="AT8">
        <v>2575.0170111557691</v>
      </c>
      <c r="AU8">
        <v>2807.4063307720871</v>
      </c>
      <c r="AV8">
        <v>2948.0951910521062</v>
      </c>
      <c r="AW8">
        <v>3184.3453296706248</v>
      </c>
      <c r="AX8">
        <v>3380.2191936113682</v>
      </c>
      <c r="AY8">
        <v>3569.2352401566418</v>
      </c>
      <c r="AZ8">
        <v>3762.1198490225029</v>
      </c>
      <c r="BA8">
        <v>3963.3940366037191</v>
      </c>
      <c r="BB8">
        <v>4122.8529712848194</v>
      </c>
      <c r="BC8">
        <v>4346.8336328636633</v>
      </c>
      <c r="BD8">
        <v>4531.8029465123809</v>
      </c>
      <c r="BE8">
        <v>4661.1752758717394</v>
      </c>
      <c r="BF8">
        <v>4861.1506220787514</v>
      </c>
      <c r="BG8">
        <v>5114.6922102121016</v>
      </c>
      <c r="BH8">
        <v>5056.7394387282166</v>
      </c>
      <c r="BI8">
        <v>4965.3302291162327</v>
      </c>
      <c r="BJ8">
        <v>5026.6484991019997</v>
      </c>
      <c r="BK8">
        <v>5179.3599900769032</v>
      </c>
      <c r="BL8">
        <v>5484.2494176240762</v>
      </c>
      <c r="BM8">
        <v>5414.0425403267463</v>
      </c>
      <c r="BN8">
        <v>5690.9677432430744</v>
      </c>
      <c r="BO8">
        <v>6220.1228746202569</v>
      </c>
      <c r="BP8">
        <v>6520.2803125405844</v>
      </c>
      <c r="BQ8">
        <v>6815.9909611511712</v>
      </c>
    </row>
    <row r="9" spans="1:69" x14ac:dyDescent="0.25">
      <c r="A9" t="s">
        <v>1052</v>
      </c>
      <c r="B9" t="s">
        <v>1053</v>
      </c>
      <c r="C9" t="s">
        <v>1580</v>
      </c>
      <c r="D9" t="s">
        <v>1581</v>
      </c>
      <c r="AI9">
        <v>3704.863177249234</v>
      </c>
      <c r="AJ9">
        <v>3740.3508348276141</v>
      </c>
      <c r="AK9">
        <v>3486.2068671186489</v>
      </c>
      <c r="AL9">
        <v>2627.5881005913702</v>
      </c>
      <c r="AM9">
        <v>2632.8881993907589</v>
      </c>
      <c r="AN9">
        <v>2989.7613800669969</v>
      </c>
      <c r="AO9">
        <v>3341.9118881012032</v>
      </c>
      <c r="AP9">
        <v>3525.0834295559771</v>
      </c>
      <c r="AQ9">
        <v>3609.0929782203539</v>
      </c>
      <c r="AR9">
        <v>3618.7760819086279</v>
      </c>
      <c r="AS9">
        <v>3689.5378084724439</v>
      </c>
      <c r="AT9">
        <v>3801.6331337481761</v>
      </c>
      <c r="AU9">
        <v>4241.2915015658009</v>
      </c>
      <c r="AV9">
        <v>4322.1977321474151</v>
      </c>
      <c r="AW9">
        <v>4770.6880256346203</v>
      </c>
      <c r="AX9">
        <v>5415.6121201809883</v>
      </c>
      <c r="AY9">
        <v>6017.8181625251018</v>
      </c>
      <c r="AZ9">
        <v>6727.9632885683077</v>
      </c>
      <c r="BA9">
        <v>7315.6023305666649</v>
      </c>
      <c r="BB9">
        <v>7227.5636423758842</v>
      </c>
      <c r="BC9">
        <v>7411.6546088362384</v>
      </c>
      <c r="BD9">
        <v>7537.5965640334489</v>
      </c>
      <c r="BE9">
        <v>8246.3608115160896</v>
      </c>
      <c r="BF9">
        <v>8504.0953207205257</v>
      </c>
      <c r="BG9">
        <v>9017.6901816226909</v>
      </c>
      <c r="BH9">
        <v>8067.4858468301818</v>
      </c>
      <c r="BI9">
        <v>7766.8378752554609</v>
      </c>
      <c r="BJ9">
        <v>8006.8366149769636</v>
      </c>
      <c r="BK9">
        <v>8278.3688617046937</v>
      </c>
      <c r="BL9">
        <v>8572.8789561067133</v>
      </c>
      <c r="BM9">
        <v>7827.4280432581772</v>
      </c>
      <c r="BN9">
        <v>8862.2813331452089</v>
      </c>
      <c r="BO9">
        <v>9588.2412951118822</v>
      </c>
      <c r="BP9">
        <v>9753.6004676378325</v>
      </c>
      <c r="BQ9">
        <v>10118.60899454078</v>
      </c>
    </row>
    <row r="10" spans="1:69" x14ac:dyDescent="0.25">
      <c r="A10" t="s">
        <v>1054</v>
      </c>
      <c r="B10" t="s">
        <v>1055</v>
      </c>
      <c r="C10" t="s">
        <v>1580</v>
      </c>
      <c r="D10" t="s">
        <v>1581</v>
      </c>
      <c r="AI10">
        <v>2678.9455094419891</v>
      </c>
      <c r="AJ10">
        <v>2006.06760297659</v>
      </c>
      <c r="AK10">
        <v>1915.9025845643539</v>
      </c>
      <c r="AL10">
        <v>2161.9573017021112</v>
      </c>
      <c r="AM10">
        <v>2406.182425383246</v>
      </c>
      <c r="AN10">
        <v>2801.1629109693349</v>
      </c>
      <c r="AO10">
        <v>3080.7985367201368</v>
      </c>
      <c r="AP10">
        <v>2784.2525575943741</v>
      </c>
      <c r="AQ10">
        <v>3105.1736510996102</v>
      </c>
      <c r="AR10">
        <v>3577.1466676994628</v>
      </c>
      <c r="AS10">
        <v>3980.985982527443</v>
      </c>
      <c r="AT10">
        <v>4423.9375471856256</v>
      </c>
      <c r="AU10">
        <v>4747.3062547904947</v>
      </c>
      <c r="AV10">
        <v>4987.5667646062366</v>
      </c>
      <c r="AW10">
        <v>5385.186571519841</v>
      </c>
      <c r="AX10">
        <v>5780.8692596632463</v>
      </c>
      <c r="AY10">
        <v>6374.6323591642267</v>
      </c>
      <c r="AZ10">
        <v>7130.4727349021832</v>
      </c>
      <c r="BA10">
        <v>7927.8177652877048</v>
      </c>
      <c r="BB10">
        <v>8473.0126230960905</v>
      </c>
      <c r="BC10">
        <v>9210.3462894968434</v>
      </c>
      <c r="BD10">
        <v>9755.8231292613109</v>
      </c>
      <c r="BE10">
        <v>10051.07171126446</v>
      </c>
      <c r="BF10">
        <v>10196.543281169599</v>
      </c>
      <c r="BG10">
        <v>11059.32723522091</v>
      </c>
      <c r="BH10">
        <v>11571.706559893069</v>
      </c>
      <c r="BI10">
        <v>12176.172898854389</v>
      </c>
      <c r="BJ10">
        <v>13150.13432109578</v>
      </c>
      <c r="BK10">
        <v>14182.11638923524</v>
      </c>
      <c r="BL10">
        <v>15487.47773274569</v>
      </c>
      <c r="BM10">
        <v>15342.32413800086</v>
      </c>
      <c r="BN10">
        <v>17329.550633846109</v>
      </c>
      <c r="BO10">
        <v>21411.404264868652</v>
      </c>
      <c r="BP10">
        <v>25011.11811101987</v>
      </c>
      <c r="BQ10">
        <v>27146.38147472815</v>
      </c>
    </row>
    <row r="11" spans="1:69" x14ac:dyDescent="0.25">
      <c r="A11" t="s">
        <v>1056</v>
      </c>
      <c r="B11" t="s">
        <v>1057</v>
      </c>
      <c r="C11" t="s">
        <v>1580</v>
      </c>
      <c r="D11" t="s">
        <v>1581</v>
      </c>
      <c r="AI11">
        <v>24908.870943784561</v>
      </c>
      <c r="AJ11">
        <v>24510.246081766742</v>
      </c>
      <c r="AK11">
        <v>23816.840471363059</v>
      </c>
      <c r="AL11">
        <v>22958.325781468458</v>
      </c>
      <c r="AM11">
        <v>23509.459983830679</v>
      </c>
      <c r="AN11">
        <v>24934.382774224501</v>
      </c>
      <c r="AO11">
        <v>26541.58144567383</v>
      </c>
      <c r="AP11">
        <v>29121.6037066069</v>
      </c>
      <c r="AQ11">
        <v>30072.72727230682</v>
      </c>
      <c r="AR11">
        <v>31589.958242947989</v>
      </c>
      <c r="AS11">
        <v>33458.118162507359</v>
      </c>
      <c r="AT11">
        <v>36895.440245407917</v>
      </c>
      <c r="AU11">
        <v>38787.052253491842</v>
      </c>
      <c r="AV11">
        <v>41147.880695547377</v>
      </c>
      <c r="AW11">
        <v>42717.237773545603</v>
      </c>
      <c r="AX11">
        <v>44577.819334308107</v>
      </c>
      <c r="AY11">
        <v>46852.658390238372</v>
      </c>
      <c r="AZ11">
        <v>47501.430929201873</v>
      </c>
      <c r="BA11">
        <v>44838.994999217597</v>
      </c>
      <c r="BB11">
        <v>42522.994563950073</v>
      </c>
      <c r="BC11">
        <v>43853.171238535433</v>
      </c>
      <c r="BD11">
        <v>46436.115859616068</v>
      </c>
      <c r="BE11">
        <v>45503.044483265767</v>
      </c>
      <c r="BF11">
        <v>45609.230722424712</v>
      </c>
      <c r="BG11">
        <v>48505.60173616081</v>
      </c>
      <c r="BH11">
        <v>50733.239001170448</v>
      </c>
      <c r="BI11">
        <v>53110.142626321067</v>
      </c>
      <c r="BJ11">
        <v>53084.863964090277</v>
      </c>
      <c r="BK11">
        <v>55244.655408817729</v>
      </c>
      <c r="BL11">
        <v>57475.069284221499</v>
      </c>
      <c r="BM11">
        <v>52095.841400462697</v>
      </c>
      <c r="BN11">
        <v>59332.202910012718</v>
      </c>
      <c r="BO11">
        <v>68470.075948384794</v>
      </c>
      <c r="BP11">
        <v>71730.668682165022</v>
      </c>
      <c r="BQ11">
        <v>74939.474603857831</v>
      </c>
    </row>
    <row r="12" spans="1:69" x14ac:dyDescent="0.25">
      <c r="A12" t="s">
        <v>1058</v>
      </c>
      <c r="B12" t="s">
        <v>1059</v>
      </c>
      <c r="C12" t="s">
        <v>1580</v>
      </c>
      <c r="D12" t="s">
        <v>1581</v>
      </c>
      <c r="AI12">
        <v>6807.8371361727714</v>
      </c>
      <c r="AJ12">
        <v>7124.6686634451926</v>
      </c>
      <c r="AK12">
        <v>7553.1632039982778</v>
      </c>
      <c r="AL12">
        <v>7757.2705088583416</v>
      </c>
      <c r="AM12">
        <v>7938.5184129362724</v>
      </c>
      <c r="AN12">
        <v>8105.2203281033326</v>
      </c>
      <c r="AO12">
        <v>8435.5044997472123</v>
      </c>
      <c r="AP12">
        <v>8829.1277476679024</v>
      </c>
      <c r="AQ12">
        <v>9164.9877049310671</v>
      </c>
      <c r="AR12">
        <v>9355.4418558173784</v>
      </c>
      <c r="AS12">
        <v>9944.4866874833042</v>
      </c>
      <c r="AT12">
        <v>10137.39324873268</v>
      </c>
      <c r="AU12">
        <v>10152.493847660009</v>
      </c>
      <c r="AV12">
        <v>10468.01781097644</v>
      </c>
      <c r="AW12">
        <v>11487.517334369501</v>
      </c>
      <c r="AX12">
        <v>12202.83473223896</v>
      </c>
      <c r="AY12">
        <v>13018.85711967317</v>
      </c>
      <c r="AZ12">
        <v>13618.279291005711</v>
      </c>
      <c r="BA12">
        <v>14288.84774406641</v>
      </c>
      <c r="BB12">
        <v>14113.556077255749</v>
      </c>
      <c r="BC12">
        <v>14676.781859890831</v>
      </c>
      <c r="BD12">
        <v>15244.99579501651</v>
      </c>
      <c r="BE12">
        <v>16106.530641427669</v>
      </c>
      <c r="BF12">
        <v>16033.85987628317</v>
      </c>
      <c r="BG12">
        <v>15817.082766038389</v>
      </c>
      <c r="BH12">
        <v>14332.86621207305</v>
      </c>
      <c r="BI12">
        <v>13860.6633153292</v>
      </c>
      <c r="BJ12">
        <v>14473.336384684009</v>
      </c>
      <c r="BK12">
        <v>15558.13079662446</v>
      </c>
      <c r="BL12">
        <v>15746.00488420393</v>
      </c>
      <c r="BM12">
        <v>14309.39280694427</v>
      </c>
      <c r="BN12">
        <v>16026.63570383216</v>
      </c>
      <c r="BO12">
        <v>17956.131562433391</v>
      </c>
      <c r="BP12">
        <v>18488.7415611006</v>
      </c>
      <c r="BQ12">
        <v>18870.314811050721</v>
      </c>
    </row>
    <row r="13" spans="1:69" x14ac:dyDescent="0.25">
      <c r="A13" t="s">
        <v>1060</v>
      </c>
      <c r="B13" t="s">
        <v>1061</v>
      </c>
      <c r="C13" t="s">
        <v>1580</v>
      </c>
      <c r="D13" t="s">
        <v>1581</v>
      </c>
      <c r="AI13">
        <v>88455.078430464535</v>
      </c>
      <c r="AJ13">
        <v>87250.180769117738</v>
      </c>
      <c r="AK13">
        <v>87509.0434921899</v>
      </c>
      <c r="AL13">
        <v>86330.199424633814</v>
      </c>
      <c r="AM13">
        <v>89958.959558033297</v>
      </c>
      <c r="AN13">
        <v>93702.366751109847</v>
      </c>
      <c r="AO13">
        <v>94619.598798593404</v>
      </c>
      <c r="AP13">
        <v>96008.872599010472</v>
      </c>
      <c r="AQ13">
        <v>90229.308392655439</v>
      </c>
      <c r="AR13">
        <v>87657.94951664783</v>
      </c>
      <c r="AS13">
        <v>92899.367498579581</v>
      </c>
      <c r="AT13">
        <v>90370.254118375073</v>
      </c>
      <c r="AU13">
        <v>88466.581617609307</v>
      </c>
      <c r="AV13">
        <v>92635.922690180334</v>
      </c>
      <c r="AW13">
        <v>98661.437056263661</v>
      </c>
      <c r="AX13">
        <v>101301.4123391629</v>
      </c>
      <c r="AY13">
        <v>106814.053640356</v>
      </c>
      <c r="AZ13">
        <v>100813.1882289288</v>
      </c>
      <c r="BA13">
        <v>94628.266660753754</v>
      </c>
      <c r="BB13">
        <v>84780.320970651665</v>
      </c>
      <c r="BC13">
        <v>85120.197468775237</v>
      </c>
      <c r="BD13">
        <v>89665.40189219857</v>
      </c>
      <c r="BE13">
        <v>89198.011901702484</v>
      </c>
      <c r="BF13">
        <v>87526.325479706138</v>
      </c>
      <c r="BG13">
        <v>87477.734196351434</v>
      </c>
      <c r="BH13">
        <v>73986.063639594504</v>
      </c>
      <c r="BI13">
        <v>69986.983567588715</v>
      </c>
      <c r="BJ13">
        <v>70281.888950421082</v>
      </c>
      <c r="BK13">
        <v>77446.226992992306</v>
      </c>
      <c r="BL13">
        <v>79816.301090440626</v>
      </c>
      <c r="BM13">
        <v>66790.682266475444</v>
      </c>
      <c r="BN13">
        <v>68580.148542348281</v>
      </c>
      <c r="BO13">
        <v>75071.658630035061</v>
      </c>
      <c r="BP13">
        <v>77955.295176087864</v>
      </c>
      <c r="BQ13">
        <v>79228.73880127602</v>
      </c>
    </row>
    <row r="14" spans="1:69" x14ac:dyDescent="0.25">
      <c r="A14" t="s">
        <v>1062</v>
      </c>
      <c r="B14" t="s">
        <v>1063</v>
      </c>
      <c r="C14" t="s">
        <v>1580</v>
      </c>
      <c r="D14" t="s">
        <v>1581</v>
      </c>
      <c r="AI14">
        <v>7158.3084915707823</v>
      </c>
      <c r="AJ14">
        <v>7960.9784401880761</v>
      </c>
      <c r="AK14">
        <v>8667.8528038659897</v>
      </c>
      <c r="AL14">
        <v>9472.445099427996</v>
      </c>
      <c r="AM14">
        <v>10103.02974159792</v>
      </c>
      <c r="AN14">
        <v>9890.9247092483565</v>
      </c>
      <c r="AO14">
        <v>10495.839245253061</v>
      </c>
      <c r="AP14">
        <v>11403.480792604139</v>
      </c>
      <c r="AQ14">
        <v>11835.676986910899</v>
      </c>
      <c r="AR14">
        <v>11463.85330832631</v>
      </c>
      <c r="AS14">
        <v>11499.98280025185</v>
      </c>
      <c r="AT14">
        <v>11117.754923786981</v>
      </c>
      <c r="AU14">
        <v>9953.4649288085693</v>
      </c>
      <c r="AV14">
        <v>10933.392549159449</v>
      </c>
      <c r="AW14">
        <v>12117.679742309771</v>
      </c>
      <c r="AX14">
        <v>13464.812847056121</v>
      </c>
      <c r="AY14">
        <v>14843.577865964189</v>
      </c>
      <c r="AZ14">
        <v>16455.1129801674</v>
      </c>
      <c r="BA14">
        <v>17276.757088680559</v>
      </c>
      <c r="BB14">
        <v>16182.07534776769</v>
      </c>
      <c r="BC14">
        <v>17847.611037317809</v>
      </c>
      <c r="BD14">
        <v>19104.990940522792</v>
      </c>
      <c r="BE14">
        <v>19430.41780681118</v>
      </c>
      <c r="BF14">
        <v>19928.98949016702</v>
      </c>
      <c r="BG14">
        <v>19487.41817488681</v>
      </c>
      <c r="BH14">
        <v>19899.149927524541</v>
      </c>
      <c r="BI14">
        <v>20105.761359796019</v>
      </c>
      <c r="BJ14">
        <v>23385.07409049166</v>
      </c>
      <c r="BK14">
        <v>24410.391906333491</v>
      </c>
      <c r="BL14">
        <v>23516.826198088638</v>
      </c>
      <c r="BM14">
        <v>22393.347957535341</v>
      </c>
      <c r="BN14">
        <v>26300.27426117504</v>
      </c>
      <c r="BO14">
        <v>29808.807346800699</v>
      </c>
      <c r="BP14">
        <v>30221.497688875301</v>
      </c>
      <c r="BQ14">
        <v>30431.193122369299</v>
      </c>
    </row>
    <row r="15" spans="1:69" x14ac:dyDescent="0.25">
      <c r="A15" t="s">
        <v>1064</v>
      </c>
      <c r="B15" t="s">
        <v>1065</v>
      </c>
      <c r="C15" t="s">
        <v>1580</v>
      </c>
      <c r="D15" t="s">
        <v>1581</v>
      </c>
      <c r="AI15">
        <v>2760.2495002461378</v>
      </c>
      <c r="AJ15">
        <v>2476.6030920512671</v>
      </c>
      <c r="AK15">
        <v>1491.6126717429529</v>
      </c>
      <c r="AL15">
        <v>1440.393677661129</v>
      </c>
      <c r="AM15">
        <v>1591.4788351410341</v>
      </c>
      <c r="AN15">
        <v>1766.910147612339</v>
      </c>
      <c r="AO15">
        <v>1921.5499890479621</v>
      </c>
      <c r="AP15">
        <v>2039.7883227803479</v>
      </c>
      <c r="AQ15">
        <v>2239.4275831804421</v>
      </c>
      <c r="AR15">
        <v>2376.519169465781</v>
      </c>
      <c r="AS15">
        <v>2530.7439465719399</v>
      </c>
      <c r="AT15">
        <v>2844.3626636700892</v>
      </c>
      <c r="AU15">
        <v>3282.1170633736901</v>
      </c>
      <c r="AV15">
        <v>3836.225567686728</v>
      </c>
      <c r="AW15">
        <v>4377.2275968255126</v>
      </c>
      <c r="AX15">
        <v>5172.2189210295019</v>
      </c>
      <c r="AY15">
        <v>6072.7592447985453</v>
      </c>
      <c r="AZ15">
        <v>7136.7540551995344</v>
      </c>
      <c r="BA15">
        <v>7827.3166674649419</v>
      </c>
      <c r="BB15">
        <v>6811.6924795958084</v>
      </c>
      <c r="BC15">
        <v>7095.2126797900873</v>
      </c>
      <c r="BD15">
        <v>7624.2677262690486</v>
      </c>
      <c r="BE15">
        <v>8942.6353789716431</v>
      </c>
      <c r="BF15">
        <v>9454.8785283655652</v>
      </c>
      <c r="BG15">
        <v>9736.234974627896</v>
      </c>
      <c r="BH15">
        <v>9756.8408483602598</v>
      </c>
      <c r="BI15">
        <v>10570.272041393569</v>
      </c>
      <c r="BJ15">
        <v>12066.00430938194</v>
      </c>
      <c r="BK15">
        <v>12877.49375435533</v>
      </c>
      <c r="BL15">
        <v>14975.753953815691</v>
      </c>
      <c r="BM15">
        <v>14706.31730434223</v>
      </c>
      <c r="BN15">
        <v>15921.705281964019</v>
      </c>
      <c r="BO15">
        <v>19161.370051418889</v>
      </c>
      <c r="BP15">
        <v>21534.030536117021</v>
      </c>
      <c r="BQ15">
        <v>22823.17952556931</v>
      </c>
    </row>
    <row r="16" spans="1:69" x14ac:dyDescent="0.25">
      <c r="A16" t="s">
        <v>1066</v>
      </c>
      <c r="B16" t="s">
        <v>1067</v>
      </c>
      <c r="C16" t="s">
        <v>1580</v>
      </c>
      <c r="D16" t="s">
        <v>1581</v>
      </c>
    </row>
    <row r="17" spans="1:69" x14ac:dyDescent="0.25">
      <c r="A17" t="s">
        <v>1068</v>
      </c>
      <c r="B17" t="s">
        <v>1069</v>
      </c>
      <c r="C17" t="s">
        <v>1580</v>
      </c>
      <c r="D17" t="s">
        <v>1581</v>
      </c>
      <c r="AI17">
        <v>12996.04535287894</v>
      </c>
      <c r="AJ17">
        <v>13658.498614276499</v>
      </c>
      <c r="AK17">
        <v>13908.451265129401</v>
      </c>
      <c r="AL17">
        <v>14719.50952179773</v>
      </c>
      <c r="AM17">
        <v>15736.168114952139</v>
      </c>
      <c r="AN17">
        <v>15062.352245144701</v>
      </c>
      <c r="AO17">
        <v>16016.933194116309</v>
      </c>
      <c r="AP17">
        <v>16836.061944852059</v>
      </c>
      <c r="AQ17">
        <v>17496.148751553312</v>
      </c>
      <c r="AR17">
        <v>18088.38223567824</v>
      </c>
      <c r="AS17">
        <v>19318.896577972078</v>
      </c>
      <c r="AT17">
        <v>18568.67991465102</v>
      </c>
      <c r="AU17">
        <v>18812.782777072891</v>
      </c>
      <c r="AV17">
        <v>20127.345572168961</v>
      </c>
      <c r="AW17">
        <v>21628.683654167511</v>
      </c>
      <c r="AX17">
        <v>23484.800105169132</v>
      </c>
      <c r="AY17">
        <v>26949.40858213458</v>
      </c>
      <c r="AZ17">
        <v>29850.567573463599</v>
      </c>
      <c r="BA17">
        <v>29978.20958610922</v>
      </c>
      <c r="BB17">
        <v>26156.915171596531</v>
      </c>
      <c r="BC17">
        <v>24071.029795648181</v>
      </c>
      <c r="BD17">
        <v>23804.079010769568</v>
      </c>
      <c r="BE17">
        <v>23011.738661136649</v>
      </c>
      <c r="BF17">
        <v>21760.523286425381</v>
      </c>
      <c r="BG17">
        <v>21671.473785661561</v>
      </c>
      <c r="BH17">
        <v>20985.438829217721</v>
      </c>
      <c r="BI17">
        <v>21320.437506780931</v>
      </c>
      <c r="BJ17">
        <v>21422.00215766269</v>
      </c>
      <c r="BK17">
        <v>24524.21379538871</v>
      </c>
      <c r="BL17">
        <v>26550.589844733011</v>
      </c>
      <c r="BM17">
        <v>22370.091869381278</v>
      </c>
      <c r="BN17">
        <v>25745.495806774619</v>
      </c>
      <c r="BO17">
        <v>29933.88936989021</v>
      </c>
      <c r="BP17">
        <v>31601.752714687671</v>
      </c>
      <c r="BQ17">
        <v>33386.191712789398</v>
      </c>
    </row>
    <row r="18" spans="1:69" x14ac:dyDescent="0.25">
      <c r="A18" t="s">
        <v>1070</v>
      </c>
      <c r="B18" t="s">
        <v>1071</v>
      </c>
      <c r="C18" t="s">
        <v>1580</v>
      </c>
      <c r="D18" t="s">
        <v>1581</v>
      </c>
      <c r="AI18">
        <v>17385.49854193928</v>
      </c>
      <c r="AJ18">
        <v>17839.057470604152</v>
      </c>
      <c r="AK18">
        <v>18258.723435812779</v>
      </c>
      <c r="AL18">
        <v>19220.342291253979</v>
      </c>
      <c r="AM18">
        <v>20173.6335372371</v>
      </c>
      <c r="AN18">
        <v>21049.615018197059</v>
      </c>
      <c r="AO18">
        <v>22133.844278570861</v>
      </c>
      <c r="AP18">
        <v>23141.858888888131</v>
      </c>
      <c r="AQ18">
        <v>24386.32555391948</v>
      </c>
      <c r="AR18">
        <v>25530.885923334092</v>
      </c>
      <c r="AS18">
        <v>26584.819196572469</v>
      </c>
      <c r="AT18">
        <v>27687.758744410341</v>
      </c>
      <c r="AU18">
        <v>29080.043928694591</v>
      </c>
      <c r="AV18">
        <v>30167.241365540958</v>
      </c>
      <c r="AW18">
        <v>31814.50498285198</v>
      </c>
      <c r="AX18">
        <v>33089.702350183667</v>
      </c>
      <c r="AY18">
        <v>34890.224813669331</v>
      </c>
      <c r="AZ18">
        <v>36708.166006725623</v>
      </c>
      <c r="BA18">
        <v>37616.011240048203</v>
      </c>
      <c r="BB18">
        <v>40434.489089911833</v>
      </c>
      <c r="BC18">
        <v>39504.361082783973</v>
      </c>
      <c r="BD18">
        <v>42152.816179830967</v>
      </c>
      <c r="BE18">
        <v>43007.269782413103</v>
      </c>
      <c r="BF18">
        <v>46123.47509628479</v>
      </c>
      <c r="BG18">
        <v>47108.59064599657</v>
      </c>
      <c r="BH18">
        <v>46464.586762792911</v>
      </c>
      <c r="BI18">
        <v>47446.210303095111</v>
      </c>
      <c r="BJ18">
        <v>48564.82865923721</v>
      </c>
      <c r="BK18">
        <v>50371.233830781966</v>
      </c>
      <c r="BL18">
        <v>52885.831381637727</v>
      </c>
      <c r="BM18">
        <v>54184.161448685372</v>
      </c>
      <c r="BN18">
        <v>58327.414684232477</v>
      </c>
      <c r="BO18">
        <v>66103.179706695664</v>
      </c>
      <c r="BP18">
        <v>72272.709213668277</v>
      </c>
      <c r="BQ18">
        <v>72111.184462812598</v>
      </c>
    </row>
    <row r="19" spans="1:69" x14ac:dyDescent="0.25">
      <c r="A19" t="s">
        <v>1072</v>
      </c>
      <c r="B19" t="s">
        <v>1073</v>
      </c>
      <c r="C19" t="s">
        <v>1580</v>
      </c>
      <c r="D19" t="s">
        <v>1581</v>
      </c>
      <c r="AI19">
        <v>19395.859898704031</v>
      </c>
      <c r="AJ19">
        <v>20535.824726704261</v>
      </c>
      <c r="AK19">
        <v>21208.839221040591</v>
      </c>
      <c r="AL19">
        <v>21646.683300952918</v>
      </c>
      <c r="AM19">
        <v>22553.007428908779</v>
      </c>
      <c r="AN19">
        <v>23604.028196614101</v>
      </c>
      <c r="AO19">
        <v>24426.764096284231</v>
      </c>
      <c r="AP19">
        <v>25300.643904969409</v>
      </c>
      <c r="AQ19">
        <v>26530.935404117139</v>
      </c>
      <c r="AR19">
        <v>27500.08495453397</v>
      </c>
      <c r="AS19">
        <v>29220.985304035788</v>
      </c>
      <c r="AT19">
        <v>29553.23335097672</v>
      </c>
      <c r="AU19">
        <v>30952.17082323982</v>
      </c>
      <c r="AV19">
        <v>31958.859241208349</v>
      </c>
      <c r="AW19">
        <v>33518.516002352117</v>
      </c>
      <c r="AX19">
        <v>34776.669953521807</v>
      </c>
      <c r="AY19">
        <v>37388.079538076461</v>
      </c>
      <c r="AZ19">
        <v>39192.372452379022</v>
      </c>
      <c r="BA19">
        <v>41046.790035211161</v>
      </c>
      <c r="BB19">
        <v>40686.673635568142</v>
      </c>
      <c r="BC19">
        <v>41735.457479874378</v>
      </c>
      <c r="BD19">
        <v>44171.561868702804</v>
      </c>
      <c r="BE19">
        <v>46156.483207303711</v>
      </c>
      <c r="BF19">
        <v>47519.852279657127</v>
      </c>
      <c r="BG19">
        <v>48355.497762440697</v>
      </c>
      <c r="BH19">
        <v>49549.316231144046</v>
      </c>
      <c r="BI19">
        <v>52397.863517667407</v>
      </c>
      <c r="BJ19">
        <v>53869.832118355604</v>
      </c>
      <c r="BK19">
        <v>56636.495303054173</v>
      </c>
      <c r="BL19">
        <v>60354.927942212104</v>
      </c>
      <c r="BM19">
        <v>58523.033781624559</v>
      </c>
      <c r="BN19">
        <v>62968.942231189198</v>
      </c>
      <c r="BO19">
        <v>72065.497427010559</v>
      </c>
      <c r="BP19">
        <v>73544.656723048654</v>
      </c>
      <c r="BQ19">
        <v>73911.43966313597</v>
      </c>
    </row>
    <row r="20" spans="1:69" x14ac:dyDescent="0.25">
      <c r="A20" t="s">
        <v>1074</v>
      </c>
      <c r="B20" t="s">
        <v>1075</v>
      </c>
      <c r="C20" t="s">
        <v>1580</v>
      </c>
      <c r="D20" t="s">
        <v>1581</v>
      </c>
      <c r="AI20">
        <v>5342.5708157569261</v>
      </c>
      <c r="AJ20">
        <v>5412.0976019072696</v>
      </c>
      <c r="AK20">
        <v>4220.1463729183151</v>
      </c>
      <c r="AL20">
        <v>3272.2379502770241</v>
      </c>
      <c r="AM20">
        <v>2647.7653842615609</v>
      </c>
      <c r="AN20">
        <v>2356.897801476583</v>
      </c>
      <c r="AO20">
        <v>2406.7723161913991</v>
      </c>
      <c r="AP20">
        <v>2565.4082817703638</v>
      </c>
      <c r="AQ20">
        <v>2826.7069343393059</v>
      </c>
      <c r="AR20">
        <v>3051.942333549056</v>
      </c>
      <c r="AS20">
        <v>3439.1444287232621</v>
      </c>
      <c r="AT20">
        <v>3834.8981590641461</v>
      </c>
      <c r="AU20">
        <v>4230.4059021407247</v>
      </c>
      <c r="AV20">
        <v>4718.4211233940323</v>
      </c>
      <c r="AW20">
        <v>5247.5383436515594</v>
      </c>
      <c r="AX20">
        <v>6854.9361877884403</v>
      </c>
      <c r="AY20">
        <v>9398.0132479426338</v>
      </c>
      <c r="AZ20">
        <v>11973.959632353561</v>
      </c>
      <c r="BA20">
        <v>13216.843497443169</v>
      </c>
      <c r="BB20">
        <v>14245.50353661901</v>
      </c>
      <c r="BC20">
        <v>14930.40999284228</v>
      </c>
      <c r="BD20">
        <v>14804.574450791109</v>
      </c>
      <c r="BE20">
        <v>15994.14665018366</v>
      </c>
      <c r="BF20">
        <v>17267.511891953771</v>
      </c>
      <c r="BG20">
        <v>17563.612245438511</v>
      </c>
      <c r="BH20">
        <v>15075.27263479107</v>
      </c>
      <c r="BI20">
        <v>14535.802021063329</v>
      </c>
      <c r="BJ20">
        <v>14315.92964310605</v>
      </c>
      <c r="BK20">
        <v>15282.99952322981</v>
      </c>
      <c r="BL20">
        <v>16675.317936155829</v>
      </c>
      <c r="BM20">
        <v>15163.57033272821</v>
      </c>
      <c r="BN20">
        <v>20111.375695210882</v>
      </c>
      <c r="BO20">
        <v>22552.088656052299</v>
      </c>
      <c r="BP20">
        <v>23651.59948527555</v>
      </c>
      <c r="BQ20">
        <v>25088.999375713371</v>
      </c>
    </row>
    <row r="21" spans="1:69" x14ac:dyDescent="0.25">
      <c r="A21" t="s">
        <v>1076</v>
      </c>
      <c r="B21" t="s">
        <v>1077</v>
      </c>
      <c r="C21" t="s">
        <v>1580</v>
      </c>
      <c r="D21" t="s">
        <v>1581</v>
      </c>
      <c r="AI21">
        <v>598.30504599416565</v>
      </c>
      <c r="AJ21">
        <v>636.14644017243427</v>
      </c>
      <c r="AK21">
        <v>639.87686585014728</v>
      </c>
      <c r="AL21">
        <v>633.81242046806994</v>
      </c>
      <c r="AM21">
        <v>618.51970902062578</v>
      </c>
      <c r="AN21">
        <v>547.68975759657269</v>
      </c>
      <c r="AO21">
        <v>512.74518143234684</v>
      </c>
      <c r="AP21">
        <v>513.33320539010265</v>
      </c>
      <c r="AQ21">
        <v>533.47128952389176</v>
      </c>
      <c r="AR21">
        <v>522.87557867165083</v>
      </c>
      <c r="AS21">
        <v>519.23730666557742</v>
      </c>
      <c r="AT21">
        <v>528.43557341343649</v>
      </c>
      <c r="AU21">
        <v>544.92279001705515</v>
      </c>
      <c r="AV21">
        <v>531.81261219455575</v>
      </c>
      <c r="AW21">
        <v>551.56220924360457</v>
      </c>
      <c r="AX21">
        <v>553.04797375986323</v>
      </c>
      <c r="AY21">
        <v>579.70780442378896</v>
      </c>
      <c r="AZ21">
        <v>593.56073452972305</v>
      </c>
      <c r="BA21">
        <v>609.04290646181869</v>
      </c>
      <c r="BB21">
        <v>604.58815408024941</v>
      </c>
      <c r="BC21">
        <v>613.69588004988918</v>
      </c>
      <c r="BD21">
        <v>628.6654482961784</v>
      </c>
      <c r="BE21">
        <v>637.24708019110085</v>
      </c>
      <c r="BF21">
        <v>687.37096831171516</v>
      </c>
      <c r="BG21">
        <v>724.37195418327349</v>
      </c>
      <c r="BH21">
        <v>722.03289837993327</v>
      </c>
      <c r="BI21">
        <v>764.28222163691646</v>
      </c>
      <c r="BJ21">
        <v>791.39349492989822</v>
      </c>
      <c r="BK21">
        <v>823.01310224165923</v>
      </c>
      <c r="BL21">
        <v>868.4237316608336</v>
      </c>
      <c r="BM21">
        <v>958.13559949008379</v>
      </c>
      <c r="BN21">
        <v>1035.5385738493781</v>
      </c>
      <c r="BO21">
        <v>1104.777187648778</v>
      </c>
      <c r="BP21">
        <v>1149.984058423893</v>
      </c>
      <c r="BQ21">
        <v>1194.946813703873</v>
      </c>
    </row>
    <row r="22" spans="1:69" x14ac:dyDescent="0.25">
      <c r="A22" t="s">
        <v>1078</v>
      </c>
      <c r="B22" t="s">
        <v>1079</v>
      </c>
      <c r="C22" t="s">
        <v>1580</v>
      </c>
      <c r="D22" t="s">
        <v>1581</v>
      </c>
      <c r="AI22">
        <v>18687.725796097471</v>
      </c>
      <c r="AJ22">
        <v>19600.896359819821</v>
      </c>
      <c r="AK22">
        <v>20272.017855350012</v>
      </c>
      <c r="AL22">
        <v>20472.777919688979</v>
      </c>
      <c r="AM22">
        <v>21518.254138575579</v>
      </c>
      <c r="AN22">
        <v>22446.274807239141</v>
      </c>
      <c r="AO22">
        <v>22745.214586600741</v>
      </c>
      <c r="AP22">
        <v>23733.449348509439</v>
      </c>
      <c r="AQ22">
        <v>24370.372367152209</v>
      </c>
      <c r="AR22">
        <v>25440.84118886384</v>
      </c>
      <c r="AS22">
        <v>27794.051163086151</v>
      </c>
      <c r="AT22">
        <v>28793.51426435943</v>
      </c>
      <c r="AU22">
        <v>30282.288645028249</v>
      </c>
      <c r="AV22">
        <v>30930.628333474429</v>
      </c>
      <c r="AW22">
        <v>32059.687863779789</v>
      </c>
      <c r="AX22">
        <v>33177.890945815823</v>
      </c>
      <c r="AY22">
        <v>35251.445069759277</v>
      </c>
      <c r="AZ22">
        <v>36798.19188572593</v>
      </c>
      <c r="BA22">
        <v>37883.331941781937</v>
      </c>
      <c r="BB22">
        <v>37905.658312628962</v>
      </c>
      <c r="BC22">
        <v>39839.977277291822</v>
      </c>
      <c r="BD22">
        <v>41244.849503521291</v>
      </c>
      <c r="BE22">
        <v>42483.525066678783</v>
      </c>
      <c r="BF22">
        <v>43864.120419683823</v>
      </c>
      <c r="BG22">
        <v>45147.642953405673</v>
      </c>
      <c r="BH22">
        <v>46071.914889496024</v>
      </c>
      <c r="BI22">
        <v>48414.551806568117</v>
      </c>
      <c r="BJ22">
        <v>50256.063177278389</v>
      </c>
      <c r="BK22">
        <v>52466.733078459903</v>
      </c>
      <c r="BL22">
        <v>56712.469571978043</v>
      </c>
      <c r="BM22">
        <v>56120.095842046547</v>
      </c>
      <c r="BN22">
        <v>60669.213774653123</v>
      </c>
      <c r="BO22">
        <v>69128.138888384317</v>
      </c>
      <c r="BP22">
        <v>71946.144719029224</v>
      </c>
      <c r="BQ22">
        <v>73514.483104525832</v>
      </c>
    </row>
    <row r="23" spans="1:69" x14ac:dyDescent="0.25">
      <c r="A23" t="s">
        <v>1080</v>
      </c>
      <c r="B23" t="s">
        <v>1081</v>
      </c>
      <c r="C23" t="s">
        <v>1580</v>
      </c>
      <c r="D23" t="s">
        <v>1581</v>
      </c>
      <c r="AI23">
        <v>1186.116069026157</v>
      </c>
      <c r="AJ23">
        <v>1239.2249973474411</v>
      </c>
      <c r="AK23">
        <v>1265.252418750779</v>
      </c>
      <c r="AL23">
        <v>1311.344493388146</v>
      </c>
      <c r="AM23">
        <v>1316.244325391049</v>
      </c>
      <c r="AN23">
        <v>1395.2664444405871</v>
      </c>
      <c r="AO23">
        <v>1443.967712803694</v>
      </c>
      <c r="AP23">
        <v>1507.9241540042169</v>
      </c>
      <c r="AQ23">
        <v>1537.143825527578</v>
      </c>
      <c r="AR23">
        <v>1592.1378213944661</v>
      </c>
      <c r="AS23">
        <v>1671.357251728544</v>
      </c>
      <c r="AT23">
        <v>1745.9825622769549</v>
      </c>
      <c r="AU23">
        <v>1799.8826963949889</v>
      </c>
      <c r="AV23">
        <v>1841.602972838738</v>
      </c>
      <c r="AW23">
        <v>1915.346443463812</v>
      </c>
      <c r="AX23">
        <v>1945.564140522958</v>
      </c>
      <c r="AY23">
        <v>2020.605677347221</v>
      </c>
      <c r="AZ23">
        <v>2135.5378787372128</v>
      </c>
      <c r="BA23">
        <v>2215.3516385954172</v>
      </c>
      <c r="BB23">
        <v>2213.3289562080931</v>
      </c>
      <c r="BC23">
        <v>2220.3285461148921</v>
      </c>
      <c r="BD23">
        <v>2264.8418692638438</v>
      </c>
      <c r="BE23">
        <v>2346.0841620454689</v>
      </c>
      <c r="BF23">
        <v>2511.653095883325</v>
      </c>
      <c r="BG23">
        <v>2670.4156139918719</v>
      </c>
      <c r="BH23">
        <v>2725.33724817144</v>
      </c>
      <c r="BI23">
        <v>2842.0246258376051</v>
      </c>
      <c r="BJ23">
        <v>2885.8938398772111</v>
      </c>
      <c r="BK23">
        <v>2965.3062814366422</v>
      </c>
      <c r="BL23">
        <v>3148.9796959783848</v>
      </c>
      <c r="BM23">
        <v>3244.58772756805</v>
      </c>
      <c r="BN23">
        <v>3464.2886286745002</v>
      </c>
      <c r="BO23">
        <v>3844.1541574581552</v>
      </c>
      <c r="BP23">
        <v>4129.9661200141991</v>
      </c>
      <c r="BQ23">
        <v>4434.5642184028029</v>
      </c>
    </row>
    <row r="24" spans="1:69" x14ac:dyDescent="0.25">
      <c r="A24" t="s">
        <v>1082</v>
      </c>
      <c r="B24" t="s">
        <v>1083</v>
      </c>
      <c r="C24" t="s">
        <v>1580</v>
      </c>
      <c r="D24" t="s">
        <v>1581</v>
      </c>
      <c r="AI24">
        <v>566.94414729182279</v>
      </c>
      <c r="AJ24">
        <v>623.26800170847014</v>
      </c>
      <c r="AK24">
        <v>623.38499529254966</v>
      </c>
      <c r="AL24">
        <v>644.03546436099009</v>
      </c>
      <c r="AM24">
        <v>649.84240759873774</v>
      </c>
      <c r="AN24">
        <v>683.63915158119471</v>
      </c>
      <c r="AO24">
        <v>753.30916674030993</v>
      </c>
      <c r="AP24">
        <v>793.97084143548636</v>
      </c>
      <c r="AQ24">
        <v>838.07935529001065</v>
      </c>
      <c r="AR24">
        <v>886.43409065090293</v>
      </c>
      <c r="AS24">
        <v>896.47748151081475</v>
      </c>
      <c r="AT24">
        <v>947.91937467695266</v>
      </c>
      <c r="AU24">
        <v>973.98393338321762</v>
      </c>
      <c r="AV24">
        <v>1037.8379937465249</v>
      </c>
      <c r="AW24">
        <v>1079.0000914275131</v>
      </c>
      <c r="AX24">
        <v>1171.764323195875</v>
      </c>
      <c r="AY24">
        <v>1244.0024384431911</v>
      </c>
      <c r="AZ24">
        <v>1290.499510174245</v>
      </c>
      <c r="BA24">
        <v>1351.36041569133</v>
      </c>
      <c r="BB24">
        <v>1359.692249073021</v>
      </c>
      <c r="BC24">
        <v>1449.422163829209</v>
      </c>
      <c r="BD24">
        <v>1531.343382439816</v>
      </c>
      <c r="BE24">
        <v>1571.838844773145</v>
      </c>
      <c r="BF24">
        <v>1642.892131257765</v>
      </c>
      <c r="BG24">
        <v>1661.3177379375691</v>
      </c>
      <c r="BH24">
        <v>1691.5793538740811</v>
      </c>
      <c r="BI24">
        <v>1881.758931344066</v>
      </c>
      <c r="BJ24">
        <v>2042.4029525991659</v>
      </c>
      <c r="BK24">
        <v>2073.323538215504</v>
      </c>
      <c r="BL24">
        <v>2232.1628201658518</v>
      </c>
      <c r="BM24">
        <v>2380.7228278180219</v>
      </c>
      <c r="BN24">
        <v>2486.4309314776169</v>
      </c>
      <c r="BO24">
        <v>2645.2406799661089</v>
      </c>
      <c r="BP24">
        <v>2759.3020548460531</v>
      </c>
      <c r="BQ24">
        <v>2895.8915203366478</v>
      </c>
    </row>
    <row r="25" spans="1:69" x14ac:dyDescent="0.25">
      <c r="A25" t="s">
        <v>1084</v>
      </c>
      <c r="B25" t="s">
        <v>1085</v>
      </c>
      <c r="C25" t="s">
        <v>1580</v>
      </c>
      <c r="D25" t="s">
        <v>1581</v>
      </c>
      <c r="AI25">
        <v>940.65447083892957</v>
      </c>
      <c r="AJ25">
        <v>987.31319944819188</v>
      </c>
      <c r="AK25">
        <v>1044.8918861306181</v>
      </c>
      <c r="AL25">
        <v>1099.385888037978</v>
      </c>
      <c r="AM25">
        <v>1145.1101660869999</v>
      </c>
      <c r="AN25">
        <v>1206.366467051861</v>
      </c>
      <c r="AO25">
        <v>1260.754895215199</v>
      </c>
      <c r="AP25">
        <v>1315.4692332913639</v>
      </c>
      <c r="AQ25">
        <v>1372.95383934707</v>
      </c>
      <c r="AR25">
        <v>1429.986452518498</v>
      </c>
      <c r="AS25">
        <v>1511.905005888442</v>
      </c>
      <c r="AT25">
        <v>1597.587406144349</v>
      </c>
      <c r="AU25">
        <v>1658.802309345687</v>
      </c>
      <c r="AV25">
        <v>1746.1272578229809</v>
      </c>
      <c r="AW25">
        <v>1861.512562854547</v>
      </c>
      <c r="AX25">
        <v>2019.7383956343131</v>
      </c>
      <c r="AY25">
        <v>2195.294854609936</v>
      </c>
      <c r="AZ25">
        <v>2388.1002516035728</v>
      </c>
      <c r="BA25">
        <v>2554.8578823871908</v>
      </c>
      <c r="BB25">
        <v>2675.2594592678529</v>
      </c>
      <c r="BC25">
        <v>2833.6954436886422</v>
      </c>
      <c r="BD25">
        <v>3051.269832718111</v>
      </c>
      <c r="BE25">
        <v>3434.2781509044739</v>
      </c>
      <c r="BF25">
        <v>3691.1043110211672</v>
      </c>
      <c r="BG25">
        <v>3972.506477334905</v>
      </c>
      <c r="BH25">
        <v>4212.2357808942761</v>
      </c>
      <c r="BI25">
        <v>4579.1322868286197</v>
      </c>
      <c r="BJ25">
        <v>4882.6069261563907</v>
      </c>
      <c r="BK25">
        <v>5490.1588186517929</v>
      </c>
      <c r="BL25">
        <v>6047.1240150412523</v>
      </c>
      <c r="BM25">
        <v>6640.5843733106212</v>
      </c>
      <c r="BN25">
        <v>7441.0691396125412</v>
      </c>
      <c r="BO25">
        <v>8450.5490253394055</v>
      </c>
      <c r="BP25">
        <v>9147.7775066555023</v>
      </c>
      <c r="BQ25">
        <v>9646.7698438325478</v>
      </c>
    </row>
    <row r="26" spans="1:69" x14ac:dyDescent="0.25">
      <c r="A26" t="s">
        <v>1086</v>
      </c>
      <c r="B26" t="s">
        <v>1087</v>
      </c>
      <c r="C26" t="s">
        <v>1580</v>
      </c>
      <c r="D26" t="s">
        <v>1581</v>
      </c>
      <c r="AI26">
        <v>7612.8887366279268</v>
      </c>
      <c r="AJ26">
        <v>7277.3852644053541</v>
      </c>
      <c r="AK26">
        <v>6976.4419137108489</v>
      </c>
      <c r="AL26">
        <v>7092.4411146160937</v>
      </c>
      <c r="AM26">
        <v>7400.6623374688461</v>
      </c>
      <c r="AN26">
        <v>7809.4398970230413</v>
      </c>
      <c r="AO26">
        <v>6909.9168470439554</v>
      </c>
      <c r="AP26">
        <v>5801.0873866352003</v>
      </c>
      <c r="AQ26">
        <v>6216.878543118677</v>
      </c>
      <c r="AR26">
        <v>5853.4051141739237</v>
      </c>
      <c r="AS26">
        <v>6429.346121794455</v>
      </c>
      <c r="AT26">
        <v>6918.7154482933893</v>
      </c>
      <c r="AU26">
        <v>7636.750406349578</v>
      </c>
      <c r="AV26">
        <v>8120.6917199546506</v>
      </c>
      <c r="AW26">
        <v>8855.8015092780097</v>
      </c>
      <c r="AX26">
        <v>9891.9637831280797</v>
      </c>
      <c r="AY26">
        <v>10766.698266246311</v>
      </c>
      <c r="AZ26">
        <v>12053.98904848854</v>
      </c>
      <c r="BA26">
        <v>13429.675768261521</v>
      </c>
      <c r="BB26">
        <v>13312.03984203184</v>
      </c>
      <c r="BC26">
        <v>14119.533546547769</v>
      </c>
      <c r="BD26">
        <v>14953.963286605531</v>
      </c>
      <c r="BE26">
        <v>15468.93854260461</v>
      </c>
      <c r="BF26">
        <v>15829.59140810484</v>
      </c>
      <c r="BG26">
        <v>16878.911286805491</v>
      </c>
      <c r="BH26">
        <v>17652.947096756328</v>
      </c>
      <c r="BI26">
        <v>19348.048457081619</v>
      </c>
      <c r="BJ26">
        <v>20798.049501421028</v>
      </c>
      <c r="BK26">
        <v>22605.866039143581</v>
      </c>
      <c r="BL26">
        <v>25211.617732927691</v>
      </c>
      <c r="BM26">
        <v>25764.545347158892</v>
      </c>
      <c r="BN26">
        <v>29457.711331977411</v>
      </c>
      <c r="BO26">
        <v>34805.70148167554</v>
      </c>
      <c r="BP26">
        <v>38804.100900755999</v>
      </c>
      <c r="BQ26">
        <v>42224.444535951698</v>
      </c>
    </row>
    <row r="27" spans="1:69" x14ac:dyDescent="0.25">
      <c r="A27" t="s">
        <v>1088</v>
      </c>
      <c r="B27" t="s">
        <v>1089</v>
      </c>
      <c r="C27" t="s">
        <v>1580</v>
      </c>
      <c r="D27" t="s">
        <v>1581</v>
      </c>
      <c r="AI27">
        <v>26902.061145815951</v>
      </c>
      <c r="AJ27">
        <v>31657.364043885242</v>
      </c>
      <c r="AK27">
        <v>33648.226872634033</v>
      </c>
      <c r="AL27">
        <v>37869.504636622609</v>
      </c>
      <c r="AM27">
        <v>37579.168645987324</v>
      </c>
      <c r="AN27">
        <v>38839.436518371193</v>
      </c>
      <c r="AO27">
        <v>40105.847695237222</v>
      </c>
      <c r="AP27">
        <v>40965.345727806511</v>
      </c>
      <c r="AQ27">
        <v>42281.295205967261</v>
      </c>
      <c r="AR27">
        <v>43560.537746735448</v>
      </c>
      <c r="AS27">
        <v>45687.521740564727</v>
      </c>
      <c r="AT27">
        <v>46161.575846428823</v>
      </c>
      <c r="AU27">
        <v>45091.489421865619</v>
      </c>
      <c r="AV27">
        <v>45426.934593294442</v>
      </c>
      <c r="AW27">
        <v>46317.028480402463</v>
      </c>
      <c r="AX27">
        <v>47268.272161218803</v>
      </c>
      <c r="AY27">
        <v>48009.491742150392</v>
      </c>
      <c r="AZ27">
        <v>49347.494619614983</v>
      </c>
      <c r="BA27">
        <v>50330.324862252237</v>
      </c>
      <c r="BB27">
        <v>48625.656923159608</v>
      </c>
      <c r="BC27">
        <v>49254.577008423803</v>
      </c>
      <c r="BD27">
        <v>52677.451119066791</v>
      </c>
      <c r="BE27">
        <v>56712.569265615311</v>
      </c>
      <c r="BF27">
        <v>56310.311745818923</v>
      </c>
      <c r="BG27">
        <v>54299.056461322791</v>
      </c>
      <c r="BH27">
        <v>48034.246888050337</v>
      </c>
      <c r="BI27">
        <v>47428.901890764937</v>
      </c>
      <c r="BJ27">
        <v>50184.500576730134</v>
      </c>
      <c r="BK27">
        <v>51993.130781865177</v>
      </c>
      <c r="BL27">
        <v>56599.521436441137</v>
      </c>
      <c r="BM27">
        <v>53436.031699971172</v>
      </c>
      <c r="BN27">
        <v>54954.675789553228</v>
      </c>
      <c r="BO27">
        <v>61677.653849269504</v>
      </c>
      <c r="BP27">
        <v>64171.08573590521</v>
      </c>
      <c r="BQ27">
        <v>66941.243036798929</v>
      </c>
    </row>
    <row r="28" spans="1:69" x14ac:dyDescent="0.25">
      <c r="A28" t="s">
        <v>1090</v>
      </c>
      <c r="B28" t="s">
        <v>1091</v>
      </c>
      <c r="C28" t="s">
        <v>1580</v>
      </c>
      <c r="D28" t="s">
        <v>1581</v>
      </c>
      <c r="AI28">
        <v>19817.355935224448</v>
      </c>
      <c r="AJ28">
        <v>19296.123913384581</v>
      </c>
      <c r="AK28">
        <v>18635.914304788828</v>
      </c>
      <c r="AL28">
        <v>18780.885387984748</v>
      </c>
      <c r="AM28">
        <v>19440.9244516914</v>
      </c>
      <c r="AN28">
        <v>20377.336316079811</v>
      </c>
      <c r="AO28">
        <v>21287.355387474639</v>
      </c>
      <c r="AP28">
        <v>21606.245322086292</v>
      </c>
      <c r="AQ28">
        <v>22555.788190576459</v>
      </c>
      <c r="AR28">
        <v>24183.5876637041</v>
      </c>
      <c r="AS28">
        <v>25421.6229400308</v>
      </c>
      <c r="AT28">
        <v>26351.07602578033</v>
      </c>
      <c r="AU28">
        <v>27171.308413354109</v>
      </c>
      <c r="AV28">
        <v>27030.896935687699</v>
      </c>
      <c r="AW28">
        <v>27659.53795398994</v>
      </c>
      <c r="AX28">
        <v>29142.900217675789</v>
      </c>
      <c r="AY28">
        <v>30401.50768919562</v>
      </c>
      <c r="AZ28">
        <v>31232.131372440941</v>
      </c>
      <c r="BA28">
        <v>30678.626553148439</v>
      </c>
      <c r="BB28">
        <v>29196.617847429199</v>
      </c>
      <c r="BC28">
        <v>29624.975385096019</v>
      </c>
      <c r="BD28">
        <v>30073.676930596121</v>
      </c>
      <c r="BE28">
        <v>31035.55005688739</v>
      </c>
      <c r="BF28">
        <v>30294.476830520089</v>
      </c>
      <c r="BG28">
        <v>31726.17408738624</v>
      </c>
      <c r="BH28">
        <v>32137.578472990499</v>
      </c>
      <c r="BI28">
        <v>32285.27603660688</v>
      </c>
      <c r="BJ28">
        <v>34282.17103577908</v>
      </c>
      <c r="BK28">
        <v>35227.761906324289</v>
      </c>
      <c r="BL28">
        <v>36116.000202535317</v>
      </c>
      <c r="BM28">
        <v>27204.625909517959</v>
      </c>
      <c r="BN28">
        <v>31064.682216619422</v>
      </c>
      <c r="BO28">
        <v>36791.401046096376</v>
      </c>
      <c r="BP28">
        <v>39090.121473797597</v>
      </c>
      <c r="BQ28">
        <v>41197.934254847678</v>
      </c>
    </row>
    <row r="29" spans="1:69" x14ac:dyDescent="0.25">
      <c r="A29" t="s">
        <v>1092</v>
      </c>
      <c r="B29" t="s">
        <v>1093</v>
      </c>
      <c r="C29" t="s">
        <v>1580</v>
      </c>
      <c r="D29" t="s">
        <v>1581</v>
      </c>
      <c r="AI29">
        <v>1043.6096163455049</v>
      </c>
      <c r="AJ29">
        <v>975.92048927993596</v>
      </c>
      <c r="AK29">
        <v>983.25078371149675</v>
      </c>
      <c r="AL29">
        <v>1067.851011037985</v>
      </c>
      <c r="AM29">
        <v>1270.323146415979</v>
      </c>
      <c r="AN29">
        <v>1508.046470462393</v>
      </c>
      <c r="AO29">
        <v>2270.3959395082911</v>
      </c>
      <c r="AP29">
        <v>3043.4992022786241</v>
      </c>
      <c r="AQ29">
        <v>3526.6790526665468</v>
      </c>
      <c r="AR29">
        <v>3878.296530812378</v>
      </c>
      <c r="AS29">
        <v>4151.2716958213568</v>
      </c>
      <c r="AT29">
        <v>4280.9348776684092</v>
      </c>
      <c r="AU29">
        <v>4575.0201653521344</v>
      </c>
      <c r="AV29">
        <v>4744.472410569515</v>
      </c>
      <c r="AW29">
        <v>5204.8422016793356</v>
      </c>
      <c r="AX29">
        <v>5724.6519520614002</v>
      </c>
      <c r="AY29">
        <v>6484.2522485470872</v>
      </c>
      <c r="AZ29">
        <v>7225.8374160830454</v>
      </c>
      <c r="BA29">
        <v>8037.8227319093357</v>
      </c>
      <c r="BB29">
        <v>8161.0615408912818</v>
      </c>
      <c r="BC29">
        <v>8578.5887449876682</v>
      </c>
      <c r="BD29">
        <v>9269.6669252172433</v>
      </c>
      <c r="BE29">
        <v>9589.0718127647942</v>
      </c>
      <c r="BF29">
        <v>10127.44297497156</v>
      </c>
      <c r="BG29">
        <v>10477.6423312598</v>
      </c>
      <c r="BH29">
        <v>11066.1540688347</v>
      </c>
      <c r="BI29">
        <v>12030.25628259547</v>
      </c>
      <c r="BJ29">
        <v>12699.44752976438</v>
      </c>
      <c r="BK29">
        <v>13996.806305786529</v>
      </c>
      <c r="BL29">
        <v>15474.84558684022</v>
      </c>
      <c r="BM29">
        <v>15419.84030747297</v>
      </c>
      <c r="BN29">
        <v>17399.83732425882</v>
      </c>
      <c r="BO29">
        <v>20522.023755580001</v>
      </c>
      <c r="BP29">
        <v>23335.60388582071</v>
      </c>
      <c r="BQ29">
        <v>23345.496800010751</v>
      </c>
    </row>
    <row r="30" spans="1:69" x14ac:dyDescent="0.25">
      <c r="A30" t="s">
        <v>1094</v>
      </c>
      <c r="B30" t="s">
        <v>1095</v>
      </c>
      <c r="C30" t="s">
        <v>1580</v>
      </c>
      <c r="D30" t="s">
        <v>1581</v>
      </c>
      <c r="AI30">
        <v>5220.4747304404054</v>
      </c>
      <c r="AJ30">
        <v>5329.7978091160776</v>
      </c>
      <c r="AK30">
        <v>4917.1211564348987</v>
      </c>
      <c r="AL30">
        <v>4640.8566375856544</v>
      </c>
      <c r="AM30">
        <v>4190.3238904947084</v>
      </c>
      <c r="AN30">
        <v>3845.706820349501</v>
      </c>
      <c r="AO30">
        <v>4039.340425661871</v>
      </c>
      <c r="AP30">
        <v>4596.4861592153784</v>
      </c>
      <c r="AQ30">
        <v>5061.3349907514539</v>
      </c>
      <c r="AR30">
        <v>5331.4174357072234</v>
      </c>
      <c r="AS30">
        <v>5795.6522357386239</v>
      </c>
      <c r="AT30">
        <v>6238.0986237275674</v>
      </c>
      <c r="AU30">
        <v>6697.1543619360564</v>
      </c>
      <c r="AV30">
        <v>7361.7216107102558</v>
      </c>
      <c r="AW30">
        <v>8482.9202069850307</v>
      </c>
      <c r="AX30">
        <v>9636.8911238576311</v>
      </c>
      <c r="AY30">
        <v>10994.59812910409</v>
      </c>
      <c r="AZ30">
        <v>12320.024026428209</v>
      </c>
      <c r="BA30">
        <v>13886.131407256569</v>
      </c>
      <c r="BB30">
        <v>14034.19112044989</v>
      </c>
      <c r="BC30">
        <v>15339.09990359722</v>
      </c>
      <c r="BD30">
        <v>16563.201407820929</v>
      </c>
      <c r="BE30">
        <v>18114.750860670771</v>
      </c>
      <c r="BF30">
        <v>19014.052973769751</v>
      </c>
      <c r="BG30">
        <v>19037.88474401856</v>
      </c>
      <c r="BH30">
        <v>18133.531308588299</v>
      </c>
      <c r="BI30">
        <v>17832.477885581549</v>
      </c>
      <c r="BJ30">
        <v>18413.747563366978</v>
      </c>
      <c r="BK30">
        <v>20025.981554359802</v>
      </c>
      <c r="BL30">
        <v>22301.593241183931</v>
      </c>
      <c r="BM30">
        <v>24872.306674452841</v>
      </c>
      <c r="BN30">
        <v>27611.180113515711</v>
      </c>
      <c r="BO30">
        <v>28429.494882182658</v>
      </c>
      <c r="BP30">
        <v>30834.177366811109</v>
      </c>
      <c r="BQ30">
        <v>33010.330760535733</v>
      </c>
    </row>
    <row r="31" spans="1:69" x14ac:dyDescent="0.25">
      <c r="A31" t="s">
        <v>1096</v>
      </c>
      <c r="B31" t="s">
        <v>1097</v>
      </c>
      <c r="C31" t="s">
        <v>1580</v>
      </c>
      <c r="D31" t="s">
        <v>1581</v>
      </c>
      <c r="AI31">
        <v>4467.1093953892096</v>
      </c>
      <c r="AJ31">
        <v>5052.7372338673804</v>
      </c>
      <c r="AK31">
        <v>5705.7906493234332</v>
      </c>
      <c r="AL31">
        <v>6074.8947868265759</v>
      </c>
      <c r="AM31">
        <v>6072.6600374028258</v>
      </c>
      <c r="AN31">
        <v>6090.879636126434</v>
      </c>
      <c r="AO31">
        <v>6087.1488301866684</v>
      </c>
      <c r="AP31">
        <v>6242.5169843103786</v>
      </c>
      <c r="AQ31">
        <v>6333.3702135985204</v>
      </c>
      <c r="AR31">
        <v>6790.4306159900898</v>
      </c>
      <c r="AS31">
        <v>7543.7344717852538</v>
      </c>
      <c r="AT31">
        <v>7851.6216285667679</v>
      </c>
      <c r="AU31">
        <v>8153.6639262328481</v>
      </c>
      <c r="AV31">
        <v>8849.6462893954904</v>
      </c>
      <c r="AW31">
        <v>9244.9116615648527</v>
      </c>
      <c r="AX31">
        <v>9466.1427445400986</v>
      </c>
      <c r="AY31">
        <v>9909.6801444077682</v>
      </c>
      <c r="AZ31">
        <v>10225.986730897979</v>
      </c>
      <c r="BA31">
        <v>9975.08124355363</v>
      </c>
      <c r="BB31">
        <v>9727.9886850936182</v>
      </c>
      <c r="BC31">
        <v>9747.8256219459035</v>
      </c>
      <c r="BD31">
        <v>9721.8808455998806</v>
      </c>
      <c r="BE31">
        <v>9303.3785745522509</v>
      </c>
      <c r="BF31">
        <v>9525.8308903057823</v>
      </c>
      <c r="BG31">
        <v>9489.9122137138474</v>
      </c>
      <c r="BH31">
        <v>9538.3869114600875</v>
      </c>
      <c r="BI31">
        <v>9399.03567052789</v>
      </c>
      <c r="BJ31">
        <v>9120.6533834602906</v>
      </c>
      <c r="BK31">
        <v>9497.2348044341816</v>
      </c>
      <c r="BL31">
        <v>10499.96207319896</v>
      </c>
      <c r="BM31">
        <v>9638.8951369588904</v>
      </c>
      <c r="BN31">
        <v>11716.326781865549</v>
      </c>
      <c r="BO31">
        <v>13461.20984516128</v>
      </c>
      <c r="BP31">
        <v>13729.89205872096</v>
      </c>
      <c r="BQ31">
        <v>14346.51880497371</v>
      </c>
    </row>
    <row r="32" spans="1:69" x14ac:dyDescent="0.25">
      <c r="A32" t="s">
        <v>1098</v>
      </c>
      <c r="B32" t="s">
        <v>1099</v>
      </c>
      <c r="C32" t="s">
        <v>1580</v>
      </c>
      <c r="D32" t="s">
        <v>1581</v>
      </c>
      <c r="AI32">
        <v>35944.538350277231</v>
      </c>
      <c r="AJ32">
        <v>35583.991858800233</v>
      </c>
      <c r="AK32">
        <v>36109.732857215997</v>
      </c>
      <c r="AL32">
        <v>37812.99849190512</v>
      </c>
      <c r="AM32">
        <v>38603.853883773612</v>
      </c>
      <c r="AN32">
        <v>40917.610414649229</v>
      </c>
      <c r="AO32">
        <v>42545.120218723547</v>
      </c>
      <c r="AP32">
        <v>44995.78545705563</v>
      </c>
      <c r="AQ32">
        <v>46915.845836542809</v>
      </c>
      <c r="AR32">
        <v>48798.905012788447</v>
      </c>
      <c r="AS32">
        <v>54176.37774835599</v>
      </c>
      <c r="AT32">
        <v>59092.875970467809</v>
      </c>
      <c r="AU32">
        <v>58862.690798679498</v>
      </c>
      <c r="AV32">
        <v>61829.324011689707</v>
      </c>
      <c r="AW32">
        <v>64790.273919806103</v>
      </c>
      <c r="AX32">
        <v>67771.468375614146</v>
      </c>
      <c r="AY32">
        <v>73590.116070226475</v>
      </c>
      <c r="AZ32">
        <v>77894.06462138443</v>
      </c>
      <c r="BA32">
        <v>77556.435003892533</v>
      </c>
      <c r="BB32">
        <v>73336.987515154542</v>
      </c>
      <c r="BC32">
        <v>72188.692830458516</v>
      </c>
      <c r="BD32">
        <v>70911.542318724983</v>
      </c>
      <c r="BE32">
        <v>69149.050034268177</v>
      </c>
      <c r="BF32">
        <v>71519.639852658394</v>
      </c>
      <c r="BG32">
        <v>71988.538362782172</v>
      </c>
      <c r="BH32">
        <v>75943.464297092243</v>
      </c>
      <c r="BI32">
        <v>80412.18348954845</v>
      </c>
      <c r="BJ32">
        <v>85680.970191721673</v>
      </c>
      <c r="BK32">
        <v>85978.21772270088</v>
      </c>
      <c r="BL32">
        <v>90984.45767083182</v>
      </c>
      <c r="BM32">
        <v>85146.400627569587</v>
      </c>
      <c r="BN32">
        <v>92319.671486121879</v>
      </c>
      <c r="BO32">
        <v>105142.4099671833</v>
      </c>
      <c r="BP32">
        <v>114372.0499273725</v>
      </c>
      <c r="BQ32">
        <v>124252.83570258621</v>
      </c>
    </row>
    <row r="33" spans="1:69" x14ac:dyDescent="0.25">
      <c r="A33" t="s">
        <v>1100</v>
      </c>
      <c r="B33" t="s">
        <v>1101</v>
      </c>
      <c r="C33" t="s">
        <v>1580</v>
      </c>
      <c r="D33" t="s">
        <v>1581</v>
      </c>
      <c r="AI33">
        <v>2796.6582759069029</v>
      </c>
      <c r="AJ33">
        <v>2980.73517857457</v>
      </c>
      <c r="AK33">
        <v>3036.280118082394</v>
      </c>
      <c r="AL33">
        <v>3177.2964026785248</v>
      </c>
      <c r="AM33">
        <v>3331.486943172079</v>
      </c>
      <c r="AN33">
        <v>3493.8370921627402</v>
      </c>
      <c r="AO33">
        <v>3644.900183853621</v>
      </c>
      <c r="AP33">
        <v>3821.807365323054</v>
      </c>
      <c r="AQ33">
        <v>3988.0923059434472</v>
      </c>
      <c r="AR33">
        <v>3991.4966633634072</v>
      </c>
      <c r="AS33">
        <v>4113.0424515049599</v>
      </c>
      <c r="AT33">
        <v>4204.9362274850519</v>
      </c>
      <c r="AU33">
        <v>4303.8351466130161</v>
      </c>
      <c r="AV33">
        <v>4432.920852696192</v>
      </c>
      <c r="AW33">
        <v>4662.9707771429257</v>
      </c>
      <c r="AX33">
        <v>4937.8699768248634</v>
      </c>
      <c r="AY33">
        <v>5244.160212302093</v>
      </c>
      <c r="AZ33">
        <v>5536.5681565365794</v>
      </c>
      <c r="BA33">
        <v>5889.9433908197561</v>
      </c>
      <c r="BB33">
        <v>6024.0594739794187</v>
      </c>
      <c r="BC33">
        <v>6245.3386319767078</v>
      </c>
      <c r="BD33">
        <v>6597.9621760486743</v>
      </c>
      <c r="BE33">
        <v>7183.8260245210686</v>
      </c>
      <c r="BF33">
        <v>8068.7201723077642</v>
      </c>
      <c r="BG33">
        <v>8628.9426612859843</v>
      </c>
      <c r="BH33">
        <v>8757.3177711540648</v>
      </c>
      <c r="BI33">
        <v>9242.0272832359897</v>
      </c>
      <c r="BJ33">
        <v>10420.39232509334</v>
      </c>
      <c r="BK33">
        <v>10758.407559400321</v>
      </c>
      <c r="BL33">
        <v>11005.354116915611</v>
      </c>
      <c r="BM33">
        <v>9580.9896208165792</v>
      </c>
      <c r="BN33">
        <v>11202.440983670709</v>
      </c>
      <c r="BO33">
        <v>12306.72931286954</v>
      </c>
      <c r="BP33">
        <v>12892.12495787769</v>
      </c>
      <c r="BQ33">
        <v>12877.635118437231</v>
      </c>
    </row>
    <row r="34" spans="1:69" x14ac:dyDescent="0.25">
      <c r="A34" t="s">
        <v>1102</v>
      </c>
      <c r="B34" t="s">
        <v>1103</v>
      </c>
      <c r="C34" t="s">
        <v>1580</v>
      </c>
      <c r="D34" t="s">
        <v>1581</v>
      </c>
      <c r="AI34">
        <v>6687.9229483876816</v>
      </c>
      <c r="AJ34">
        <v>6866.6303805972811</v>
      </c>
      <c r="AK34">
        <v>6869.4100055104882</v>
      </c>
      <c r="AL34">
        <v>7259.9888568347624</v>
      </c>
      <c r="AM34">
        <v>7727.2454173890383</v>
      </c>
      <c r="AN34">
        <v>8096.911491946862</v>
      </c>
      <c r="AO34">
        <v>8300.6341415454281</v>
      </c>
      <c r="AP34">
        <v>8601.6090305746511</v>
      </c>
      <c r="AQ34">
        <v>8598.8056922259584</v>
      </c>
      <c r="AR34">
        <v>8634.6078457702897</v>
      </c>
      <c r="AS34">
        <v>9091.7685134927142</v>
      </c>
      <c r="AT34">
        <v>9303.6452920866577</v>
      </c>
      <c r="AU34">
        <v>9616.5948548626766</v>
      </c>
      <c r="AV34">
        <v>9801.9621245505041</v>
      </c>
      <c r="AW34">
        <v>10525.71137824538</v>
      </c>
      <c r="AX34">
        <v>11081.2474735736</v>
      </c>
      <c r="AY34">
        <v>11750.531243766771</v>
      </c>
      <c r="AZ34">
        <v>12672.505115807789</v>
      </c>
      <c r="BA34">
        <v>13445.245469844211</v>
      </c>
      <c r="BB34">
        <v>13390.683131328549</v>
      </c>
      <c r="BC34">
        <v>14451.71583881094</v>
      </c>
      <c r="BD34">
        <v>15211.7920390047</v>
      </c>
      <c r="BE34">
        <v>15198.086330970969</v>
      </c>
      <c r="BF34">
        <v>15722.33352437008</v>
      </c>
      <c r="BG34">
        <v>15827.30816257488</v>
      </c>
      <c r="BH34">
        <v>14821.43831751833</v>
      </c>
      <c r="BI34">
        <v>14309.20614883423</v>
      </c>
      <c r="BJ34">
        <v>14559.048889788401</v>
      </c>
      <c r="BK34">
        <v>15463.74263937431</v>
      </c>
      <c r="BL34">
        <v>16069.838015161051</v>
      </c>
      <c r="BM34">
        <v>16101.618306295421</v>
      </c>
      <c r="BN34">
        <v>18075.706004875679</v>
      </c>
      <c r="BO34">
        <v>19876.85335313965</v>
      </c>
      <c r="BP34">
        <v>21175.618698821421</v>
      </c>
      <c r="BQ34">
        <v>22338.476564063541</v>
      </c>
    </row>
    <row r="35" spans="1:69" x14ac:dyDescent="0.25">
      <c r="A35" t="s">
        <v>1104</v>
      </c>
      <c r="B35" t="s">
        <v>1105</v>
      </c>
      <c r="C35" t="s">
        <v>1580</v>
      </c>
      <c r="D35" t="s">
        <v>1581</v>
      </c>
      <c r="AI35">
        <v>11687.16614533029</v>
      </c>
      <c r="AJ35">
        <v>11575.791302205829</v>
      </c>
      <c r="AK35">
        <v>11127.262614641581</v>
      </c>
      <c r="AL35">
        <v>11447.92457087858</v>
      </c>
      <c r="AM35">
        <v>11900.433067810391</v>
      </c>
      <c r="AN35">
        <v>12374.828785282891</v>
      </c>
      <c r="AO35">
        <v>13090.234726818489</v>
      </c>
      <c r="AP35">
        <v>13941.419080575781</v>
      </c>
      <c r="AQ35">
        <v>14621.2927777722</v>
      </c>
      <c r="AR35">
        <v>14873.2313078312</v>
      </c>
      <c r="AS35">
        <v>15914.084757068071</v>
      </c>
      <c r="AT35">
        <v>15865.586355858481</v>
      </c>
      <c r="AU35">
        <v>16133.07928819492</v>
      </c>
      <c r="AV35">
        <v>16706.532485377429</v>
      </c>
      <c r="AW35">
        <v>17298.892258221222</v>
      </c>
      <c r="AX35">
        <v>18449.810885323419</v>
      </c>
      <c r="AY35">
        <v>20076.485130396839</v>
      </c>
      <c r="AZ35">
        <v>20949.364913845598</v>
      </c>
      <c r="BA35">
        <v>21375.90076590253</v>
      </c>
      <c r="BB35">
        <v>20323.636702271149</v>
      </c>
      <c r="BC35">
        <v>20032.581857083791</v>
      </c>
      <c r="BD35">
        <v>20316.292535684559</v>
      </c>
      <c r="BE35">
        <v>19605.01692480706</v>
      </c>
      <c r="BF35">
        <v>19032.46540713729</v>
      </c>
      <c r="BG35">
        <v>18594.900182833509</v>
      </c>
      <c r="BH35">
        <v>19185.518640792419</v>
      </c>
      <c r="BI35">
        <v>19175.570190422051</v>
      </c>
      <c r="BJ35">
        <v>18436.805080318642</v>
      </c>
      <c r="BK35">
        <v>19777.059323466179</v>
      </c>
      <c r="BL35">
        <v>19971.11856987172</v>
      </c>
      <c r="BM35">
        <v>16555.362214523509</v>
      </c>
      <c r="BN35">
        <v>17682.731453748311</v>
      </c>
      <c r="BO35">
        <v>22193.248712578941</v>
      </c>
      <c r="BP35">
        <v>23660.404751292859</v>
      </c>
      <c r="BQ35">
        <v>24822.534330990831</v>
      </c>
    </row>
    <row r="36" spans="1:69" x14ac:dyDescent="0.25">
      <c r="A36" t="s">
        <v>1106</v>
      </c>
      <c r="B36" t="s">
        <v>1107</v>
      </c>
      <c r="C36" t="s">
        <v>1580</v>
      </c>
      <c r="D36" t="s">
        <v>1581</v>
      </c>
      <c r="AI36">
        <v>70200.740642661825</v>
      </c>
      <c r="AJ36">
        <v>72609.806136074694</v>
      </c>
      <c r="AK36">
        <v>70015.771025362628</v>
      </c>
      <c r="AL36">
        <v>69387.256378297767</v>
      </c>
      <c r="AM36">
        <v>69778.577125405762</v>
      </c>
      <c r="AN36">
        <v>70440.022111509446</v>
      </c>
      <c r="AO36">
        <v>70007.641287900318</v>
      </c>
      <c r="AP36">
        <v>73980.411244391071</v>
      </c>
      <c r="AQ36">
        <v>68256.869992149077</v>
      </c>
      <c r="AR36">
        <v>70584.609538741992</v>
      </c>
      <c r="AS36">
        <v>73086.931825752108</v>
      </c>
      <c r="AT36">
        <v>74253.881783985009</v>
      </c>
      <c r="AU36">
        <v>76838.17576529285</v>
      </c>
      <c r="AV36">
        <v>79632.172233626348</v>
      </c>
      <c r="AW36">
        <v>80403.757909398671</v>
      </c>
      <c r="AX36">
        <v>81534.171539930045</v>
      </c>
      <c r="AY36">
        <v>86114.337062763778</v>
      </c>
      <c r="AZ36">
        <v>83693.321374772917</v>
      </c>
      <c r="BA36">
        <v>80476.724757581149</v>
      </c>
      <c r="BB36">
        <v>77957.144276409803</v>
      </c>
      <c r="BC36">
        <v>79542.677943168004</v>
      </c>
      <c r="BD36">
        <v>82735.391448056136</v>
      </c>
      <c r="BE36">
        <v>87256.042236945403</v>
      </c>
      <c r="BF36">
        <v>83237.147087965393</v>
      </c>
      <c r="BG36">
        <v>81225.54854497932</v>
      </c>
      <c r="BH36">
        <v>62707.826443774102</v>
      </c>
      <c r="BI36">
        <v>56679.518522140737</v>
      </c>
      <c r="BJ36">
        <v>61657.680272544378</v>
      </c>
      <c r="BK36">
        <v>65148.82640355215</v>
      </c>
      <c r="BL36">
        <v>69353.679951484854</v>
      </c>
      <c r="BM36">
        <v>69787.96327957169</v>
      </c>
      <c r="BN36">
        <v>78248.797127611004</v>
      </c>
      <c r="BO36">
        <v>81801.745922440299</v>
      </c>
      <c r="BP36">
        <v>85032.600874199488</v>
      </c>
      <c r="BQ36">
        <v>89879.36149807577</v>
      </c>
    </row>
    <row r="37" spans="1:69" x14ac:dyDescent="0.25">
      <c r="A37" t="s">
        <v>1108</v>
      </c>
      <c r="B37" t="s">
        <v>1109</v>
      </c>
      <c r="C37" t="s">
        <v>1580</v>
      </c>
      <c r="D37" t="s">
        <v>1581</v>
      </c>
      <c r="AI37">
        <v>1637.871812110265</v>
      </c>
      <c r="AJ37">
        <v>1656.84173576743</v>
      </c>
      <c r="AK37">
        <v>1840.0903477572181</v>
      </c>
      <c r="AL37">
        <v>2001.1346716964081</v>
      </c>
      <c r="AM37">
        <v>2145.7456674600148</v>
      </c>
      <c r="AN37">
        <v>2373.568467139507</v>
      </c>
      <c r="AO37">
        <v>2547.838122030646</v>
      </c>
      <c r="AP37">
        <v>2682.5947815051031</v>
      </c>
      <c r="AQ37">
        <v>2818.995725274377</v>
      </c>
      <c r="AR37">
        <v>3017.4887625366591</v>
      </c>
      <c r="AS37">
        <v>3113.0454392639958</v>
      </c>
      <c r="AT37">
        <v>3338.492468934478</v>
      </c>
      <c r="AU37">
        <v>3662.8090717759869</v>
      </c>
      <c r="AV37">
        <v>3942.2814458004932</v>
      </c>
      <c r="AW37">
        <v>4172.7821711984943</v>
      </c>
      <c r="AX37">
        <v>4523.3597064452897</v>
      </c>
      <c r="AY37">
        <v>4860.2701715110179</v>
      </c>
      <c r="AZ37">
        <v>5728.9156947102183</v>
      </c>
      <c r="BA37">
        <v>6035.2174114785448</v>
      </c>
      <c r="BB37">
        <v>6466.0974491582974</v>
      </c>
      <c r="BC37">
        <v>7245.7726352240379</v>
      </c>
      <c r="BD37">
        <v>7935.4676097308784</v>
      </c>
      <c r="BE37">
        <v>8577.4073190100371</v>
      </c>
      <c r="BF37">
        <v>8666.9106359006855</v>
      </c>
      <c r="BG37">
        <v>9323.3944894138604</v>
      </c>
      <c r="BH37">
        <v>10213.81396089217</v>
      </c>
      <c r="BI37">
        <v>11273.28238076757</v>
      </c>
      <c r="BJ37">
        <v>11677.41426599743</v>
      </c>
      <c r="BK37">
        <v>11969.561500330539</v>
      </c>
      <c r="BL37">
        <v>12909.10098403986</v>
      </c>
      <c r="BM37">
        <v>12475.048003427981</v>
      </c>
      <c r="BN37">
        <v>13458.812666742981</v>
      </c>
      <c r="BO37">
        <v>15063.81057630722</v>
      </c>
      <c r="BP37">
        <v>16215.15200731529</v>
      </c>
    </row>
    <row r="38" spans="1:69" x14ac:dyDescent="0.25">
      <c r="A38" t="s">
        <v>1110</v>
      </c>
      <c r="B38" t="s">
        <v>1111</v>
      </c>
      <c r="C38" t="s">
        <v>1580</v>
      </c>
      <c r="D38" t="s">
        <v>1581</v>
      </c>
      <c r="AI38">
        <v>6103.6161214538533</v>
      </c>
      <c r="AJ38">
        <v>6598.4433994379033</v>
      </c>
      <c r="AK38">
        <v>6753.0324913138938</v>
      </c>
      <c r="AL38">
        <v>6846.7063833480861</v>
      </c>
      <c r="AM38">
        <v>7048.5165393498373</v>
      </c>
      <c r="AN38">
        <v>7502.7789423853264</v>
      </c>
      <c r="AO38">
        <v>7890.3514420626234</v>
      </c>
      <c r="AP38">
        <v>8496.7666517110156</v>
      </c>
      <c r="AQ38">
        <v>8441.2834704035686</v>
      </c>
      <c r="AR38">
        <v>9187.6456637048977</v>
      </c>
      <c r="AS38">
        <v>9380.3760725397169</v>
      </c>
      <c r="AT38">
        <v>9419.7939074378537</v>
      </c>
      <c r="AU38">
        <v>9957.7405593514941</v>
      </c>
      <c r="AV38">
        <v>10438.75803334485</v>
      </c>
      <c r="AW38">
        <v>10818.15865031668</v>
      </c>
      <c r="AX38">
        <v>11458.227096796851</v>
      </c>
      <c r="AY38">
        <v>12562.96499327229</v>
      </c>
      <c r="AZ38">
        <v>13388.737913847521</v>
      </c>
      <c r="BA38">
        <v>13810.355526135991</v>
      </c>
      <c r="BB38">
        <v>11686.18466396572</v>
      </c>
      <c r="BC38">
        <v>12753.306634011749</v>
      </c>
      <c r="BD38">
        <v>13635.426766614581</v>
      </c>
      <c r="BE38">
        <v>12736.58338910044</v>
      </c>
      <c r="BF38">
        <v>13621.14947266954</v>
      </c>
      <c r="BG38">
        <v>15003.31975183493</v>
      </c>
      <c r="BH38">
        <v>14143.694073372761</v>
      </c>
      <c r="BI38">
        <v>16228.1231235664</v>
      </c>
      <c r="BJ38">
        <v>15700.66504796411</v>
      </c>
      <c r="BK38">
        <v>15785.81963378099</v>
      </c>
      <c r="BL38">
        <v>15960.01561439028</v>
      </c>
      <c r="BM38">
        <v>15292.262467325199</v>
      </c>
      <c r="BN38">
        <v>17960.625444743731</v>
      </c>
      <c r="BO38">
        <v>19976.834379447351</v>
      </c>
      <c r="BP38">
        <v>21012.103199249981</v>
      </c>
      <c r="BQ38">
        <v>20538.132017888911</v>
      </c>
    </row>
    <row r="39" spans="1:69" x14ac:dyDescent="0.25">
      <c r="A39" t="s">
        <v>1112</v>
      </c>
      <c r="B39" t="s">
        <v>1113</v>
      </c>
      <c r="C39" t="s">
        <v>1580</v>
      </c>
      <c r="D39" t="s">
        <v>1581</v>
      </c>
      <c r="AI39">
        <v>620.39117650520177</v>
      </c>
      <c r="AJ39">
        <v>618.1795179343984</v>
      </c>
      <c r="AK39">
        <v>573.15058928748715</v>
      </c>
      <c r="AL39">
        <v>570.24563784704185</v>
      </c>
      <c r="AM39">
        <v>592.18543758180977</v>
      </c>
      <c r="AN39">
        <v>630.69168138974237</v>
      </c>
      <c r="AO39">
        <v>600.77296786462432</v>
      </c>
      <c r="AP39">
        <v>626.07845383545612</v>
      </c>
      <c r="AQ39">
        <v>645.12999441536078</v>
      </c>
      <c r="AR39">
        <v>659.52456304695738</v>
      </c>
      <c r="AS39">
        <v>639.83699702226716</v>
      </c>
      <c r="AT39">
        <v>668.44593928347319</v>
      </c>
      <c r="AU39">
        <v>688.18045108871968</v>
      </c>
      <c r="AV39">
        <v>648.19321539733096</v>
      </c>
      <c r="AW39">
        <v>690.42651402775505</v>
      </c>
      <c r="AX39">
        <v>702.46062459123209</v>
      </c>
      <c r="AY39">
        <v>743.28748020898274</v>
      </c>
      <c r="AZ39">
        <v>783.35544528092839</v>
      </c>
      <c r="BA39">
        <v>797.65280616607731</v>
      </c>
      <c r="BB39">
        <v>877.25213110487834</v>
      </c>
      <c r="BC39">
        <v>936.48549737146811</v>
      </c>
      <c r="BD39">
        <v>980.18552095185157</v>
      </c>
      <c r="BE39">
        <v>1062.0680994104889</v>
      </c>
      <c r="BF39">
        <v>709.85348124544601</v>
      </c>
      <c r="BG39">
        <v>698.96373892307224</v>
      </c>
      <c r="BH39">
        <v>768.87088799917353</v>
      </c>
      <c r="BI39">
        <v>826.01330138316871</v>
      </c>
      <c r="BJ39">
        <v>883.81073487606591</v>
      </c>
      <c r="BK39">
        <v>905.8177889410938</v>
      </c>
      <c r="BL39">
        <v>984.84318367885692</v>
      </c>
      <c r="BM39">
        <v>1066.290054231509</v>
      </c>
      <c r="BN39">
        <v>1128.552379964586</v>
      </c>
      <c r="BO39">
        <v>1217.8497714115499</v>
      </c>
      <c r="BP39">
        <v>1257.094357171145</v>
      </c>
      <c r="BQ39">
        <v>1263.10234213699</v>
      </c>
    </row>
    <row r="40" spans="1:69" x14ac:dyDescent="0.25">
      <c r="A40" t="s">
        <v>1114</v>
      </c>
      <c r="B40" t="s">
        <v>1115</v>
      </c>
      <c r="C40" t="s">
        <v>1580</v>
      </c>
      <c r="D40" t="s">
        <v>1581</v>
      </c>
      <c r="AI40">
        <v>20225.960108079849</v>
      </c>
      <c r="AJ40">
        <v>20219.88392620231</v>
      </c>
      <c r="AK40">
        <v>20619.29925382472</v>
      </c>
      <c r="AL40">
        <v>21432.212961783051</v>
      </c>
      <c r="AM40">
        <v>22624.41508184034</v>
      </c>
      <c r="AN40">
        <v>23474.200375394648</v>
      </c>
      <c r="AO40">
        <v>24054.91661855717</v>
      </c>
      <c r="AP40">
        <v>25263.86886974168</v>
      </c>
      <c r="AQ40">
        <v>26323.628114422281</v>
      </c>
      <c r="AR40">
        <v>27841.353349657471</v>
      </c>
      <c r="AS40">
        <v>29347.78798021255</v>
      </c>
      <c r="AT40">
        <v>30241.032653082719</v>
      </c>
      <c r="AU40">
        <v>30963.92188566842</v>
      </c>
      <c r="AV40">
        <v>32349.882957742739</v>
      </c>
      <c r="AW40">
        <v>33929.293683278593</v>
      </c>
      <c r="AX40">
        <v>36328.378994377053</v>
      </c>
      <c r="AY40">
        <v>38122.648589039018</v>
      </c>
      <c r="AZ40">
        <v>39572.930442847814</v>
      </c>
      <c r="BA40">
        <v>40376.088283638397</v>
      </c>
      <c r="BB40">
        <v>38863.248556063649</v>
      </c>
      <c r="BC40">
        <v>40103.111439967339</v>
      </c>
      <c r="BD40">
        <v>41666.837459027847</v>
      </c>
      <c r="BE40">
        <v>42291.972935709433</v>
      </c>
      <c r="BF40">
        <v>44301.056252913259</v>
      </c>
      <c r="BG40">
        <v>45758.100729730439</v>
      </c>
      <c r="BH40">
        <v>44668.091281430337</v>
      </c>
      <c r="BI40">
        <v>46470.646639110877</v>
      </c>
      <c r="BJ40">
        <v>48317.387445716289</v>
      </c>
      <c r="BK40">
        <v>49982.599911834579</v>
      </c>
      <c r="BL40">
        <v>50498.973105744823</v>
      </c>
      <c r="BM40">
        <v>48590.683212193901</v>
      </c>
      <c r="BN40">
        <v>56995.117678135117</v>
      </c>
      <c r="BO40">
        <v>63944.105010068677</v>
      </c>
      <c r="BP40">
        <v>64219.317392863653</v>
      </c>
      <c r="BQ40">
        <v>64610.379517197107</v>
      </c>
    </row>
    <row r="41" spans="1:69" x14ac:dyDescent="0.25">
      <c r="A41" t="s">
        <v>1116</v>
      </c>
      <c r="B41" t="s">
        <v>1117</v>
      </c>
      <c r="C41" t="s">
        <v>1580</v>
      </c>
      <c r="D41" t="s">
        <v>1581</v>
      </c>
      <c r="AI41">
        <v>7559.2959816367866</v>
      </c>
      <c r="AJ41">
        <v>7002.1451979929279</v>
      </c>
      <c r="AK41">
        <v>6855.9477467091037</v>
      </c>
      <c r="AL41">
        <v>7046.7623745918609</v>
      </c>
      <c r="AM41">
        <v>7464.2186241849267</v>
      </c>
      <c r="AN41">
        <v>8041.4303613504289</v>
      </c>
      <c r="AO41">
        <v>8448.2926797016025</v>
      </c>
      <c r="AP41">
        <v>8747.1831336208434</v>
      </c>
      <c r="AQ41">
        <v>9131.9248928239231</v>
      </c>
      <c r="AR41">
        <v>9436.4771885568698</v>
      </c>
      <c r="AS41">
        <v>10039.96847788163</v>
      </c>
      <c r="AT41">
        <v>10803.855564431349</v>
      </c>
      <c r="AU41">
        <v>11581.856263314199</v>
      </c>
      <c r="AV41">
        <v>12224.316581764289</v>
      </c>
      <c r="AW41">
        <v>13352.39759829457</v>
      </c>
      <c r="AX41">
        <v>14151.306479307121</v>
      </c>
      <c r="AY41">
        <v>15652.678228575031</v>
      </c>
      <c r="AZ41">
        <v>17428.119254963749</v>
      </c>
      <c r="BA41">
        <v>19277.478854653611</v>
      </c>
      <c r="BB41">
        <v>19340.638480498568</v>
      </c>
      <c r="BC41">
        <v>20519.421154305779</v>
      </c>
      <c r="BD41">
        <v>22029.662746231719</v>
      </c>
      <c r="BE41">
        <v>22793.320182689949</v>
      </c>
      <c r="BF41">
        <v>23498.587167889091</v>
      </c>
      <c r="BG41">
        <v>24592.463697664309</v>
      </c>
      <c r="BH41">
        <v>25780.238867344789</v>
      </c>
      <c r="BI41">
        <v>27391.745727925299</v>
      </c>
      <c r="BJ41">
        <v>29450.309343452809</v>
      </c>
      <c r="BK41">
        <v>31818.237798321989</v>
      </c>
      <c r="BL41">
        <v>35317.262704579931</v>
      </c>
      <c r="BM41">
        <v>35902.856395403353</v>
      </c>
      <c r="BN41">
        <v>39608.254653029537</v>
      </c>
      <c r="BO41">
        <v>44932.363941164549</v>
      </c>
      <c r="BP41">
        <v>48196.206152065992</v>
      </c>
      <c r="BQ41">
        <v>50599.211687955547</v>
      </c>
    </row>
    <row r="42" spans="1:69" x14ac:dyDescent="0.25">
      <c r="A42" t="s">
        <v>1118</v>
      </c>
      <c r="B42" t="s">
        <v>1119</v>
      </c>
      <c r="C42" t="s">
        <v>1580</v>
      </c>
      <c r="D42" t="s">
        <v>1581</v>
      </c>
      <c r="AI42">
        <v>28461.237765881069</v>
      </c>
      <c r="AJ42">
        <v>28792.166512970442</v>
      </c>
      <c r="AK42">
        <v>29112.65970433758</v>
      </c>
      <c r="AL42">
        <v>29495.334321615479</v>
      </c>
      <c r="AM42">
        <v>30265.411921566749</v>
      </c>
      <c r="AN42">
        <v>30841.77713749561</v>
      </c>
      <c r="AO42">
        <v>31509.479544781891</v>
      </c>
      <c r="AP42">
        <v>32735.680385358759</v>
      </c>
      <c r="AQ42">
        <v>33859.894928811947</v>
      </c>
      <c r="AR42">
        <v>34742.631863155482</v>
      </c>
      <c r="AS42">
        <v>36703.066164663047</v>
      </c>
      <c r="AT42">
        <v>37818.907451737381</v>
      </c>
      <c r="AU42">
        <v>38704.958459724243</v>
      </c>
      <c r="AV42">
        <v>38732.38495132135</v>
      </c>
      <c r="AW42">
        <v>40171.180574627913</v>
      </c>
      <c r="AX42">
        <v>41524.848873293216</v>
      </c>
      <c r="AY42">
        <v>46265.682067927119</v>
      </c>
      <c r="AZ42">
        <v>50927.630857566</v>
      </c>
      <c r="BA42">
        <v>53808.784112706591</v>
      </c>
      <c r="BB42">
        <v>52998.988463519992</v>
      </c>
      <c r="BC42">
        <v>54426.28280927895</v>
      </c>
      <c r="BD42">
        <v>57493.581055921073</v>
      </c>
      <c r="BE42">
        <v>59440.915860766581</v>
      </c>
      <c r="BF42">
        <v>61656.46617085157</v>
      </c>
      <c r="BG42">
        <v>63417.043811031886</v>
      </c>
      <c r="BH42">
        <v>65265.045733559971</v>
      </c>
      <c r="BI42">
        <v>67350.751874775699</v>
      </c>
      <c r="BJ42">
        <v>68193.50559402621</v>
      </c>
      <c r="BK42">
        <v>70688.818749119411</v>
      </c>
      <c r="BL42">
        <v>73732.23533220934</v>
      </c>
      <c r="BM42">
        <v>72997.823950328209</v>
      </c>
      <c r="BN42">
        <v>81001.411120611752</v>
      </c>
      <c r="BO42">
        <v>94421.457655042395</v>
      </c>
      <c r="BP42">
        <v>95141.596094363238</v>
      </c>
      <c r="BQ42">
        <v>96497.694797132295</v>
      </c>
    </row>
    <row r="43" spans="1:69" x14ac:dyDescent="0.25">
      <c r="A43" t="s">
        <v>1120</v>
      </c>
      <c r="B43" t="s">
        <v>1121</v>
      </c>
      <c r="C43" t="s">
        <v>1580</v>
      </c>
      <c r="D43" t="s">
        <v>1581</v>
      </c>
    </row>
    <row r="44" spans="1:69" x14ac:dyDescent="0.25">
      <c r="A44" t="s">
        <v>1122</v>
      </c>
      <c r="B44" t="s">
        <v>1123</v>
      </c>
      <c r="C44" t="s">
        <v>1580</v>
      </c>
      <c r="D44" t="s">
        <v>1581</v>
      </c>
      <c r="AI44">
        <v>4444.4667266395954</v>
      </c>
      <c r="AJ44">
        <v>4885.5152251194986</v>
      </c>
      <c r="AK44">
        <v>5563.1812548506932</v>
      </c>
      <c r="AL44">
        <v>6060.8062458952536</v>
      </c>
      <c r="AM44">
        <v>6475.5425256800299</v>
      </c>
      <c r="AN44">
        <v>7231.5900088511908</v>
      </c>
      <c r="AO44">
        <v>7895.1982757674859</v>
      </c>
      <c r="AP44">
        <v>8510.4138008286973</v>
      </c>
      <c r="AQ44">
        <v>8850.0810606696941</v>
      </c>
      <c r="AR44">
        <v>8838.8615467299296</v>
      </c>
      <c r="AS44">
        <v>9375.6599108875835</v>
      </c>
      <c r="AT44">
        <v>9775.5101624192503</v>
      </c>
      <c r="AU44">
        <v>10132.91077039244</v>
      </c>
      <c r="AV44">
        <v>10708.3644963118</v>
      </c>
      <c r="AW44">
        <v>11612.43687807792</v>
      </c>
      <c r="AX44">
        <v>12550.434800764529</v>
      </c>
      <c r="AY44">
        <v>15510.77007394519</v>
      </c>
      <c r="AZ44">
        <v>16697.516021741591</v>
      </c>
      <c r="BA44">
        <v>16375.96485360115</v>
      </c>
      <c r="BB44">
        <v>15951.33048778784</v>
      </c>
      <c r="BC44">
        <v>17917.895121709669</v>
      </c>
      <c r="BD44">
        <v>20121.68342142093</v>
      </c>
      <c r="BE44">
        <v>21366.177126490871</v>
      </c>
      <c r="BF44">
        <v>22201.066068433749</v>
      </c>
      <c r="BG44">
        <v>22553.616178737211</v>
      </c>
      <c r="BH44">
        <v>22468.312574554719</v>
      </c>
      <c r="BI44">
        <v>23256.50360422114</v>
      </c>
      <c r="BJ44">
        <v>24295.22376660203</v>
      </c>
      <c r="BK44">
        <v>25305.09034626108</v>
      </c>
      <c r="BL44">
        <v>25611.757826945839</v>
      </c>
      <c r="BM44">
        <v>25350.86350829717</v>
      </c>
      <c r="BN44">
        <v>29089.850459727979</v>
      </c>
      <c r="BO44">
        <v>30932.001087367698</v>
      </c>
      <c r="BP44">
        <v>33145.403552024967</v>
      </c>
      <c r="BQ44">
        <v>36181.156616977023</v>
      </c>
    </row>
    <row r="45" spans="1:69" x14ac:dyDescent="0.25">
      <c r="A45" t="s">
        <v>1124</v>
      </c>
      <c r="B45" t="s">
        <v>1125</v>
      </c>
      <c r="C45" t="s">
        <v>1580</v>
      </c>
      <c r="D45" t="s">
        <v>1581</v>
      </c>
      <c r="AI45">
        <v>990.77619088030667</v>
      </c>
      <c r="AJ45">
        <v>1104.992418121509</v>
      </c>
      <c r="AK45">
        <v>1276.0493440780931</v>
      </c>
      <c r="AL45">
        <v>1471.239576766525</v>
      </c>
      <c r="AM45">
        <v>1679.9949420166749</v>
      </c>
      <c r="AN45">
        <v>1883.876030003448</v>
      </c>
      <c r="AO45">
        <v>2087.7476964935058</v>
      </c>
      <c r="AP45">
        <v>2297.3631019424238</v>
      </c>
      <c r="AQ45">
        <v>2483.2540595085852</v>
      </c>
      <c r="AR45">
        <v>2689.8515658971801</v>
      </c>
      <c r="AS45">
        <v>2963.5323860202288</v>
      </c>
      <c r="AT45">
        <v>3258.4021066030459</v>
      </c>
      <c r="AU45">
        <v>3590.7659594167039</v>
      </c>
      <c r="AV45">
        <v>4007.1160460542319</v>
      </c>
      <c r="AW45">
        <v>4504.9293723759574</v>
      </c>
      <c r="AX45">
        <v>5148.1827393380518</v>
      </c>
      <c r="AY45">
        <v>5946.2868283018524</v>
      </c>
      <c r="AZ45">
        <v>6935.2658058443358</v>
      </c>
      <c r="BA45">
        <v>7712.8460842506856</v>
      </c>
      <c r="BB45">
        <v>8447.9828146922682</v>
      </c>
      <c r="BC45">
        <v>9411.1382190320437</v>
      </c>
      <c r="BD45">
        <v>10456.79168261134</v>
      </c>
      <c r="BE45">
        <v>11420.252705114101</v>
      </c>
      <c r="BF45">
        <v>12228.37360841971</v>
      </c>
      <c r="BG45">
        <v>12941.59648091457</v>
      </c>
      <c r="BH45">
        <v>13463.33315111047</v>
      </c>
      <c r="BI45">
        <v>14157.25149880043</v>
      </c>
      <c r="BJ45">
        <v>15022.437188312409</v>
      </c>
      <c r="BK45">
        <v>16298.20506191087</v>
      </c>
      <c r="BL45">
        <v>17600.890756849331</v>
      </c>
      <c r="BM45">
        <v>18267.478345582738</v>
      </c>
      <c r="BN45">
        <v>20843.297834737648</v>
      </c>
      <c r="BO45">
        <v>23032.17662711427</v>
      </c>
      <c r="BP45">
        <v>25179.119306638298</v>
      </c>
      <c r="BQ45">
        <v>27104.870267746301</v>
      </c>
    </row>
    <row r="46" spans="1:69" x14ac:dyDescent="0.25">
      <c r="A46" t="s">
        <v>1126</v>
      </c>
      <c r="B46" t="s">
        <v>1127</v>
      </c>
      <c r="C46" t="s">
        <v>1580</v>
      </c>
      <c r="D46" t="s">
        <v>1581</v>
      </c>
      <c r="AI46">
        <v>2693.3614660056201</v>
      </c>
      <c r="AJ46">
        <v>2677.074720014738</v>
      </c>
      <c r="AK46">
        <v>2624.52422270222</v>
      </c>
      <c r="AL46">
        <v>2576.993401495331</v>
      </c>
      <c r="AM46">
        <v>2550.992224483954</v>
      </c>
      <c r="AN46">
        <v>2683.320976282143</v>
      </c>
      <c r="AO46">
        <v>2831.7990371103642</v>
      </c>
      <c r="AP46">
        <v>3039.524738955382</v>
      </c>
      <c r="AQ46">
        <v>3086.1276638342729</v>
      </c>
      <c r="AR46">
        <v>3064.7994479374129</v>
      </c>
      <c r="AS46">
        <v>3040.575931853627</v>
      </c>
      <c r="AT46">
        <v>2961.7628727421638</v>
      </c>
      <c r="AU46">
        <v>2851.03041356835</v>
      </c>
      <c r="AV46">
        <v>2701.7416848785078</v>
      </c>
      <c r="AW46">
        <v>2794.1732571936582</v>
      </c>
      <c r="AX46">
        <v>2841.823087981727</v>
      </c>
      <c r="AY46">
        <v>2941.8214116891249</v>
      </c>
      <c r="AZ46">
        <v>2984.5347216156179</v>
      </c>
      <c r="BA46">
        <v>3115.8378918774529</v>
      </c>
      <c r="BB46">
        <v>3176.6324242061742</v>
      </c>
      <c r="BC46">
        <v>3360.5440882605471</v>
      </c>
      <c r="BD46">
        <v>3175.9192237075949</v>
      </c>
      <c r="BE46">
        <v>3290.7230694945711</v>
      </c>
      <c r="BF46">
        <v>3619.0179085486488</v>
      </c>
      <c r="BG46">
        <v>4074.2144553978928</v>
      </c>
      <c r="BH46">
        <v>4403.6429661899847</v>
      </c>
      <c r="BI46">
        <v>4530.6484980848754</v>
      </c>
      <c r="BJ46">
        <v>4690.178018610959</v>
      </c>
      <c r="BK46">
        <v>4945.6252057591528</v>
      </c>
      <c r="BL46">
        <v>5516.3905512682904</v>
      </c>
      <c r="BM46">
        <v>5543.8509631893894</v>
      </c>
      <c r="BN46">
        <v>6045.2048049087944</v>
      </c>
      <c r="BO46">
        <v>6719.4438155763673</v>
      </c>
      <c r="BP46">
        <v>7237.1817074090859</v>
      </c>
      <c r="BQ46">
        <v>7669.2319571568687</v>
      </c>
    </row>
    <row r="47" spans="1:69" x14ac:dyDescent="0.25">
      <c r="A47" t="s">
        <v>1128</v>
      </c>
      <c r="B47" t="s">
        <v>1129</v>
      </c>
      <c r="C47" t="s">
        <v>1580</v>
      </c>
      <c r="D47" t="s">
        <v>1581</v>
      </c>
      <c r="AI47">
        <v>2031.9099884527311</v>
      </c>
      <c r="AJ47">
        <v>1962.540637661094</v>
      </c>
      <c r="AK47">
        <v>1890.0925310455509</v>
      </c>
      <c r="AL47">
        <v>1731.4087312637139</v>
      </c>
      <c r="AM47">
        <v>1751.6852297163859</v>
      </c>
      <c r="AN47">
        <v>1790.3391498364069</v>
      </c>
      <c r="AO47">
        <v>1849.506500360111</v>
      </c>
      <c r="AP47">
        <v>1915.117607114636</v>
      </c>
      <c r="AQ47">
        <v>1975.1559893983299</v>
      </c>
      <c r="AR47">
        <v>2038.663788989948</v>
      </c>
      <c r="AS47">
        <v>2108.4945495975062</v>
      </c>
      <c r="AT47">
        <v>2190.8964072416629</v>
      </c>
      <c r="AU47">
        <v>2263.0551967435558</v>
      </c>
      <c r="AV47">
        <v>2368.1011947736929</v>
      </c>
      <c r="AW47">
        <v>2532.6474442421409</v>
      </c>
      <c r="AX47">
        <v>2597.6803989321938</v>
      </c>
      <c r="AY47">
        <v>2704.4373980037649</v>
      </c>
      <c r="AZ47">
        <v>2817.7222811837978</v>
      </c>
      <c r="BA47">
        <v>2870.441068666054</v>
      </c>
      <c r="BB47">
        <v>2878.9514388613779</v>
      </c>
      <c r="BC47">
        <v>2913.9429275560551</v>
      </c>
      <c r="BD47">
        <v>2988.8172872550999</v>
      </c>
      <c r="BE47">
        <v>3059.642265682508</v>
      </c>
      <c r="BF47">
        <v>3238.8682984373249</v>
      </c>
      <c r="BG47">
        <v>3422.2612815834382</v>
      </c>
      <c r="BH47">
        <v>3497.6606756395859</v>
      </c>
      <c r="BI47">
        <v>3626.9993202857818</v>
      </c>
      <c r="BJ47">
        <v>3767.430728838242</v>
      </c>
      <c r="BK47">
        <v>4010.763600695263</v>
      </c>
      <c r="BL47">
        <v>4241.111749205922</v>
      </c>
      <c r="BM47">
        <v>4365.4470412839237</v>
      </c>
      <c r="BN47">
        <v>4793.5562820019559</v>
      </c>
      <c r="BO47">
        <v>5188.9775086608142</v>
      </c>
      <c r="BP47">
        <v>5410.7692193764224</v>
      </c>
      <c r="BQ47">
        <v>5588.9864586194471</v>
      </c>
    </row>
    <row r="48" spans="1:69" x14ac:dyDescent="0.25">
      <c r="A48" t="s">
        <v>1130</v>
      </c>
      <c r="B48" t="s">
        <v>1131</v>
      </c>
      <c r="C48" t="s">
        <v>1580</v>
      </c>
      <c r="D48" t="s">
        <v>1581</v>
      </c>
      <c r="AI48">
        <v>832.06815255965171</v>
      </c>
      <c r="AJ48">
        <v>761.97579361075998</v>
      </c>
      <c r="AK48">
        <v>674.33969852776579</v>
      </c>
      <c r="AL48">
        <v>576.37121345769071</v>
      </c>
      <c r="AM48">
        <v>539.56758657157059</v>
      </c>
      <c r="AN48">
        <v>532.1792803621579</v>
      </c>
      <c r="AO48">
        <v>526.16501925316607</v>
      </c>
      <c r="AP48">
        <v>497.12072251104291</v>
      </c>
      <c r="AQ48">
        <v>481.28791422287031</v>
      </c>
      <c r="AR48">
        <v>451.82478695536798</v>
      </c>
      <c r="AS48">
        <v>416.54821446022612</v>
      </c>
      <c r="AT48">
        <v>403.98319670661908</v>
      </c>
      <c r="AU48">
        <v>409.64183378114149</v>
      </c>
      <c r="AV48">
        <v>428.33247070059718</v>
      </c>
      <c r="AW48">
        <v>455.86655739654782</v>
      </c>
      <c r="AX48">
        <v>483.91002482732148</v>
      </c>
      <c r="AY48">
        <v>508.40081751830041</v>
      </c>
      <c r="AZ48">
        <v>549.82765007876264</v>
      </c>
      <c r="BA48">
        <v>584.02081031147213</v>
      </c>
      <c r="BB48">
        <v>572.9592490248649</v>
      </c>
      <c r="BC48">
        <v>605.78516028092736</v>
      </c>
      <c r="BD48">
        <v>643.76467909397604</v>
      </c>
      <c r="BE48">
        <v>647.80173328492856</v>
      </c>
      <c r="BF48">
        <v>760.64987993961961</v>
      </c>
      <c r="BG48">
        <v>859.35681614123598</v>
      </c>
      <c r="BH48">
        <v>910.39313163865666</v>
      </c>
      <c r="BI48">
        <v>950.02229815859653</v>
      </c>
      <c r="BJ48">
        <v>990.54505139478067</v>
      </c>
      <c r="BK48">
        <v>1048.865028556721</v>
      </c>
      <c r="BL48">
        <v>1056.1720665924131</v>
      </c>
      <c r="BM48">
        <v>1088.7890035636981</v>
      </c>
      <c r="BN48">
        <v>1402.3856029522101</v>
      </c>
      <c r="BO48">
        <v>1590.1640421955581</v>
      </c>
      <c r="BP48">
        <v>1730.6222887769391</v>
      </c>
      <c r="BQ48">
        <v>1821.0486871805761</v>
      </c>
    </row>
    <row r="49" spans="1:69" x14ac:dyDescent="0.25">
      <c r="A49" t="s">
        <v>1132</v>
      </c>
      <c r="B49" t="s">
        <v>1133</v>
      </c>
      <c r="C49" t="s">
        <v>1580</v>
      </c>
      <c r="D49" t="s">
        <v>1581</v>
      </c>
      <c r="AI49">
        <v>3436.7496980564488</v>
      </c>
      <c r="AJ49">
        <v>3536.0800498739618</v>
      </c>
      <c r="AK49">
        <v>3607.6711120538748</v>
      </c>
      <c r="AL49">
        <v>3550.3857935816268</v>
      </c>
      <c r="AM49">
        <v>3326.9814001951672</v>
      </c>
      <c r="AN49">
        <v>3434.067840627622</v>
      </c>
      <c r="AO49">
        <v>3547.213539367805</v>
      </c>
      <c r="AP49">
        <v>3509.9988949468561</v>
      </c>
      <c r="AQ49">
        <v>3602.0335193656251</v>
      </c>
      <c r="AR49">
        <v>3463.8545298489912</v>
      </c>
      <c r="AS49">
        <v>3667.4248726633559</v>
      </c>
      <c r="AT49">
        <v>3748.4467493155662</v>
      </c>
      <c r="AU49">
        <v>3888.1640234334509</v>
      </c>
      <c r="AV49">
        <v>3886.9920679563211</v>
      </c>
      <c r="AW49">
        <v>3991.511247297638</v>
      </c>
      <c r="AX49">
        <v>4278.9253874131873</v>
      </c>
      <c r="AY49">
        <v>4588.1092489846451</v>
      </c>
      <c r="AZ49">
        <v>4242.6112684600193</v>
      </c>
      <c r="BA49">
        <v>4448.3326171425342</v>
      </c>
      <c r="BB49">
        <v>4800.9015980660224</v>
      </c>
      <c r="BC49">
        <v>5125.0699134364277</v>
      </c>
      <c r="BD49">
        <v>5175.2043908903552</v>
      </c>
      <c r="BE49">
        <v>6058.0644941741166</v>
      </c>
      <c r="BF49">
        <v>5833.8633665143607</v>
      </c>
      <c r="BG49">
        <v>5733.1839356125602</v>
      </c>
      <c r="BH49">
        <v>4715.1343158162426</v>
      </c>
      <c r="BI49">
        <v>4016.049085253183</v>
      </c>
      <c r="BJ49">
        <v>4444.6390021582447</v>
      </c>
      <c r="BK49">
        <v>5593.1937057868563</v>
      </c>
      <c r="BL49">
        <v>5719.5997733829117</v>
      </c>
      <c r="BM49">
        <v>4770.9644975836527</v>
      </c>
      <c r="BN49">
        <v>6263.2116129263632</v>
      </c>
      <c r="BO49">
        <v>6647.4968173138977</v>
      </c>
      <c r="BP49">
        <v>6850.2777062109881</v>
      </c>
      <c r="BQ49">
        <v>7026.3622328149386</v>
      </c>
    </row>
    <row r="50" spans="1:69" x14ac:dyDescent="0.25">
      <c r="A50" t="s">
        <v>1134</v>
      </c>
      <c r="B50" t="s">
        <v>1135</v>
      </c>
      <c r="C50" t="s">
        <v>1580</v>
      </c>
      <c r="D50" t="s">
        <v>1581</v>
      </c>
      <c r="AI50">
        <v>5109.4200011613257</v>
      </c>
      <c r="AJ50">
        <v>5280.7777977337773</v>
      </c>
      <c r="AK50">
        <v>5509.3646491154486</v>
      </c>
      <c r="AL50">
        <v>5826.1834442133613</v>
      </c>
      <c r="AM50">
        <v>6173.6361147921934</v>
      </c>
      <c r="AN50">
        <v>6505.5652622128746</v>
      </c>
      <c r="AO50">
        <v>6638.8397362559972</v>
      </c>
      <c r="AP50">
        <v>6861.0918635843909</v>
      </c>
      <c r="AQ50">
        <v>6853.841440170333</v>
      </c>
      <c r="AR50">
        <v>6543.8672116341004</v>
      </c>
      <c r="AS50">
        <v>6775.9306441881099</v>
      </c>
      <c r="AT50">
        <v>6934.8828433859289</v>
      </c>
      <c r="AU50">
        <v>7108.8239028593043</v>
      </c>
      <c r="AV50">
        <v>7420.4600836528089</v>
      </c>
      <c r="AW50">
        <v>7909.3463515569501</v>
      </c>
      <c r="AX50">
        <v>8432.3332907831445</v>
      </c>
      <c r="AY50">
        <v>9154.0892619651077</v>
      </c>
      <c r="AZ50">
        <v>9909.2903140376675</v>
      </c>
      <c r="BA50">
        <v>10307.064987885449</v>
      </c>
      <c r="BB50">
        <v>10367.34895575187</v>
      </c>
      <c r="BC50">
        <v>10841.12798013117</v>
      </c>
      <c r="BD50">
        <v>11707.46146247471</v>
      </c>
      <c r="BE50">
        <v>12093.075493917149</v>
      </c>
      <c r="BF50">
        <v>12779.886581831841</v>
      </c>
      <c r="BG50">
        <v>13355.362416219539</v>
      </c>
      <c r="BH50">
        <v>13332.055504821141</v>
      </c>
      <c r="BI50">
        <v>14026.83999310527</v>
      </c>
      <c r="BJ50">
        <v>14400.6139849314</v>
      </c>
      <c r="BK50">
        <v>15239.404948827651</v>
      </c>
      <c r="BL50">
        <v>16181.59089906617</v>
      </c>
      <c r="BM50">
        <v>15519.21016946563</v>
      </c>
      <c r="BN50">
        <v>17383.090172829528</v>
      </c>
      <c r="BO50">
        <v>20854.002999162021</v>
      </c>
      <c r="BP50">
        <v>21246.376269520078</v>
      </c>
      <c r="BQ50">
        <v>22349.43644012299</v>
      </c>
    </row>
    <row r="51" spans="1:69" x14ac:dyDescent="0.25">
      <c r="A51" t="s">
        <v>1136</v>
      </c>
      <c r="B51" t="s">
        <v>1137</v>
      </c>
      <c r="C51" t="s">
        <v>1580</v>
      </c>
      <c r="D51" t="s">
        <v>1581</v>
      </c>
      <c r="AI51">
        <v>1546.45112696499</v>
      </c>
      <c r="AJ51">
        <v>1464.0632401996149</v>
      </c>
      <c r="AK51">
        <v>1574.5753856305801</v>
      </c>
      <c r="AL51">
        <v>1623.056208537944</v>
      </c>
      <c r="AM51">
        <v>1563.6989193863731</v>
      </c>
      <c r="AN51">
        <v>1657.455258805358</v>
      </c>
      <c r="AO51">
        <v>1650.517482600676</v>
      </c>
      <c r="AP51">
        <v>1723.0979754555431</v>
      </c>
      <c r="AQ51">
        <v>1713.1426125631019</v>
      </c>
      <c r="AR51">
        <v>1752.738246819682</v>
      </c>
      <c r="AS51">
        <v>1740.649471328687</v>
      </c>
      <c r="AT51">
        <v>1838.107143635302</v>
      </c>
      <c r="AU51">
        <v>1911.6125682356669</v>
      </c>
      <c r="AV51">
        <v>1949.1381608127381</v>
      </c>
      <c r="AW51">
        <v>2024.8526447401971</v>
      </c>
      <c r="AX51">
        <v>2162.0719557681991</v>
      </c>
      <c r="AY51">
        <v>2145.9206695341431</v>
      </c>
      <c r="AZ51">
        <v>2177.9281684323041</v>
      </c>
      <c r="BA51">
        <v>2262.498530002907</v>
      </c>
      <c r="BB51">
        <v>2303.947828914695</v>
      </c>
      <c r="BC51">
        <v>2372.4123398971178</v>
      </c>
      <c r="BD51">
        <v>2471.787247315021</v>
      </c>
      <c r="BE51">
        <v>2678.7026282059901</v>
      </c>
      <c r="BF51">
        <v>2832.5312154814619</v>
      </c>
      <c r="BG51">
        <v>2937.6119289498092</v>
      </c>
      <c r="BH51">
        <v>2949.473422409927</v>
      </c>
      <c r="BI51">
        <v>3139.0516074046541</v>
      </c>
      <c r="BJ51">
        <v>3347.456529974836</v>
      </c>
      <c r="BK51">
        <v>3276.0093669533239</v>
      </c>
      <c r="BL51">
        <v>3293.056017484952</v>
      </c>
      <c r="BM51">
        <v>3244.8867496846951</v>
      </c>
      <c r="BN51">
        <v>3377.8851848258669</v>
      </c>
      <c r="BO51">
        <v>3641.6292039035288</v>
      </c>
      <c r="BP51">
        <v>3811.6508488241329</v>
      </c>
      <c r="BQ51">
        <v>3958.5322878968741</v>
      </c>
    </row>
    <row r="52" spans="1:69" x14ac:dyDescent="0.25">
      <c r="A52" t="s">
        <v>1138</v>
      </c>
      <c r="B52" t="s">
        <v>1139</v>
      </c>
      <c r="C52" t="s">
        <v>1580</v>
      </c>
      <c r="D52" t="s">
        <v>1581</v>
      </c>
      <c r="AI52">
        <v>1044.457524462078</v>
      </c>
      <c r="AJ52">
        <v>1068.867384842622</v>
      </c>
      <c r="AK52">
        <v>1185.580878879392</v>
      </c>
      <c r="AL52">
        <v>1291.3105313464459</v>
      </c>
      <c r="AM52">
        <v>1540.217583453004</v>
      </c>
      <c r="AN52">
        <v>1762.1588839801079</v>
      </c>
      <c r="AO52">
        <v>1962.9210250377271</v>
      </c>
      <c r="AP52">
        <v>2181.781400987702</v>
      </c>
      <c r="AQ52">
        <v>2443.0365559771649</v>
      </c>
      <c r="AR52">
        <v>2714.0965601233002</v>
      </c>
      <c r="AS52">
        <v>3124.4948835502428</v>
      </c>
      <c r="AT52">
        <v>3216.6465119660188</v>
      </c>
      <c r="AU52">
        <v>3388.4481445227439</v>
      </c>
      <c r="AV52">
        <v>3551.4638434881022</v>
      </c>
      <c r="AW52">
        <v>3968.6569170408761</v>
      </c>
      <c r="AX52">
        <v>4324.2023245463861</v>
      </c>
      <c r="AY52">
        <v>4758.3770499567772</v>
      </c>
      <c r="AZ52">
        <v>5566.7694910158316</v>
      </c>
      <c r="BA52">
        <v>6010.8513684747159</v>
      </c>
      <c r="BB52">
        <v>5900.6608652914201</v>
      </c>
      <c r="BC52">
        <v>6038.5852565566456</v>
      </c>
      <c r="BD52">
        <v>6384.2284409041476</v>
      </c>
      <c r="BE52">
        <v>6318.0610872336438</v>
      </c>
      <c r="BF52">
        <v>6367.280013225015</v>
      </c>
      <c r="BG52">
        <v>6416.8330115097669</v>
      </c>
      <c r="BH52">
        <v>6773.4867996938583</v>
      </c>
      <c r="BI52">
        <v>7350.7535872672688</v>
      </c>
      <c r="BJ52">
        <v>7935.76176281072</v>
      </c>
      <c r="BK52">
        <v>7916.421153261741</v>
      </c>
      <c r="BL52">
        <v>8645.7564685934303</v>
      </c>
      <c r="BM52">
        <v>6852.5766993035459</v>
      </c>
      <c r="BN52">
        <v>7685.419213936686</v>
      </c>
      <c r="BO52">
        <v>9481.0733540560486</v>
      </c>
      <c r="BP52">
        <v>10242.15320112118</v>
      </c>
      <c r="BQ52">
        <v>11195.120531292339</v>
      </c>
    </row>
    <row r="53" spans="1:69" x14ac:dyDescent="0.25">
      <c r="A53" t="s">
        <v>1140</v>
      </c>
      <c r="B53" t="s">
        <v>1141</v>
      </c>
      <c r="C53" t="s">
        <v>1580</v>
      </c>
      <c r="D53" t="s">
        <v>1581</v>
      </c>
      <c r="AI53">
        <v>5020.63594092737</v>
      </c>
      <c r="AJ53">
        <v>5174.6320355123207</v>
      </c>
      <c r="AK53">
        <v>5635.0826117429287</v>
      </c>
      <c r="AL53">
        <v>6025.4657703958119</v>
      </c>
      <c r="AM53">
        <v>6276.249571100484</v>
      </c>
      <c r="AN53">
        <v>6515.3370949021382</v>
      </c>
      <c r="AO53">
        <v>6568.4441863486936</v>
      </c>
      <c r="AP53">
        <v>6890.168193129748</v>
      </c>
      <c r="AQ53">
        <v>7306.0382910745993</v>
      </c>
      <c r="AR53">
        <v>7563.2441672168652</v>
      </c>
      <c r="AS53">
        <v>7879.477949666817</v>
      </c>
      <c r="AT53">
        <v>8190.0744094186412</v>
      </c>
      <c r="AU53">
        <v>8460.6522956522258</v>
      </c>
      <c r="AV53">
        <v>8862.9941209873996</v>
      </c>
      <c r="AW53">
        <v>9365.3277536061523</v>
      </c>
      <c r="AX53">
        <v>9898.9291934731882</v>
      </c>
      <c r="AY53">
        <v>10799.511402898101</v>
      </c>
      <c r="AZ53">
        <v>11841.90117142465</v>
      </c>
      <c r="BA53">
        <v>12471.67231054331</v>
      </c>
      <c r="BB53">
        <v>12273.86039548255</v>
      </c>
      <c r="BC53">
        <v>12927.564593014969</v>
      </c>
      <c r="BD53">
        <v>13614.26039989241</v>
      </c>
      <c r="BE53">
        <v>14463.740444808691</v>
      </c>
      <c r="BF53">
        <v>15232.07715294966</v>
      </c>
      <c r="BG53">
        <v>16393.809542832329</v>
      </c>
      <c r="BH53">
        <v>17525.140462514501</v>
      </c>
      <c r="BI53">
        <v>19201.745323339601</v>
      </c>
      <c r="BJ53">
        <v>20499.344213077831</v>
      </c>
      <c r="BK53">
        <v>21498.03507468363</v>
      </c>
      <c r="BL53">
        <v>23339.609131778689</v>
      </c>
      <c r="BM53">
        <v>22099.86781273942</v>
      </c>
      <c r="BN53">
        <v>23852.925302000171</v>
      </c>
      <c r="BO53">
        <v>26226.27548159493</v>
      </c>
      <c r="BP53">
        <v>28908.768874319099</v>
      </c>
      <c r="BQ53">
        <v>31106.764355672862</v>
      </c>
    </row>
    <row r="54" spans="1:69" x14ac:dyDescent="0.25">
      <c r="A54" t="s">
        <v>1142</v>
      </c>
      <c r="B54" t="s">
        <v>1143</v>
      </c>
      <c r="C54" t="s">
        <v>1580</v>
      </c>
      <c r="D54" t="s">
        <v>1581</v>
      </c>
      <c r="AI54">
        <v>7176.2021735788558</v>
      </c>
      <c r="AJ54">
        <v>7445.3286414661516</v>
      </c>
      <c r="AK54">
        <v>7834.6566168711324</v>
      </c>
      <c r="AL54">
        <v>8004.1966310935086</v>
      </c>
      <c r="AM54">
        <v>8402.5820404613933</v>
      </c>
      <c r="AN54">
        <v>8769.9309946804806</v>
      </c>
      <c r="AO54">
        <v>9314.4712183879474</v>
      </c>
      <c r="AP54">
        <v>9879.2226811819583</v>
      </c>
      <c r="AQ54">
        <v>10402.135343617399</v>
      </c>
      <c r="AR54">
        <v>11016.349898106349</v>
      </c>
      <c r="AS54">
        <v>11711.51219004588</v>
      </c>
      <c r="AT54">
        <v>12176.35969292448</v>
      </c>
      <c r="AU54">
        <v>12816.92004803115</v>
      </c>
      <c r="AV54">
        <v>13920.05423852593</v>
      </c>
      <c r="AW54">
        <v>14941.000297267179</v>
      </c>
      <c r="AX54">
        <v>16225.016694135011</v>
      </c>
      <c r="AY54">
        <v>18069.551185913249</v>
      </c>
      <c r="AZ54">
        <v>19223.81066390406</v>
      </c>
      <c r="BA54">
        <v>19882.215369858081</v>
      </c>
      <c r="BB54">
        <v>19265.03318975868</v>
      </c>
      <c r="BC54">
        <v>19804.35631214637</v>
      </c>
      <c r="BD54">
        <v>20269.549892284729</v>
      </c>
      <c r="BE54">
        <v>20766.900273282561</v>
      </c>
      <c r="BF54">
        <v>20903.05859909557</v>
      </c>
      <c r="BG54">
        <v>21206.12583516321</v>
      </c>
      <c r="BH54">
        <v>20632.33768516453</v>
      </c>
      <c r="BI54">
        <v>19975.90213188835</v>
      </c>
      <c r="BJ54">
        <v>20762.536587857099</v>
      </c>
      <c r="BK54">
        <v>21259.279515896629</v>
      </c>
      <c r="BL54">
        <v>22157.001883504359</v>
      </c>
      <c r="BM54">
        <v>20161.685964893029</v>
      </c>
      <c r="BN54">
        <v>23493.305437543138</v>
      </c>
      <c r="BO54">
        <v>28974.996549545722</v>
      </c>
      <c r="BP54">
        <v>32868.20899673488</v>
      </c>
      <c r="BQ54">
        <v>38624.060544169777</v>
      </c>
    </row>
    <row r="55" spans="1:69" x14ac:dyDescent="0.25">
      <c r="A55" t="s">
        <v>1144</v>
      </c>
      <c r="B55" t="s">
        <v>1145</v>
      </c>
      <c r="C55" t="s">
        <v>1580</v>
      </c>
      <c r="D55" t="s">
        <v>1581</v>
      </c>
    </row>
    <row r="56" spans="1:69" x14ac:dyDescent="0.25">
      <c r="A56" t="s">
        <v>1146</v>
      </c>
      <c r="B56" t="s">
        <v>1147</v>
      </c>
      <c r="C56" t="s">
        <v>1580</v>
      </c>
      <c r="D56" t="s">
        <v>1581</v>
      </c>
      <c r="AS56">
        <v>21891.04535566919</v>
      </c>
      <c r="AT56">
        <v>23057.26136470175</v>
      </c>
      <c r="AU56">
        <v>23479.79733026242</v>
      </c>
      <c r="AV56">
        <v>23522.274889185559</v>
      </c>
      <c r="AW56">
        <v>23791.19741368201</v>
      </c>
      <c r="AX56">
        <v>24081.15121499636</v>
      </c>
      <c r="AY56">
        <v>24590.192368109409</v>
      </c>
      <c r="AZ56">
        <v>25374.142986998941</v>
      </c>
      <c r="BA56">
        <v>26098.471153240851</v>
      </c>
      <c r="BB56">
        <v>25950.395037236529</v>
      </c>
      <c r="BC56">
        <v>25956.810758561562</v>
      </c>
      <c r="BD56">
        <v>26251.362822841838</v>
      </c>
      <c r="BE56">
        <v>25105.992471416881</v>
      </c>
      <c r="BF56">
        <v>24821.796301247039</v>
      </c>
      <c r="BG56">
        <v>24347.76058335515</v>
      </c>
      <c r="BH56">
        <v>24037.648578273471</v>
      </c>
      <c r="BI56">
        <v>23649.59165343102</v>
      </c>
      <c r="BJ56">
        <v>24321.746806837651</v>
      </c>
      <c r="BK56">
        <v>24623.0414302994</v>
      </c>
      <c r="BL56">
        <v>25396.996618990219</v>
      </c>
      <c r="BM56">
        <v>21722.01736515274</v>
      </c>
      <c r="BN56">
        <v>24905.76844532444</v>
      </c>
      <c r="BO56">
        <v>28640.68723360261</v>
      </c>
      <c r="BP56">
        <v>30651.588551042289</v>
      </c>
      <c r="BQ56">
        <v>32693.293976489309</v>
      </c>
    </row>
    <row r="57" spans="1:69" x14ac:dyDescent="0.25">
      <c r="A57" t="s">
        <v>1148</v>
      </c>
      <c r="B57" t="s">
        <v>1149</v>
      </c>
      <c r="C57" t="s">
        <v>1580</v>
      </c>
      <c r="D57" t="s">
        <v>1581</v>
      </c>
      <c r="AY57">
        <v>75190.662243890358</v>
      </c>
      <c r="AZ57">
        <v>77337.18936500304</v>
      </c>
      <c r="BA57">
        <v>76297.460301908577</v>
      </c>
      <c r="BB57">
        <v>69254.182719263219</v>
      </c>
      <c r="BC57">
        <v>66325.457990959665</v>
      </c>
      <c r="BD57">
        <v>66629.163586224371</v>
      </c>
      <c r="BE57">
        <v>64726.530534299163</v>
      </c>
      <c r="BF57">
        <v>63648.254751314467</v>
      </c>
      <c r="BG57">
        <v>63560.513772501909</v>
      </c>
      <c r="BH57">
        <v>64009.317104546441</v>
      </c>
      <c r="BI57">
        <v>65680.074328208473</v>
      </c>
      <c r="BJ57">
        <v>68017.675675560225</v>
      </c>
      <c r="BK57">
        <v>71811.892496198358</v>
      </c>
      <c r="BL57">
        <v>72697.367188150107</v>
      </c>
      <c r="BM57">
        <v>66118.654085902774</v>
      </c>
      <c r="BN57">
        <v>74160.491400019106</v>
      </c>
      <c r="BO57">
        <v>82295.582070478209</v>
      </c>
      <c r="BP57">
        <v>88427.786671269088</v>
      </c>
    </row>
    <row r="58" spans="1:69" x14ac:dyDescent="0.25">
      <c r="A58" t="s">
        <v>1150</v>
      </c>
      <c r="B58" t="s">
        <v>1151</v>
      </c>
      <c r="C58" t="s">
        <v>1580</v>
      </c>
      <c r="D58" t="s">
        <v>1581</v>
      </c>
      <c r="AI58">
        <v>13462.873046875</v>
      </c>
      <c r="AJ58">
        <v>13662.7998046875</v>
      </c>
      <c r="AK58">
        <v>14886.365234375</v>
      </c>
      <c r="AL58">
        <v>14979.7529296875</v>
      </c>
      <c r="AM58">
        <v>15870.6123046875</v>
      </c>
      <c r="AN58">
        <v>17242.90234375</v>
      </c>
      <c r="AO58">
        <v>17474.041015625</v>
      </c>
      <c r="AP58">
        <v>17937.2890625</v>
      </c>
      <c r="AQ58">
        <v>18877.796875</v>
      </c>
      <c r="AR58">
        <v>19817.064453125</v>
      </c>
      <c r="AS58">
        <v>21312.9921875</v>
      </c>
      <c r="AT58">
        <v>22729.625</v>
      </c>
      <c r="AU58">
        <v>23103.552734375</v>
      </c>
      <c r="AV58">
        <v>23425.021484375</v>
      </c>
      <c r="AW58">
        <v>24970.099609375</v>
      </c>
      <c r="AX58">
        <v>26685.521484375</v>
      </c>
      <c r="AY58">
        <v>28327.76171875</v>
      </c>
      <c r="AZ58">
        <v>30918.34765625</v>
      </c>
      <c r="BA58">
        <v>32603.451171875</v>
      </c>
      <c r="BB58">
        <v>31808.0625</v>
      </c>
      <c r="BC58">
        <v>31632.126953125</v>
      </c>
      <c r="BD58">
        <v>31722.8984375</v>
      </c>
      <c r="BE58">
        <v>30245.69921875</v>
      </c>
      <c r="BF58">
        <v>28499.85546875</v>
      </c>
      <c r="BG58">
        <v>28045.28125</v>
      </c>
      <c r="BH58">
        <v>29315.724609375</v>
      </c>
      <c r="BI58">
        <v>32872.046875</v>
      </c>
      <c r="BJ58">
        <v>35197.140625</v>
      </c>
      <c r="BK58">
        <v>37927.16796875</v>
      </c>
      <c r="BL58">
        <v>41816.42578125</v>
      </c>
      <c r="BM58">
        <v>40098.43359375</v>
      </c>
      <c r="BN58">
        <v>45322.54296875</v>
      </c>
      <c r="BO58">
        <v>53304.78515625</v>
      </c>
      <c r="BP58">
        <v>59422.90234375</v>
      </c>
      <c r="BQ58">
        <v>62312.07421875</v>
      </c>
    </row>
    <row r="59" spans="1:69" x14ac:dyDescent="0.25">
      <c r="A59" t="s">
        <v>1152</v>
      </c>
      <c r="B59" t="s">
        <v>1153</v>
      </c>
      <c r="C59" t="s">
        <v>1580</v>
      </c>
      <c r="D59" t="s">
        <v>1581</v>
      </c>
      <c r="AI59">
        <v>12848.248412471559</v>
      </c>
      <c r="AJ59">
        <v>11768.186367111681</v>
      </c>
      <c r="AK59">
        <v>11963.160052107631</v>
      </c>
      <c r="AL59">
        <v>12241.57544487674</v>
      </c>
      <c r="AM59">
        <v>12862.059120172909</v>
      </c>
      <c r="AN59">
        <v>13957.27026367389</v>
      </c>
      <c r="AO59">
        <v>14780.827215021411</v>
      </c>
      <c r="AP59">
        <v>14911.13093259426</v>
      </c>
      <c r="AQ59">
        <v>15063.76039146579</v>
      </c>
      <c r="AR59">
        <v>15493.979668577789</v>
      </c>
      <c r="AS59">
        <v>16332.29104086288</v>
      </c>
      <c r="AT59">
        <v>17709.452310329281</v>
      </c>
      <c r="AU59">
        <v>18344.03294279379</v>
      </c>
      <c r="AV59">
        <v>19604.091721538101</v>
      </c>
      <c r="AW59">
        <v>20988.120481883401</v>
      </c>
      <c r="AX59">
        <v>22114.83630852016</v>
      </c>
      <c r="AY59">
        <v>23914.18624438109</v>
      </c>
      <c r="AZ59">
        <v>26267.607152711171</v>
      </c>
      <c r="BA59">
        <v>27937.84156810198</v>
      </c>
      <c r="BB59">
        <v>27713.243456460521</v>
      </c>
      <c r="BC59">
        <v>28153.851861000661</v>
      </c>
      <c r="BD59">
        <v>29237.187095984678</v>
      </c>
      <c r="BE59">
        <v>29465.60740118938</v>
      </c>
      <c r="BF59">
        <v>31013.008293383122</v>
      </c>
      <c r="BG59">
        <v>32743.489773169011</v>
      </c>
      <c r="BH59">
        <v>34093.028059374767</v>
      </c>
      <c r="BI59">
        <v>36445.048573206368</v>
      </c>
      <c r="BJ59">
        <v>39346.030564257002</v>
      </c>
      <c r="BK59">
        <v>41638.183107659621</v>
      </c>
      <c r="BL59">
        <v>45614.017113253212</v>
      </c>
      <c r="BM59">
        <v>44839.482209945469</v>
      </c>
      <c r="BN59">
        <v>47796.0337408466</v>
      </c>
      <c r="BO59">
        <v>52946.966085446213</v>
      </c>
      <c r="BP59">
        <v>55761.379829137462</v>
      </c>
      <c r="BQ59">
        <v>57285.423700137922</v>
      </c>
    </row>
    <row r="60" spans="1:69" x14ac:dyDescent="0.25">
      <c r="A60" t="s">
        <v>1154</v>
      </c>
      <c r="B60" t="s">
        <v>1155</v>
      </c>
      <c r="C60" t="s">
        <v>1580</v>
      </c>
      <c r="D60" t="s">
        <v>1581</v>
      </c>
      <c r="AI60">
        <v>19467.81503147665</v>
      </c>
      <c r="AJ60">
        <v>21000.69554815533</v>
      </c>
      <c r="AK60">
        <v>21745.817803058209</v>
      </c>
      <c r="AL60">
        <v>21900.197913653719</v>
      </c>
      <c r="AM60">
        <v>22869.212444789129</v>
      </c>
      <c r="AN60">
        <v>23630.55189351994</v>
      </c>
      <c r="AO60">
        <v>24169.069943683331</v>
      </c>
      <c r="AP60">
        <v>24649.458873825632</v>
      </c>
      <c r="AQ60">
        <v>25445.858536629668</v>
      </c>
      <c r="AR60">
        <v>26517.934285621432</v>
      </c>
      <c r="AS60">
        <v>27473.66697670241</v>
      </c>
      <c r="AT60">
        <v>28674.168282314571</v>
      </c>
      <c r="AU60">
        <v>29513.682326710219</v>
      </c>
      <c r="AV60">
        <v>30301.401769283279</v>
      </c>
      <c r="AW60">
        <v>31753.172059280329</v>
      </c>
      <c r="AX60">
        <v>32313.736788416991</v>
      </c>
      <c r="AY60">
        <v>34741.335342622442</v>
      </c>
      <c r="AZ60">
        <v>36914.002379293554</v>
      </c>
      <c r="BA60">
        <v>38443.538627895767</v>
      </c>
      <c r="BB60">
        <v>37573.991013653867</v>
      </c>
      <c r="BC60">
        <v>39726.098692395011</v>
      </c>
      <c r="BD60">
        <v>43398.344399249581</v>
      </c>
      <c r="BE60">
        <v>44229.394192173851</v>
      </c>
      <c r="BF60">
        <v>45889.017302205197</v>
      </c>
      <c r="BG60">
        <v>47938.796821041811</v>
      </c>
      <c r="BH60">
        <v>48545.40072196204</v>
      </c>
      <c r="BI60">
        <v>51569.901684119934</v>
      </c>
      <c r="BJ60">
        <v>54110.253664881202</v>
      </c>
      <c r="BK60">
        <v>56273.040562701703</v>
      </c>
      <c r="BL60">
        <v>59270.727649698478</v>
      </c>
      <c r="BM60">
        <v>58685.87269977104</v>
      </c>
      <c r="BN60">
        <v>62530.765319923943</v>
      </c>
      <c r="BO60">
        <v>69048.98840368852</v>
      </c>
      <c r="BP60">
        <v>71684.031187558299</v>
      </c>
      <c r="BQ60">
        <v>73551.934769683605</v>
      </c>
    </row>
    <row r="61" spans="1:69" x14ac:dyDescent="0.25">
      <c r="A61" t="s">
        <v>1156</v>
      </c>
      <c r="B61" t="s">
        <v>1157</v>
      </c>
      <c r="C61" t="s">
        <v>1580</v>
      </c>
      <c r="D61" t="s">
        <v>1581</v>
      </c>
      <c r="BF61">
        <v>3762.281961039901</v>
      </c>
      <c r="BG61">
        <v>3978.3466709255358</v>
      </c>
      <c r="BH61">
        <v>4263.9628889045543</v>
      </c>
      <c r="BI61">
        <v>4431.5658855617594</v>
      </c>
      <c r="BJ61">
        <v>4676.7133605890303</v>
      </c>
      <c r="BK61">
        <v>5083.1107703018251</v>
      </c>
      <c r="BL61">
        <v>5398.0003677398427</v>
      </c>
      <c r="BM61">
        <v>5527.0018522988839</v>
      </c>
      <c r="BN61">
        <v>5960.1080739682457</v>
      </c>
      <c r="BO61">
        <v>6621.3303822040934</v>
      </c>
      <c r="BP61">
        <v>7225.8387957248979</v>
      </c>
      <c r="BQ61">
        <v>7810.2786906679185</v>
      </c>
    </row>
    <row r="62" spans="1:69" x14ac:dyDescent="0.25">
      <c r="A62" t="s">
        <v>1158</v>
      </c>
      <c r="B62" t="s">
        <v>1159</v>
      </c>
      <c r="C62" t="s">
        <v>1580</v>
      </c>
      <c r="D62" t="s">
        <v>1581</v>
      </c>
      <c r="AI62">
        <v>4667.4349973909621</v>
      </c>
      <c r="AJ62">
        <v>4913.6715807938408</v>
      </c>
      <c r="AK62">
        <v>5125.4931611550774</v>
      </c>
      <c r="AL62">
        <v>5352.0555747988656</v>
      </c>
      <c r="AM62">
        <v>5464.7541982432058</v>
      </c>
      <c r="AN62">
        <v>5749.0971574877613</v>
      </c>
      <c r="AO62">
        <v>6041.210858608124</v>
      </c>
      <c r="AP62">
        <v>6289.7622349424337</v>
      </c>
      <c r="AQ62">
        <v>6617.219167598656</v>
      </c>
      <c r="AR62">
        <v>6759.4589749039296</v>
      </c>
      <c r="AS62">
        <v>7111.4131102869023</v>
      </c>
      <c r="AT62">
        <v>7290.6283244551487</v>
      </c>
      <c r="AU62">
        <v>7167.0427194272797</v>
      </c>
      <c r="AV62">
        <v>7714.2950985709376</v>
      </c>
      <c r="AW62">
        <v>8232.1846090100007</v>
      </c>
      <c r="AX62">
        <v>8557.4159494963296</v>
      </c>
      <c r="AY62">
        <v>9199.8817635794076</v>
      </c>
      <c r="AZ62">
        <v>9949.4801653476898</v>
      </c>
      <c r="BA62">
        <v>10862.25827465936</v>
      </c>
      <c r="BB62">
        <v>10803.556367692399</v>
      </c>
      <c r="BC62">
        <v>10924.09532455063</v>
      </c>
      <c r="BD62">
        <v>11122.89941402936</v>
      </c>
      <c r="BE62">
        <v>10920.90850792452</v>
      </c>
      <c r="BF62">
        <v>11286.269697486099</v>
      </c>
      <c r="BG62">
        <v>12083.292631481991</v>
      </c>
      <c r="BH62">
        <v>12092.73159926763</v>
      </c>
      <c r="BI62">
        <v>12945.002957164281</v>
      </c>
      <c r="BJ62">
        <v>12696.19566126216</v>
      </c>
      <c r="BK62">
        <v>15069.897241530331</v>
      </c>
      <c r="BL62">
        <v>16020.59447202171</v>
      </c>
      <c r="BM62">
        <v>14243.762312389779</v>
      </c>
      <c r="BN62">
        <v>15808.974350394499</v>
      </c>
      <c r="BO62">
        <v>18802.081991320549</v>
      </c>
      <c r="BP62">
        <v>20285.982166370712</v>
      </c>
      <c r="BQ62">
        <v>21300.684869808902</v>
      </c>
    </row>
    <row r="63" spans="1:69" x14ac:dyDescent="0.25">
      <c r="A63" t="s">
        <v>1160</v>
      </c>
      <c r="B63" t="s">
        <v>1161</v>
      </c>
      <c r="C63" t="s">
        <v>1580</v>
      </c>
      <c r="D63" t="s">
        <v>1581</v>
      </c>
      <c r="AI63">
        <v>18225.476413800239</v>
      </c>
      <c r="AJ63">
        <v>19067.028796635012</v>
      </c>
      <c r="AK63">
        <v>19830.3379439042</v>
      </c>
      <c r="AL63">
        <v>20216.895458098639</v>
      </c>
      <c r="AM63">
        <v>21668.545231065971</v>
      </c>
      <c r="AN63">
        <v>22676.52111319522</v>
      </c>
      <c r="AO63">
        <v>23722.780083669819</v>
      </c>
      <c r="AP63">
        <v>24887.069851798671</v>
      </c>
      <c r="AQ63">
        <v>25798.83229108169</v>
      </c>
      <c r="AR63">
        <v>26642.221558861751</v>
      </c>
      <c r="AS63">
        <v>28647.828283078259</v>
      </c>
      <c r="AT63">
        <v>29458.988214109781</v>
      </c>
      <c r="AU63">
        <v>30666.596767402181</v>
      </c>
      <c r="AV63">
        <v>30864.112368737089</v>
      </c>
      <c r="AW63">
        <v>33015.551589249313</v>
      </c>
      <c r="AX63">
        <v>34238.321814743729</v>
      </c>
      <c r="AY63">
        <v>37392.321141388922</v>
      </c>
      <c r="AZ63">
        <v>39110.095636575643</v>
      </c>
      <c r="BA63">
        <v>41467.38618797774</v>
      </c>
      <c r="BB63">
        <v>40524.312351022403</v>
      </c>
      <c r="BC63">
        <v>43037.598919248652</v>
      </c>
      <c r="BD63">
        <v>44443.716384472558</v>
      </c>
      <c r="BE63">
        <v>44755.162427301839</v>
      </c>
      <c r="BF63">
        <v>46869.193288774943</v>
      </c>
      <c r="BG63">
        <v>47879.595555823318</v>
      </c>
      <c r="BH63">
        <v>48897.209977661121</v>
      </c>
      <c r="BI63">
        <v>51820.952130549093</v>
      </c>
      <c r="BJ63">
        <v>55271.597600265937</v>
      </c>
      <c r="BK63">
        <v>57233.623168561782</v>
      </c>
      <c r="BL63">
        <v>60594.96640019097</v>
      </c>
      <c r="BM63">
        <v>62682.289947438912</v>
      </c>
      <c r="BN63">
        <v>69715.180968092885</v>
      </c>
      <c r="BO63">
        <v>78913.653491312711</v>
      </c>
      <c r="BP63">
        <v>77892.293260990366</v>
      </c>
      <c r="BQ63">
        <v>81878.234984918134</v>
      </c>
    </row>
    <row r="64" spans="1:69" x14ac:dyDescent="0.25">
      <c r="A64" t="s">
        <v>1162</v>
      </c>
      <c r="B64" t="s">
        <v>1163</v>
      </c>
      <c r="C64" t="s">
        <v>1580</v>
      </c>
      <c r="D64" t="s">
        <v>1581</v>
      </c>
      <c r="AI64">
        <v>3640.9376737912612</v>
      </c>
      <c r="AJ64">
        <v>3722.2131075591251</v>
      </c>
      <c r="AK64">
        <v>4150.9097175395182</v>
      </c>
      <c r="AL64">
        <v>4473.9656632484284</v>
      </c>
      <c r="AM64">
        <v>4598.926094395968</v>
      </c>
      <c r="AN64">
        <v>4870.8616543079406</v>
      </c>
      <c r="AO64">
        <v>5160.987848784378</v>
      </c>
      <c r="AP64">
        <v>5618.4630768024053</v>
      </c>
      <c r="AQ64">
        <v>5963.1849918084527</v>
      </c>
      <c r="AR64">
        <v>6304.7332043785636</v>
      </c>
      <c r="AS64">
        <v>6639.0113186482158</v>
      </c>
      <c r="AT64">
        <v>6847.5736612712217</v>
      </c>
      <c r="AU64">
        <v>7157.6682548455819</v>
      </c>
      <c r="AV64">
        <v>7097.5570782061641</v>
      </c>
      <c r="AW64">
        <v>7374.8123177805955</v>
      </c>
      <c r="AX64">
        <v>8215.0324457666084</v>
      </c>
      <c r="AY64">
        <v>9130.069061455988</v>
      </c>
      <c r="AZ64">
        <v>9951.1319159145824</v>
      </c>
      <c r="BA64">
        <v>10345.808098275889</v>
      </c>
      <c r="BB64">
        <v>10381.62481268014</v>
      </c>
      <c r="BC64">
        <v>11245.68118922014</v>
      </c>
      <c r="BD64">
        <v>11694.664185230329</v>
      </c>
      <c r="BE64">
        <v>11776.62281035571</v>
      </c>
      <c r="BF64">
        <v>12413.910018356029</v>
      </c>
      <c r="BG64">
        <v>13464.79256090739</v>
      </c>
      <c r="BH64">
        <v>14804.097406965941</v>
      </c>
      <c r="BI64">
        <v>16282.18991275141</v>
      </c>
      <c r="BJ64">
        <v>16846.207232032331</v>
      </c>
      <c r="BK64">
        <v>17994.83827427357</v>
      </c>
      <c r="BL64">
        <v>19766.762858698101</v>
      </c>
      <c r="BM64">
        <v>18998.306966731499</v>
      </c>
      <c r="BN64">
        <v>22053.458986995531</v>
      </c>
      <c r="BO64">
        <v>24625.808856403739</v>
      </c>
      <c r="BP64">
        <v>25839.9356687607</v>
      </c>
      <c r="BQ64">
        <v>27541.66252833842</v>
      </c>
    </row>
    <row r="65" spans="1:69" x14ac:dyDescent="0.25">
      <c r="A65" t="s">
        <v>1164</v>
      </c>
      <c r="B65" t="s">
        <v>1165</v>
      </c>
      <c r="C65" t="s">
        <v>1580</v>
      </c>
      <c r="D65" t="s">
        <v>1581</v>
      </c>
      <c r="AI65">
        <v>7602.1872568726476</v>
      </c>
      <c r="AJ65">
        <v>7582.0719445094537</v>
      </c>
      <c r="AK65">
        <v>7704.516443445681</v>
      </c>
      <c r="AL65">
        <v>7537.9386823434888</v>
      </c>
      <c r="AM65">
        <v>7462.6475876540526</v>
      </c>
      <c r="AN65">
        <v>7746.7168389299077</v>
      </c>
      <c r="AO65">
        <v>8052.7685670820201</v>
      </c>
      <c r="AP65">
        <v>8128.7989138793928</v>
      </c>
      <c r="AQ65">
        <v>8502.8883594639592</v>
      </c>
      <c r="AR65">
        <v>8776.4420948346342</v>
      </c>
      <c r="AS65">
        <v>9186.8159034289856</v>
      </c>
      <c r="AT65">
        <v>9543.520353849588</v>
      </c>
      <c r="AU65">
        <v>10080.18250039801</v>
      </c>
      <c r="AV65">
        <v>10802.750670312649</v>
      </c>
      <c r="AW65">
        <v>11431.68567154256</v>
      </c>
      <c r="AX65">
        <v>12246.26922436132</v>
      </c>
      <c r="AY65">
        <v>12791.341260597301</v>
      </c>
      <c r="AZ65">
        <v>13320.96412090302</v>
      </c>
      <c r="BA65">
        <v>13666.218196053431</v>
      </c>
      <c r="BB65">
        <v>13651.447299504111</v>
      </c>
      <c r="BC65">
        <v>14201.36599069689</v>
      </c>
      <c r="BD65">
        <v>14639.877943626771</v>
      </c>
      <c r="BE65">
        <v>14441.329339880571</v>
      </c>
      <c r="BF65">
        <v>14370.820661674041</v>
      </c>
      <c r="BG65">
        <v>14694.14382738305</v>
      </c>
      <c r="BH65">
        <v>13807.351584147769</v>
      </c>
      <c r="BI65">
        <v>13437.84602321692</v>
      </c>
      <c r="BJ65">
        <v>13493.56074948397</v>
      </c>
      <c r="BK65">
        <v>13727.126635785889</v>
      </c>
      <c r="BL65">
        <v>13892.53334462047</v>
      </c>
      <c r="BM65">
        <v>12676.5130564294</v>
      </c>
      <c r="BN65">
        <v>14496.86546972987</v>
      </c>
      <c r="BO65">
        <v>15836.09443703211</v>
      </c>
      <c r="BP65">
        <v>16824.487903462661</v>
      </c>
      <c r="BQ65">
        <v>17620.742395612579</v>
      </c>
    </row>
    <row r="66" spans="1:69" x14ac:dyDescent="0.25">
      <c r="A66" t="s">
        <v>1166</v>
      </c>
      <c r="B66" t="s">
        <v>1167</v>
      </c>
      <c r="C66" t="s">
        <v>1580</v>
      </c>
      <c r="D66" t="s">
        <v>1581</v>
      </c>
      <c r="AI66">
        <v>1466.345555975191</v>
      </c>
      <c r="AJ66">
        <v>1608.33714660446</v>
      </c>
      <c r="AK66">
        <v>1788.2307228747879</v>
      </c>
      <c r="AL66">
        <v>1993.495068081101</v>
      </c>
      <c r="AM66">
        <v>2214.4373852667418</v>
      </c>
      <c r="AN66">
        <v>2445.672622791863</v>
      </c>
      <c r="AO66">
        <v>2675.5224724224372</v>
      </c>
      <c r="AP66">
        <v>2869.3035727142342</v>
      </c>
      <c r="AQ66">
        <v>2892.9811714317862</v>
      </c>
      <c r="AR66">
        <v>3072.7526714523351</v>
      </c>
      <c r="AS66">
        <v>3341.28930839535</v>
      </c>
      <c r="AT66">
        <v>3603.3812843131868</v>
      </c>
      <c r="AU66">
        <v>3906.7596457351101</v>
      </c>
      <c r="AV66">
        <v>4288.3607873053224</v>
      </c>
      <c r="AW66">
        <v>4748.7110838049784</v>
      </c>
      <c r="AX66">
        <v>5317.9373074037476</v>
      </c>
      <c r="AY66">
        <v>6002.4058628524463</v>
      </c>
      <c r="AZ66">
        <v>6831.1797624081864</v>
      </c>
      <c r="BA66">
        <v>7476.6428497005036</v>
      </c>
      <c r="BB66">
        <v>8020.8734745625898</v>
      </c>
      <c r="BC66">
        <v>8827.2237705493808</v>
      </c>
      <c r="BD66">
        <v>9671.3945019602324</v>
      </c>
      <c r="BE66">
        <v>10521.43813275566</v>
      </c>
      <c r="BF66">
        <v>11177.045332788761</v>
      </c>
      <c r="BG66">
        <v>11753.501862947471</v>
      </c>
      <c r="BH66">
        <v>12146.381246446041</v>
      </c>
      <c r="BI66">
        <v>12741.99338291319</v>
      </c>
      <c r="BJ66">
        <v>13488.393251937559</v>
      </c>
      <c r="BK66">
        <v>14588.474952260551</v>
      </c>
      <c r="BL66">
        <v>15683.06289286408</v>
      </c>
      <c r="BM66">
        <v>16013.65753315445</v>
      </c>
      <c r="BN66">
        <v>17966.232211585972</v>
      </c>
      <c r="BO66">
        <v>19926.104734300839</v>
      </c>
      <c r="BP66">
        <v>21666.586245648032</v>
      </c>
      <c r="BQ66">
        <v>23248.02517943682</v>
      </c>
    </row>
    <row r="67" spans="1:69" x14ac:dyDescent="0.25">
      <c r="A67" t="s">
        <v>1168</v>
      </c>
      <c r="B67" t="s">
        <v>1169</v>
      </c>
      <c r="C67" t="s">
        <v>1580</v>
      </c>
      <c r="D67" t="s">
        <v>1581</v>
      </c>
      <c r="AI67">
        <v>2961.146880819741</v>
      </c>
      <c r="AJ67">
        <v>3124.998878601778</v>
      </c>
      <c r="AK67">
        <v>3258.755396675183</v>
      </c>
      <c r="AL67">
        <v>3342.4664099061401</v>
      </c>
      <c r="AM67">
        <v>3446.3787295327452</v>
      </c>
      <c r="AN67">
        <v>3571.665342342922</v>
      </c>
      <c r="AO67">
        <v>3764.0296903310759</v>
      </c>
      <c r="AP67">
        <v>3924.9722604747431</v>
      </c>
      <c r="AQ67">
        <v>3886.999975500943</v>
      </c>
      <c r="AR67">
        <v>3972.9105440767448</v>
      </c>
      <c r="AS67">
        <v>4171.7602657007801</v>
      </c>
      <c r="AT67">
        <v>4275.3309100317429</v>
      </c>
      <c r="AU67">
        <v>4357.0614428386607</v>
      </c>
      <c r="AV67">
        <v>4591.1627779871378</v>
      </c>
      <c r="AW67">
        <v>4945.6818108926573</v>
      </c>
      <c r="AX67">
        <v>5322.1610768634609</v>
      </c>
      <c r="AY67">
        <v>5764.1640567850127</v>
      </c>
      <c r="AZ67">
        <v>6186.4495640142313</v>
      </c>
      <c r="BA67">
        <v>6469.0729966694698</v>
      </c>
      <c r="BB67">
        <v>6555.7600533599007</v>
      </c>
      <c r="BC67">
        <v>6961.1944663411678</v>
      </c>
      <c r="BD67">
        <v>7376.2100003527621</v>
      </c>
      <c r="BE67">
        <v>7746.7923158944304</v>
      </c>
      <c r="BF67">
        <v>7978.4164409891746</v>
      </c>
      <c r="BG67">
        <v>8211.1548370377059</v>
      </c>
      <c r="BH67">
        <v>8319.9135152490362</v>
      </c>
      <c r="BI67">
        <v>8635.1749492439121</v>
      </c>
      <c r="BJ67">
        <v>9114.4376078706155</v>
      </c>
      <c r="BK67">
        <v>9604.8122176097295</v>
      </c>
      <c r="BL67">
        <v>9940.0871551817218</v>
      </c>
      <c r="BM67">
        <v>9683.1762905645155</v>
      </c>
      <c r="BN67">
        <v>10813.11641874618</v>
      </c>
      <c r="BO67">
        <v>12274.967865002111</v>
      </c>
      <c r="BP67">
        <v>13251.64058756846</v>
      </c>
      <c r="BQ67">
        <v>13995.405557695191</v>
      </c>
    </row>
    <row r="68" spans="1:69" x14ac:dyDescent="0.25">
      <c r="A68" t="s">
        <v>1170</v>
      </c>
      <c r="B68" t="s">
        <v>1171</v>
      </c>
      <c r="C68" t="s">
        <v>1580</v>
      </c>
      <c r="D68" t="s">
        <v>1581</v>
      </c>
      <c r="AI68">
        <v>3264.7646768607419</v>
      </c>
      <c r="AJ68">
        <v>3516.5005821661462</v>
      </c>
      <c r="AK68">
        <v>3743.4024048007968</v>
      </c>
      <c r="AL68">
        <v>3986.8654113447542</v>
      </c>
      <c r="AM68">
        <v>4274.1089476321467</v>
      </c>
      <c r="AN68">
        <v>4592.5549161465869</v>
      </c>
      <c r="AO68">
        <v>4915.4217097662759</v>
      </c>
      <c r="AP68">
        <v>5171.5490675282363</v>
      </c>
      <c r="AQ68">
        <v>5166.9247373790404</v>
      </c>
      <c r="AR68">
        <v>5406.9271293056954</v>
      </c>
      <c r="AS68">
        <v>5817.260197469891</v>
      </c>
      <c r="AT68">
        <v>6123.0048422537529</v>
      </c>
      <c r="AU68">
        <v>6501.4715895738118</v>
      </c>
      <c r="AV68">
        <v>6932.287656925133</v>
      </c>
      <c r="AW68">
        <v>7523.3441687504428</v>
      </c>
      <c r="AX68">
        <v>8190.8840012379242</v>
      </c>
      <c r="AY68">
        <v>8991.9370900480135</v>
      </c>
      <c r="AZ68">
        <v>9932.8510161721133</v>
      </c>
      <c r="BA68">
        <v>10562.79519556475</v>
      </c>
      <c r="BB68">
        <v>10946.90244608311</v>
      </c>
      <c r="BC68">
        <v>11884.73715544321</v>
      </c>
      <c r="BD68">
        <v>12774.0450451533</v>
      </c>
      <c r="BE68">
        <v>13656.824547643149</v>
      </c>
      <c r="BF68">
        <v>14414.518281313931</v>
      </c>
      <c r="BG68">
        <v>14992.966100791949</v>
      </c>
      <c r="BH68">
        <v>15476.316987781849</v>
      </c>
      <c r="BI68">
        <v>16050.8829878284</v>
      </c>
      <c r="BJ68">
        <v>16840.939880865819</v>
      </c>
      <c r="BK68">
        <v>17964.554801196609</v>
      </c>
      <c r="BL68">
        <v>19051.274020244651</v>
      </c>
      <c r="BM68">
        <v>19381.218397803859</v>
      </c>
      <c r="BN68">
        <v>21508.495762988208</v>
      </c>
      <c r="BO68">
        <v>23692.010973594781</v>
      </c>
      <c r="BP68">
        <v>25623.487692568189</v>
      </c>
      <c r="BQ68">
        <v>27285.211234999329</v>
      </c>
    </row>
    <row r="69" spans="1:69" x14ac:dyDescent="0.25">
      <c r="A69" t="s">
        <v>1172</v>
      </c>
      <c r="B69" t="s">
        <v>1173</v>
      </c>
      <c r="C69" t="s">
        <v>1580</v>
      </c>
      <c r="D69" t="s">
        <v>1581</v>
      </c>
      <c r="AI69">
        <v>6328.9439352943627</v>
      </c>
      <c r="AJ69">
        <v>6160.5166436399822</v>
      </c>
      <c r="AK69">
        <v>5922.4011118331746</v>
      </c>
      <c r="AL69">
        <v>5835.936350473884</v>
      </c>
      <c r="AM69">
        <v>5248.7337394242413</v>
      </c>
      <c r="AN69">
        <v>5316.2382778354968</v>
      </c>
      <c r="AO69">
        <v>5520.2783149443067</v>
      </c>
      <c r="AP69">
        <v>5899.7483734161033</v>
      </c>
      <c r="AQ69">
        <v>5200.379747557884</v>
      </c>
      <c r="AR69">
        <v>5216.2943678460088</v>
      </c>
      <c r="AS69">
        <v>5721.5928348802618</v>
      </c>
      <c r="AT69">
        <v>5929.425475320757</v>
      </c>
      <c r="AU69">
        <v>6232.3970555243504</v>
      </c>
      <c r="AV69">
        <v>6665.2734547595874</v>
      </c>
      <c r="AW69">
        <v>7528.9356317748661</v>
      </c>
      <c r="AX69">
        <v>8302.7829949599636</v>
      </c>
      <c r="AY69">
        <v>9465.1848224354126</v>
      </c>
      <c r="AZ69">
        <v>10548.94319408238</v>
      </c>
      <c r="BA69">
        <v>11372.40669074148</v>
      </c>
      <c r="BB69">
        <v>11025.914572161309</v>
      </c>
      <c r="BC69">
        <v>12030.311980700069</v>
      </c>
      <c r="BD69">
        <v>13239.18330102234</v>
      </c>
      <c r="BE69">
        <v>13983.20775531811</v>
      </c>
      <c r="BF69">
        <v>15212.709055367781</v>
      </c>
      <c r="BG69">
        <v>15736.03426838117</v>
      </c>
      <c r="BH69">
        <v>16016.953479919381</v>
      </c>
      <c r="BI69">
        <v>16611.189019289461</v>
      </c>
      <c r="BJ69">
        <v>17592.08650331842</v>
      </c>
      <c r="BK69">
        <v>18256.65761331523</v>
      </c>
      <c r="BL69">
        <v>19397.107626943529</v>
      </c>
      <c r="BM69">
        <v>19719.844327745512</v>
      </c>
      <c r="BN69">
        <v>22060.178273509919</v>
      </c>
      <c r="BO69">
        <v>25070.672414855559</v>
      </c>
      <c r="BP69">
        <v>27545.149320278171</v>
      </c>
      <c r="BQ69">
        <v>29316.46038109043</v>
      </c>
    </row>
    <row r="70" spans="1:69" x14ac:dyDescent="0.25">
      <c r="A70" t="s">
        <v>1174</v>
      </c>
      <c r="B70" t="s">
        <v>1175</v>
      </c>
      <c r="C70" t="s">
        <v>1580</v>
      </c>
      <c r="D70" t="s">
        <v>1581</v>
      </c>
      <c r="AI70">
        <v>11859.99455186426</v>
      </c>
      <c r="AJ70">
        <v>12106.07463973787</v>
      </c>
      <c r="AK70">
        <v>12119.007710315649</v>
      </c>
      <c r="AL70">
        <v>12210.75489137689</v>
      </c>
      <c r="AM70">
        <v>12425.93222233202</v>
      </c>
      <c r="AN70">
        <v>12904.596027722029</v>
      </c>
      <c r="AO70">
        <v>13342.57553151616</v>
      </c>
      <c r="AP70">
        <v>13923.37571909197</v>
      </c>
      <c r="AQ70">
        <v>14205.72293169683</v>
      </c>
      <c r="AR70">
        <v>14766.235767742461</v>
      </c>
      <c r="AS70">
        <v>15906.13660816692</v>
      </c>
      <c r="AT70">
        <v>16705.148186206861</v>
      </c>
      <c r="AU70">
        <v>17493.51908803279</v>
      </c>
      <c r="AV70">
        <v>18160.428115161409</v>
      </c>
      <c r="AW70">
        <v>19282.768077076678</v>
      </c>
      <c r="AX70">
        <v>20327.169445826668</v>
      </c>
      <c r="AY70">
        <v>22499.823815600281</v>
      </c>
      <c r="AZ70">
        <v>24129.312828397109</v>
      </c>
      <c r="BA70">
        <v>25769.811582430339</v>
      </c>
      <c r="BB70">
        <v>25074.219510984491</v>
      </c>
      <c r="BC70">
        <v>26144.942260022421</v>
      </c>
      <c r="BD70">
        <v>27735.59995413449</v>
      </c>
      <c r="BE70">
        <v>28482.105879309191</v>
      </c>
      <c r="BF70">
        <v>29778.95028552091</v>
      </c>
      <c r="BG70">
        <v>30539.243907154669</v>
      </c>
      <c r="BH70">
        <v>30970.51109485995</v>
      </c>
      <c r="BI70">
        <v>32380.694639259731</v>
      </c>
      <c r="BJ70">
        <v>34119.898390020368</v>
      </c>
      <c r="BK70">
        <v>35848.040301287961</v>
      </c>
      <c r="BL70">
        <v>38464.757022121732</v>
      </c>
      <c r="BM70">
        <v>37950.177178586957</v>
      </c>
      <c r="BN70">
        <v>42240.437584562758</v>
      </c>
      <c r="BO70">
        <v>47585.748917871118</v>
      </c>
      <c r="BP70">
        <v>50275.35090236878</v>
      </c>
      <c r="BQ70">
        <v>52469.957061641653</v>
      </c>
    </row>
    <row r="71" spans="1:69" x14ac:dyDescent="0.25">
      <c r="A71" t="s">
        <v>1176</v>
      </c>
      <c r="B71" t="s">
        <v>1177</v>
      </c>
      <c r="C71" t="s">
        <v>1580</v>
      </c>
      <c r="D71" t="s">
        <v>1581</v>
      </c>
      <c r="AI71">
        <v>4631.553258362399</v>
      </c>
      <c r="AJ71">
        <v>4886.9478083980921</v>
      </c>
      <c r="AK71">
        <v>4997.6436327671991</v>
      </c>
      <c r="AL71">
        <v>5112.2187705735669</v>
      </c>
      <c r="AM71">
        <v>5339.3972619463393</v>
      </c>
      <c r="AN71">
        <v>5469.1484353731248</v>
      </c>
      <c r="AO71">
        <v>5559.9781529547818</v>
      </c>
      <c r="AP71">
        <v>5792.6496913877736</v>
      </c>
      <c r="AQ71">
        <v>5940.4419753536358</v>
      </c>
      <c r="AR71">
        <v>5637.9169326362917</v>
      </c>
      <c r="AS71">
        <v>5728.2524985713326</v>
      </c>
      <c r="AT71">
        <v>5998.8750864861149</v>
      </c>
      <c r="AU71">
        <v>6281.5221515110816</v>
      </c>
      <c r="AV71">
        <v>6475.0659734373603</v>
      </c>
      <c r="AW71">
        <v>6980.0912635636232</v>
      </c>
      <c r="AX71">
        <v>7457.4655360656416</v>
      </c>
      <c r="AY71">
        <v>7884.516935944961</v>
      </c>
      <c r="AZ71">
        <v>8112.4482447366127</v>
      </c>
      <c r="BA71">
        <v>8662.607362820745</v>
      </c>
      <c r="BB71">
        <v>8662.1067269097875</v>
      </c>
      <c r="BC71">
        <v>8968.940408389426</v>
      </c>
      <c r="BD71">
        <v>9768.6920108040431</v>
      </c>
      <c r="BE71">
        <v>10244.51778161839</v>
      </c>
      <c r="BF71">
        <v>11295.61278044189</v>
      </c>
      <c r="BG71">
        <v>11835.609127653781</v>
      </c>
      <c r="BH71">
        <v>10877.75074613881</v>
      </c>
      <c r="BI71">
        <v>10881.489070673229</v>
      </c>
      <c r="BJ71">
        <v>11793.479742694401</v>
      </c>
      <c r="BK71">
        <v>12186.88460843877</v>
      </c>
      <c r="BL71">
        <v>12543.01482439246</v>
      </c>
      <c r="BM71">
        <v>11526.80130092776</v>
      </c>
      <c r="BN71">
        <v>13507.444563837449</v>
      </c>
      <c r="BO71">
        <v>15198.07255544725</v>
      </c>
      <c r="BP71">
        <v>15918.51629487729</v>
      </c>
      <c r="BQ71">
        <v>15840.26685674118</v>
      </c>
    </row>
    <row r="72" spans="1:69" x14ac:dyDescent="0.25">
      <c r="A72" t="s">
        <v>1178</v>
      </c>
      <c r="B72" t="s">
        <v>1179</v>
      </c>
      <c r="C72" t="s">
        <v>1580</v>
      </c>
      <c r="D72" t="s">
        <v>1581</v>
      </c>
      <c r="AI72">
        <v>3566.0345654049829</v>
      </c>
      <c r="AJ72">
        <v>3626.741206653458</v>
      </c>
      <c r="AK72">
        <v>3783.8025708177588</v>
      </c>
      <c r="AL72">
        <v>3894.9409774791852</v>
      </c>
      <c r="AM72">
        <v>4048.0222095285412</v>
      </c>
      <c r="AN72">
        <v>4234.7134685244937</v>
      </c>
      <c r="AO72">
        <v>4434.4649105975323</v>
      </c>
      <c r="AP72">
        <v>4661.0798186550637</v>
      </c>
      <c r="AQ72">
        <v>4868.7204658548208</v>
      </c>
      <c r="AR72">
        <v>5121.0025692886238</v>
      </c>
      <c r="AS72">
        <v>5451.5156699211839</v>
      </c>
      <c r="AT72">
        <v>5650.0519623760702</v>
      </c>
      <c r="AU72">
        <v>5752.6970807046791</v>
      </c>
      <c r="AV72">
        <v>5928.0794534471497</v>
      </c>
      <c r="AW72">
        <v>6207.124921609432</v>
      </c>
      <c r="AX72">
        <v>6554.1288509517917</v>
      </c>
      <c r="AY72">
        <v>7079.0280845691868</v>
      </c>
      <c r="AZ72">
        <v>7640.5722859720436</v>
      </c>
      <c r="BA72">
        <v>8190.7091316100023</v>
      </c>
      <c r="BB72">
        <v>8465.0205241266176</v>
      </c>
      <c r="BC72">
        <v>8837.7645003370271</v>
      </c>
      <c r="BD72">
        <v>8988.107818806533</v>
      </c>
      <c r="BE72">
        <v>10342.431711275391</v>
      </c>
      <c r="BF72">
        <v>10511.393167849459</v>
      </c>
      <c r="BG72">
        <v>10256.43675536159</v>
      </c>
      <c r="BH72">
        <v>10903.33682311848</v>
      </c>
      <c r="BI72">
        <v>10665.667649968471</v>
      </c>
      <c r="BJ72">
        <v>11124.735109814919</v>
      </c>
      <c r="BK72">
        <v>12329.24467814359</v>
      </c>
      <c r="BL72">
        <v>13363.73269632299</v>
      </c>
      <c r="BM72">
        <v>15231.86541776404</v>
      </c>
      <c r="BN72">
        <v>15579.016086155119</v>
      </c>
      <c r="BO72">
        <v>17526.80170301655</v>
      </c>
      <c r="BP72">
        <v>18524.83929979369</v>
      </c>
      <c r="BQ72">
        <v>19094.144944411131</v>
      </c>
    </row>
    <row r="73" spans="1:69" x14ac:dyDescent="0.25">
      <c r="A73" t="s">
        <v>1180</v>
      </c>
      <c r="B73" t="s">
        <v>1181</v>
      </c>
      <c r="C73" t="s">
        <v>1580</v>
      </c>
      <c r="D73" t="s">
        <v>1581</v>
      </c>
      <c r="AI73">
        <v>17003.32526302215</v>
      </c>
      <c r="AJ73">
        <v>17892.920184911251</v>
      </c>
      <c r="AK73">
        <v>18400.016804887171</v>
      </c>
      <c r="AL73">
        <v>18618.409664217659</v>
      </c>
      <c r="AM73">
        <v>19431.357655928899</v>
      </c>
      <c r="AN73">
        <v>20277.41842372678</v>
      </c>
      <c r="AO73">
        <v>20906.108835865889</v>
      </c>
      <c r="AP73">
        <v>21745.60579732211</v>
      </c>
      <c r="AQ73">
        <v>22773.782342415121</v>
      </c>
      <c r="AR73">
        <v>23669.582964699908</v>
      </c>
      <c r="AS73">
        <v>25153.770835427658</v>
      </c>
      <c r="AT73">
        <v>26340.896592113109</v>
      </c>
      <c r="AU73">
        <v>27376.45292263358</v>
      </c>
      <c r="AV73">
        <v>27837.071823251779</v>
      </c>
      <c r="AW73">
        <v>28933.862247411798</v>
      </c>
      <c r="AX73">
        <v>29965.093072907141</v>
      </c>
      <c r="AY73">
        <v>32427.804823411159</v>
      </c>
      <c r="AZ73">
        <v>34322.755495009464</v>
      </c>
      <c r="BA73">
        <v>35611.3072009233</v>
      </c>
      <c r="BB73">
        <v>34755.686736684227</v>
      </c>
      <c r="BC73">
        <v>35707.929377347013</v>
      </c>
      <c r="BD73">
        <v>37406.043261819403</v>
      </c>
      <c r="BE73">
        <v>37747.992128809223</v>
      </c>
      <c r="BF73">
        <v>39017.037152927347</v>
      </c>
      <c r="BG73">
        <v>40070.520475940291</v>
      </c>
      <c r="BH73">
        <v>41183.560322644589</v>
      </c>
      <c r="BI73">
        <v>43674.472766687883</v>
      </c>
      <c r="BJ73">
        <v>45770.097956642043</v>
      </c>
      <c r="BK73">
        <v>47691.733657686171</v>
      </c>
      <c r="BL73">
        <v>51207.809942056498</v>
      </c>
      <c r="BM73">
        <v>49659.832362519432</v>
      </c>
      <c r="BN73">
        <v>54157.624353965723</v>
      </c>
      <c r="BO73">
        <v>60963.954132579471</v>
      </c>
      <c r="BP73">
        <v>64036.519578693827</v>
      </c>
      <c r="BQ73">
        <v>66098.010886427539</v>
      </c>
    </row>
    <row r="74" spans="1:69" x14ac:dyDescent="0.25">
      <c r="A74" t="s">
        <v>1182</v>
      </c>
      <c r="B74" t="s">
        <v>1183</v>
      </c>
      <c r="C74" t="s">
        <v>1580</v>
      </c>
      <c r="D74" t="s">
        <v>1581</v>
      </c>
      <c r="AK74">
        <v>1020.568838760906</v>
      </c>
      <c r="AL74">
        <v>1148.762008752502</v>
      </c>
      <c r="AM74">
        <v>1379.2454709098949</v>
      </c>
      <c r="AN74">
        <v>1368.7787628565311</v>
      </c>
      <c r="AO74">
        <v>1449.0548327657459</v>
      </c>
      <c r="AP74">
        <v>1573.1254547189881</v>
      </c>
      <c r="AQ74">
        <v>1598.0021947014211</v>
      </c>
      <c r="AR74">
        <v>1597.1299224019531</v>
      </c>
      <c r="AS74">
        <v>1557.875802315813</v>
      </c>
      <c r="AT74">
        <v>1683.6844186610881</v>
      </c>
      <c r="AU74">
        <v>1701.6952368487759</v>
      </c>
      <c r="AV74">
        <v>1620.8509304003851</v>
      </c>
      <c r="AW74">
        <v>1620.764029124816</v>
      </c>
      <c r="AX74">
        <v>1674.0700545397799</v>
      </c>
      <c r="AY74">
        <v>1682.2389419934741</v>
      </c>
      <c r="AZ74">
        <v>1727.093441725809</v>
      </c>
      <c r="BA74">
        <v>1546.9274753576769</v>
      </c>
      <c r="BB74">
        <v>1576.742845990774</v>
      </c>
      <c r="BC74">
        <v>1599.191061064565</v>
      </c>
      <c r="BD74">
        <v>1742.3236301823499</v>
      </c>
    </row>
    <row r="75" spans="1:69" x14ac:dyDescent="0.25">
      <c r="A75" t="s">
        <v>1184</v>
      </c>
      <c r="B75" t="s">
        <v>301</v>
      </c>
      <c r="C75" t="s">
        <v>1580</v>
      </c>
      <c r="D75" t="s">
        <v>1581</v>
      </c>
      <c r="AI75">
        <v>13675.605533681501</v>
      </c>
      <c r="AJ75">
        <v>14461.20073155809</v>
      </c>
      <c r="AK75">
        <v>14855.25745639321</v>
      </c>
      <c r="AL75">
        <v>14972.67628641101</v>
      </c>
      <c r="AM75">
        <v>15582.447041904201</v>
      </c>
      <c r="AN75">
        <v>16275.854850462851</v>
      </c>
      <c r="AO75">
        <v>16971.253814457341</v>
      </c>
      <c r="AP75">
        <v>17903.39884218097</v>
      </c>
      <c r="AQ75">
        <v>19082.842003870152</v>
      </c>
      <c r="AR75">
        <v>19938.178677317319</v>
      </c>
      <c r="AS75">
        <v>21582.20679555583</v>
      </c>
      <c r="AT75">
        <v>22952.364109969469</v>
      </c>
      <c r="AU75">
        <v>24377.841707639382</v>
      </c>
      <c r="AV75">
        <v>25057.346994583761</v>
      </c>
      <c r="AW75">
        <v>26159.786472049131</v>
      </c>
      <c r="AX75">
        <v>27629.707702496551</v>
      </c>
      <c r="AY75">
        <v>30748.73963260914</v>
      </c>
      <c r="AZ75">
        <v>32536.188268403821</v>
      </c>
      <c r="BA75">
        <v>33349.942580612951</v>
      </c>
      <c r="BB75">
        <v>32218.288017015529</v>
      </c>
      <c r="BC75">
        <v>31804.674657168878</v>
      </c>
      <c r="BD75">
        <v>32015.575200040119</v>
      </c>
      <c r="BE75">
        <v>31869.783982221928</v>
      </c>
      <c r="BF75">
        <v>32613.689181147391</v>
      </c>
      <c r="BG75">
        <v>33760.955564636883</v>
      </c>
      <c r="BH75">
        <v>35228.6333036223</v>
      </c>
      <c r="BI75">
        <v>37612.71886813415</v>
      </c>
      <c r="BJ75">
        <v>39825.249811629154</v>
      </c>
      <c r="BK75">
        <v>41015.156575518748</v>
      </c>
      <c r="BL75">
        <v>44042.757577335979</v>
      </c>
      <c r="BM75">
        <v>39327.847926959861</v>
      </c>
      <c r="BN75">
        <v>44251.665822262141</v>
      </c>
      <c r="BO75">
        <v>51398.931040340707</v>
      </c>
      <c r="BP75">
        <v>55682.240260309263</v>
      </c>
      <c r="BQ75">
        <v>57965.294813883731</v>
      </c>
    </row>
    <row r="76" spans="1:69" x14ac:dyDescent="0.25">
      <c r="A76" t="s">
        <v>1185</v>
      </c>
      <c r="B76" t="s">
        <v>1186</v>
      </c>
      <c r="C76" t="s">
        <v>1580</v>
      </c>
      <c r="D76" t="s">
        <v>1581</v>
      </c>
      <c r="AI76">
        <v>7480.8983405163044</v>
      </c>
      <c r="AJ76">
        <v>7151.0086840531794</v>
      </c>
      <c r="AK76">
        <v>5871.8426596429008</v>
      </c>
      <c r="AL76">
        <v>5813.715550993893</v>
      </c>
      <c r="AM76">
        <v>5966.5856699601636</v>
      </c>
      <c r="AN76">
        <v>6479.6774590123196</v>
      </c>
      <c r="AO76">
        <v>6891.8558262237802</v>
      </c>
      <c r="AP76">
        <v>7979.7869507257492</v>
      </c>
      <c r="AQ76">
        <v>8451.082233388046</v>
      </c>
      <c r="AR76">
        <v>8412.0667764734335</v>
      </c>
      <c r="AS76">
        <v>9424.507154744404</v>
      </c>
      <c r="AT76">
        <v>10308.899096534091</v>
      </c>
      <c r="AU76">
        <v>11666.664963848931</v>
      </c>
      <c r="AV76">
        <v>13135.041968312749</v>
      </c>
      <c r="AW76">
        <v>14538.027320393239</v>
      </c>
      <c r="AX76">
        <v>16638.077974939719</v>
      </c>
      <c r="AY76">
        <v>19344.263898090201</v>
      </c>
      <c r="AZ76">
        <v>22200.548640742491</v>
      </c>
      <c r="BA76">
        <v>22803.519474227291</v>
      </c>
      <c r="BB76">
        <v>20488.949907240021</v>
      </c>
      <c r="BC76">
        <v>21614.30683073611</v>
      </c>
      <c r="BD76">
        <v>24652.361029791799</v>
      </c>
      <c r="BE76">
        <v>26242.528265901419</v>
      </c>
      <c r="BF76">
        <v>27831.152623421331</v>
      </c>
      <c r="BG76">
        <v>29403.658449481489</v>
      </c>
      <c r="BH76">
        <v>29712.62994737281</v>
      </c>
      <c r="BI76">
        <v>31947.77691074372</v>
      </c>
      <c r="BJ76">
        <v>34506.648694250638</v>
      </c>
      <c r="BK76">
        <v>37120.987976167737</v>
      </c>
      <c r="BL76">
        <v>40586.37843788875</v>
      </c>
      <c r="BM76">
        <v>40672.134040213161</v>
      </c>
      <c r="BN76">
        <v>44251.537498345511</v>
      </c>
      <c r="BO76">
        <v>48217.552310602827</v>
      </c>
      <c r="BP76">
        <v>48637.18022087952</v>
      </c>
      <c r="BQ76">
        <v>49968.710827837298</v>
      </c>
    </row>
    <row r="77" spans="1:69" x14ac:dyDescent="0.25">
      <c r="A77" t="s">
        <v>1187</v>
      </c>
      <c r="B77" t="s">
        <v>1188</v>
      </c>
      <c r="C77" t="s">
        <v>1580</v>
      </c>
      <c r="D77" t="s">
        <v>1581</v>
      </c>
      <c r="AI77">
        <v>417.02657846647787</v>
      </c>
      <c r="AJ77">
        <v>383.38722756920652</v>
      </c>
      <c r="AK77">
        <v>343.36154868578518</v>
      </c>
      <c r="AL77">
        <v>383.96068017684581</v>
      </c>
      <c r="AM77">
        <v>390.82394645447221</v>
      </c>
      <c r="AN77">
        <v>409.29433319529272</v>
      </c>
      <c r="AO77">
        <v>453.36839557523081</v>
      </c>
      <c r="AP77">
        <v>460.63639151810082</v>
      </c>
      <c r="AQ77">
        <v>435.80150566109512</v>
      </c>
      <c r="AR77">
        <v>450.48602007424341</v>
      </c>
      <c r="AS77">
        <v>473.90331348207292</v>
      </c>
      <c r="AT77">
        <v>509.11930182978449</v>
      </c>
      <c r="AU77">
        <v>509.12631407764349</v>
      </c>
      <c r="AV77">
        <v>492.84075542998301</v>
      </c>
      <c r="AW77">
        <v>557.82563481780403</v>
      </c>
      <c r="AX77">
        <v>624.51069242569463</v>
      </c>
      <c r="AY77">
        <v>692.86690765677429</v>
      </c>
      <c r="AZ77">
        <v>770.26115521281508</v>
      </c>
      <c r="BA77">
        <v>844.98838001869467</v>
      </c>
      <c r="BB77">
        <v>899.14090179665072</v>
      </c>
      <c r="BC77">
        <v>995.65397857874666</v>
      </c>
      <c r="BD77">
        <v>1098.115157287868</v>
      </c>
      <c r="BE77">
        <v>1178.9747455302629</v>
      </c>
      <c r="BF77">
        <v>1252.868964080043</v>
      </c>
      <c r="BG77">
        <v>1484.631455666075</v>
      </c>
      <c r="BH77">
        <v>1632.6181800683671</v>
      </c>
      <c r="BI77">
        <v>1857.549465152244</v>
      </c>
      <c r="BJ77">
        <v>2004.747556331291</v>
      </c>
      <c r="BK77">
        <v>2095.3175782979019</v>
      </c>
      <c r="BL77">
        <v>2242.4448831046438</v>
      </c>
      <c r="BM77">
        <v>2406.789384786689</v>
      </c>
      <c r="BN77">
        <v>2588.4131021588369</v>
      </c>
      <c r="BO77">
        <v>2844.9227453575309</v>
      </c>
      <c r="BP77">
        <v>3060.9050300375989</v>
      </c>
      <c r="BQ77">
        <v>3287.5349215889278</v>
      </c>
    </row>
    <row r="78" spans="1:69" x14ac:dyDescent="0.25">
      <c r="A78" t="s">
        <v>1189</v>
      </c>
      <c r="B78" t="s">
        <v>1190</v>
      </c>
      <c r="C78" t="s">
        <v>1580</v>
      </c>
      <c r="D78" t="s">
        <v>1581</v>
      </c>
      <c r="AI78">
        <v>14971.76809730945</v>
      </c>
      <c r="AJ78">
        <v>15564.775621917859</v>
      </c>
      <c r="AK78">
        <v>15976.95598940492</v>
      </c>
      <c r="AL78">
        <v>16209.5151604282</v>
      </c>
      <c r="AM78">
        <v>16961.885532441509</v>
      </c>
      <c r="AN78">
        <v>17772.632467267231</v>
      </c>
      <c r="AO78">
        <v>18363.356346476008</v>
      </c>
      <c r="AP78">
        <v>19080.712698315059</v>
      </c>
      <c r="AQ78">
        <v>19973.92868952248</v>
      </c>
      <c r="AR78">
        <v>20773.419883024009</v>
      </c>
      <c r="AS78">
        <v>22112.026199559881</v>
      </c>
      <c r="AT78">
        <v>23204.895219114249</v>
      </c>
      <c r="AU78">
        <v>24212.226571904161</v>
      </c>
      <c r="AV78">
        <v>24723.67063210893</v>
      </c>
      <c r="AW78">
        <v>25879.978030301299</v>
      </c>
      <c r="AX78">
        <v>26852.97231338462</v>
      </c>
      <c r="AY78">
        <v>29153.16393856904</v>
      </c>
      <c r="AZ78">
        <v>31056.758397319161</v>
      </c>
      <c r="BA78">
        <v>32496.72567989082</v>
      </c>
      <c r="BB78">
        <v>31873.45504341643</v>
      </c>
      <c r="BC78">
        <v>32923.818653568072</v>
      </c>
      <c r="BD78">
        <v>34598.454774584257</v>
      </c>
      <c r="BE78">
        <v>35037.372029314472</v>
      </c>
      <c r="BF78">
        <v>36199.601185522508</v>
      </c>
      <c r="BG78">
        <v>37271.926059194528</v>
      </c>
      <c r="BH78">
        <v>38444.682320202373</v>
      </c>
      <c r="BI78">
        <v>40783.021941146748</v>
      </c>
      <c r="BJ78">
        <v>42898.084678895379</v>
      </c>
      <c r="BK78">
        <v>44903.470299951157</v>
      </c>
      <c r="BL78">
        <v>48450.952771246812</v>
      </c>
      <c r="BM78">
        <v>47433.235102782688</v>
      </c>
      <c r="BN78">
        <v>51846.516161082051</v>
      </c>
      <c r="BO78">
        <v>58394.877022248373</v>
      </c>
      <c r="BP78">
        <v>61412.780614219642</v>
      </c>
      <c r="BQ78">
        <v>63610.227392985733</v>
      </c>
    </row>
    <row r="79" spans="1:69" x14ac:dyDescent="0.25">
      <c r="A79" t="s">
        <v>1191</v>
      </c>
      <c r="B79" t="s">
        <v>1192</v>
      </c>
      <c r="C79" t="s">
        <v>1580</v>
      </c>
      <c r="D79" t="s">
        <v>1581</v>
      </c>
      <c r="AI79">
        <v>2695.7852614374369</v>
      </c>
      <c r="AJ79">
        <v>2748.091597281857</v>
      </c>
      <c r="AK79">
        <v>2754.5738112069348</v>
      </c>
      <c r="AL79">
        <v>2679.4120888223711</v>
      </c>
      <c r="AM79">
        <v>2530.8483689538152</v>
      </c>
      <c r="AN79">
        <v>2507.6649894800248</v>
      </c>
      <c r="AO79">
        <v>2542.1546956532411</v>
      </c>
      <c r="AP79">
        <v>2658.535466372186</v>
      </c>
      <c r="AQ79">
        <v>2737.917604373848</v>
      </c>
      <c r="AR79">
        <v>2756.3403445043882</v>
      </c>
      <c r="AS79">
        <v>2915.9609785340258</v>
      </c>
      <c r="AT79">
        <v>3042.5320399102111</v>
      </c>
      <c r="AU79">
        <v>3085.1866872325559</v>
      </c>
      <c r="AV79">
        <v>3036.7585092504241</v>
      </c>
      <c r="AW79">
        <v>3453.441104176261</v>
      </c>
      <c r="AX79">
        <v>3700.4095986175398</v>
      </c>
      <c r="AY79">
        <v>3975.6909400688178</v>
      </c>
      <c r="AZ79">
        <v>4252.3707794919064</v>
      </c>
      <c r="BA79">
        <v>4448.7190383502748</v>
      </c>
      <c r="BB79">
        <v>4416.5839608864608</v>
      </c>
      <c r="BC79">
        <v>4603.9525276806926</v>
      </c>
      <c r="BD79">
        <v>4652.682692890382</v>
      </c>
      <c r="BE79">
        <v>4869.8073378907866</v>
      </c>
      <c r="BF79">
        <v>5093.9123992258801</v>
      </c>
      <c r="BG79">
        <v>5141.2143243311721</v>
      </c>
      <c r="BH79">
        <v>4942.5257901881196</v>
      </c>
      <c r="BI79">
        <v>4985.1268027154538</v>
      </c>
      <c r="BJ79">
        <v>5261.517632647352</v>
      </c>
      <c r="BK79">
        <v>5415.6298663477819</v>
      </c>
      <c r="BL79">
        <v>5650.7088254021501</v>
      </c>
      <c r="BM79">
        <v>5457.8804678471652</v>
      </c>
      <c r="BN79">
        <v>5760.7819109520387</v>
      </c>
      <c r="BO79">
        <v>5994.6775310943904</v>
      </c>
      <c r="BP79">
        <v>6234.0905263835239</v>
      </c>
      <c r="BQ79">
        <v>6394.5659133094523</v>
      </c>
    </row>
    <row r="80" spans="1:69" x14ac:dyDescent="0.25">
      <c r="A80" t="s">
        <v>1193</v>
      </c>
      <c r="B80" t="s">
        <v>1194</v>
      </c>
      <c r="C80" t="s">
        <v>1580</v>
      </c>
      <c r="D80" t="s">
        <v>1581</v>
      </c>
      <c r="AI80">
        <v>18148.62277915523</v>
      </c>
      <c r="AJ80">
        <v>17562.84138724588</v>
      </c>
      <c r="AK80">
        <v>17270.94113695671</v>
      </c>
      <c r="AL80">
        <v>17457.767629236911</v>
      </c>
      <c r="AM80">
        <v>18457.654146454752</v>
      </c>
      <c r="AN80">
        <v>19567.782644421572</v>
      </c>
      <c r="AO80">
        <v>20067.453376750851</v>
      </c>
      <c r="AP80">
        <v>21787.108290017881</v>
      </c>
      <c r="AQ80">
        <v>23569.9333806125</v>
      </c>
      <c r="AR80">
        <v>24761.816556563801</v>
      </c>
      <c r="AS80">
        <v>26782.85742590165</v>
      </c>
      <c r="AT80">
        <v>27798.058273542141</v>
      </c>
      <c r="AU80">
        <v>28596.26063454571</v>
      </c>
      <c r="AV80">
        <v>29042.698985165</v>
      </c>
      <c r="AW80">
        <v>31195.1243346394</v>
      </c>
      <c r="AX80">
        <v>32047.706931556429</v>
      </c>
      <c r="AY80">
        <v>34440.377103916173</v>
      </c>
      <c r="AZ80">
        <v>37842.916469520293</v>
      </c>
      <c r="BA80">
        <v>40081.221248206581</v>
      </c>
      <c r="BB80">
        <v>37988.44986595364</v>
      </c>
      <c r="BC80">
        <v>38946.228265358033</v>
      </c>
      <c r="BD80">
        <v>40845.956672984918</v>
      </c>
      <c r="BE80">
        <v>40739.113180942048</v>
      </c>
      <c r="BF80">
        <v>41325.805207232057</v>
      </c>
      <c r="BG80">
        <v>41547.098448539327</v>
      </c>
      <c r="BH80">
        <v>42257.859379129681</v>
      </c>
      <c r="BI80">
        <v>44562.401107206708</v>
      </c>
      <c r="BJ80">
        <v>47234.852860093873</v>
      </c>
      <c r="BK80">
        <v>49248.677539586628</v>
      </c>
      <c r="BL80">
        <v>52276.111572399219</v>
      </c>
      <c r="BM80">
        <v>53296.579279885169</v>
      </c>
      <c r="BN80">
        <v>56790.376617769172</v>
      </c>
      <c r="BO80">
        <v>62133.137521991157</v>
      </c>
      <c r="BP80">
        <v>63414.993687817732</v>
      </c>
      <c r="BQ80">
        <v>65378.384185972063</v>
      </c>
    </row>
    <row r="81" spans="1:69" x14ac:dyDescent="0.25">
      <c r="A81" t="s">
        <v>1195</v>
      </c>
      <c r="B81" t="s">
        <v>1196</v>
      </c>
      <c r="C81" t="s">
        <v>1580</v>
      </c>
      <c r="D81" t="s">
        <v>1581</v>
      </c>
      <c r="AI81">
        <v>3881.564816051713</v>
      </c>
      <c r="AJ81">
        <v>3872.7349395972501</v>
      </c>
      <c r="AK81">
        <v>4172.1605237929107</v>
      </c>
      <c r="AL81">
        <v>4334.3072951470476</v>
      </c>
      <c r="AM81">
        <v>4626.8533667715919</v>
      </c>
      <c r="AN81">
        <v>4817.8643387329575</v>
      </c>
      <c r="AO81">
        <v>5109.3010593200206</v>
      </c>
      <c r="AP81">
        <v>5030.8038555921039</v>
      </c>
      <c r="AQ81">
        <v>5090.0582698175422</v>
      </c>
      <c r="AR81">
        <v>5551.7363325511342</v>
      </c>
      <c r="AS81">
        <v>5520.7075634565826</v>
      </c>
      <c r="AT81">
        <v>5699.0432276617194</v>
      </c>
      <c r="AU81">
        <v>5913.9687508518773</v>
      </c>
      <c r="AV81">
        <v>6033.1203034394566</v>
      </c>
      <c r="AW81">
        <v>6463.4245697401566</v>
      </c>
      <c r="AX81">
        <v>6651.7855917701518</v>
      </c>
      <c r="AY81">
        <v>6921.2976281022738</v>
      </c>
      <c r="AZ81">
        <v>6989.7230922026902</v>
      </c>
      <c r="BA81">
        <v>7153.6191451032228</v>
      </c>
      <c r="BB81">
        <v>7067.9348206401137</v>
      </c>
      <c r="BC81">
        <v>7339.4768517028742</v>
      </c>
      <c r="BD81">
        <v>7671.8810376956926</v>
      </c>
      <c r="BE81">
        <v>8204.4656547500908</v>
      </c>
      <c r="BF81">
        <v>8842.151739437455</v>
      </c>
      <c r="BG81">
        <v>10516.25971155512</v>
      </c>
      <c r="BH81">
        <v>11519.301218732409</v>
      </c>
      <c r="BI81">
        <v>11765.53798922356</v>
      </c>
      <c r="BJ81">
        <v>12585.27772151607</v>
      </c>
      <c r="BK81">
        <v>12984.20727008633</v>
      </c>
      <c r="BL81">
        <v>12978.09903527041</v>
      </c>
      <c r="BM81">
        <v>10716.291436766331</v>
      </c>
      <c r="BN81">
        <v>10322.42796388542</v>
      </c>
      <c r="BO81">
        <v>12982.29145199191</v>
      </c>
      <c r="BP81">
        <v>14644.177375436129</v>
      </c>
      <c r="BQ81">
        <v>15450.299326538779</v>
      </c>
    </row>
    <row r="82" spans="1:69" x14ac:dyDescent="0.25">
      <c r="A82" t="s">
        <v>1197</v>
      </c>
      <c r="B82" t="s">
        <v>1198</v>
      </c>
      <c r="C82" t="s">
        <v>1580</v>
      </c>
      <c r="D82" t="s">
        <v>1581</v>
      </c>
      <c r="AI82">
        <v>17474.753359115271</v>
      </c>
      <c r="AJ82">
        <v>18197.527734728301</v>
      </c>
      <c r="AK82">
        <v>18800.54081675917</v>
      </c>
      <c r="AL82">
        <v>19093.846889650849</v>
      </c>
      <c r="AM82">
        <v>19891.745432480519</v>
      </c>
      <c r="AN82">
        <v>20701.381234349981</v>
      </c>
      <c r="AO82">
        <v>21268.48880690791</v>
      </c>
      <c r="AP82">
        <v>22190.166628994099</v>
      </c>
      <c r="AQ82">
        <v>23262.737806038778</v>
      </c>
      <c r="AR82">
        <v>24203.875592006229</v>
      </c>
      <c r="AS82">
        <v>26007.443230337602</v>
      </c>
      <c r="AT82">
        <v>27346.83496201802</v>
      </c>
      <c r="AU82">
        <v>28350.09856054276</v>
      </c>
      <c r="AV82">
        <v>28024.089724469519</v>
      </c>
      <c r="AW82">
        <v>28921.260803132311</v>
      </c>
      <c r="AX82">
        <v>30431.2367240202</v>
      </c>
      <c r="AY82">
        <v>32423.522506879901</v>
      </c>
      <c r="AZ82">
        <v>34066.239322824869</v>
      </c>
      <c r="BA82">
        <v>35053.262706911577</v>
      </c>
      <c r="BB82">
        <v>34685.005924995829</v>
      </c>
      <c r="BC82">
        <v>35907.553103157377</v>
      </c>
      <c r="BD82">
        <v>37510.375989871383</v>
      </c>
      <c r="BE82">
        <v>37671.02392685652</v>
      </c>
      <c r="BF82">
        <v>39583.352043504543</v>
      </c>
      <c r="BG82">
        <v>40218.125863777597</v>
      </c>
      <c r="BH82">
        <v>40905.17677509936</v>
      </c>
      <c r="BI82">
        <v>42880.23513554308</v>
      </c>
      <c r="BJ82">
        <v>44469.14588568046</v>
      </c>
      <c r="BK82">
        <v>46381.059062945707</v>
      </c>
      <c r="BL82">
        <v>51130.472314057763</v>
      </c>
      <c r="BM82">
        <v>49481.804430965451</v>
      </c>
      <c r="BN82">
        <v>52517.335490585523</v>
      </c>
      <c r="BO82">
        <v>57042.944901377217</v>
      </c>
      <c r="BP82">
        <v>60838.94167164238</v>
      </c>
      <c r="BQ82">
        <v>62556.918104539996</v>
      </c>
    </row>
    <row r="83" spans="1:69" x14ac:dyDescent="0.25">
      <c r="A83" t="s">
        <v>1199</v>
      </c>
      <c r="B83" t="s">
        <v>1200</v>
      </c>
      <c r="C83" t="s">
        <v>1580</v>
      </c>
      <c r="D83" t="s">
        <v>1581</v>
      </c>
      <c r="BA83">
        <v>41160.108509285419</v>
      </c>
      <c r="BB83">
        <v>39330.596445474992</v>
      </c>
      <c r="BC83">
        <v>39766.591102921448</v>
      </c>
      <c r="BD83">
        <v>42133.215148698291</v>
      </c>
      <c r="BE83">
        <v>46196.842824186017</v>
      </c>
      <c r="BF83">
        <v>49780.841603271947</v>
      </c>
      <c r="BG83">
        <v>53198.413853891441</v>
      </c>
      <c r="BH83">
        <v>53684.367165346281</v>
      </c>
      <c r="BI83">
        <v>54318.303932189338</v>
      </c>
      <c r="BJ83">
        <v>56416.231950057423</v>
      </c>
      <c r="BK83">
        <v>58933.131475380404</v>
      </c>
      <c r="BL83">
        <v>62223.443051434529</v>
      </c>
      <c r="BM83">
        <v>61650.85122568065</v>
      </c>
      <c r="BN83">
        <v>68426.794321889829</v>
      </c>
      <c r="BO83">
        <v>75265.658538859396</v>
      </c>
      <c r="BP83">
        <v>79694.929791758012</v>
      </c>
      <c r="BQ83">
        <v>81908.778178501758</v>
      </c>
    </row>
    <row r="84" spans="1:69" x14ac:dyDescent="0.25">
      <c r="A84" t="s">
        <v>1201</v>
      </c>
      <c r="B84" t="s">
        <v>1202</v>
      </c>
      <c r="C84" t="s">
        <v>1580</v>
      </c>
      <c r="D84" t="s">
        <v>1581</v>
      </c>
      <c r="AI84">
        <v>1675.4146533943799</v>
      </c>
      <c r="AJ84">
        <v>1826.930597798098</v>
      </c>
      <c r="AK84">
        <v>1905.405030286988</v>
      </c>
      <c r="AL84">
        <v>2064.8330995227989</v>
      </c>
      <c r="AM84">
        <v>2059.0131680904501</v>
      </c>
      <c r="AN84">
        <v>2226.0692898940201</v>
      </c>
      <c r="AO84">
        <v>2181.6331138087689</v>
      </c>
      <c r="AP84">
        <v>2074.649755493841</v>
      </c>
      <c r="AQ84">
        <v>2151.5538122462021</v>
      </c>
      <c r="AR84">
        <v>2200.643826011702</v>
      </c>
      <c r="AS84">
        <v>2346.9190534672698</v>
      </c>
      <c r="AT84">
        <v>2436.4631731812369</v>
      </c>
      <c r="AU84">
        <v>2483.4582518484299</v>
      </c>
      <c r="AV84">
        <v>2580.8725166742829</v>
      </c>
      <c r="AW84">
        <v>2573.9730156990759</v>
      </c>
      <c r="AX84">
        <v>2728.6180019230201</v>
      </c>
      <c r="AY84">
        <v>2824.4825395175958</v>
      </c>
      <c r="AZ84">
        <v>2873.0297707632099</v>
      </c>
      <c r="BA84">
        <v>2877.4509712985318</v>
      </c>
      <c r="BB84">
        <v>2953.5446170278319</v>
      </c>
      <c r="BC84">
        <v>3063.0375192356419</v>
      </c>
      <c r="BD84">
        <v>3239.7592831570469</v>
      </c>
      <c r="BE84">
        <v>3238.4048611785088</v>
      </c>
      <c r="BF84">
        <v>3165.6568574279622</v>
      </c>
      <c r="BG84">
        <v>3129.546940543009</v>
      </c>
      <c r="BH84">
        <v>3288.9216066927529</v>
      </c>
      <c r="BI84">
        <v>3340.446393464279</v>
      </c>
      <c r="BJ84">
        <v>3461.3646082808441</v>
      </c>
      <c r="BK84">
        <v>3526.8728784721452</v>
      </c>
      <c r="BL84">
        <v>3718.792084329189</v>
      </c>
      <c r="BM84">
        <v>3683.9898148367388</v>
      </c>
      <c r="BN84">
        <v>3946.4160810916578</v>
      </c>
      <c r="BO84">
        <v>4086.9798010393979</v>
      </c>
      <c r="BP84">
        <v>4233.7449255876854</v>
      </c>
      <c r="BQ84">
        <v>4346.842496718753</v>
      </c>
    </row>
    <row r="85" spans="1:69" x14ac:dyDescent="0.25">
      <c r="A85" t="s">
        <v>1203</v>
      </c>
      <c r="B85" t="s">
        <v>1204</v>
      </c>
      <c r="C85" t="s">
        <v>1580</v>
      </c>
      <c r="D85" t="s">
        <v>1581</v>
      </c>
      <c r="AI85">
        <v>11952.02436208274</v>
      </c>
      <c r="AJ85">
        <v>12760.1824013242</v>
      </c>
      <c r="AK85">
        <v>12311.963812722919</v>
      </c>
      <c r="AL85">
        <v>12756.91477831794</v>
      </c>
      <c r="AM85">
        <v>13163.53042660322</v>
      </c>
      <c r="AN85">
        <v>13750.10723249468</v>
      </c>
      <c r="AO85">
        <v>14146.6570728963</v>
      </c>
      <c r="AP85">
        <v>14837.42713226002</v>
      </c>
      <c r="AQ85">
        <v>15137.80414801696</v>
      </c>
      <c r="AR85">
        <v>13628.862746598399</v>
      </c>
      <c r="AS85">
        <v>13326.116952131761</v>
      </c>
      <c r="AT85">
        <v>13555.62853952244</v>
      </c>
      <c r="AU85">
        <v>13369.123337446839</v>
      </c>
      <c r="AV85">
        <v>13564.180414140479</v>
      </c>
      <c r="AW85">
        <v>13637.666797119549</v>
      </c>
      <c r="AX85">
        <v>14028.356207938959</v>
      </c>
      <c r="AY85">
        <v>13637.259018899749</v>
      </c>
      <c r="AZ85">
        <v>14391.246586813169</v>
      </c>
      <c r="BA85">
        <v>13733.70128621223</v>
      </c>
      <c r="BB85">
        <v>13383.56622731845</v>
      </c>
      <c r="BC85">
        <v>14014.690549112231</v>
      </c>
      <c r="BD85">
        <v>14784.348355188329</v>
      </c>
      <c r="BE85">
        <v>14619.7181445113</v>
      </c>
      <c r="BF85">
        <v>14497.992121690229</v>
      </c>
      <c r="BG85">
        <v>14853.67124603555</v>
      </c>
      <c r="BH85">
        <v>14306.43407682518</v>
      </c>
      <c r="BI85">
        <v>13997.735284191071</v>
      </c>
      <c r="BJ85">
        <v>14796.62863741706</v>
      </c>
      <c r="BK85">
        <v>15432.043053535281</v>
      </c>
      <c r="BL85">
        <v>15949.63737396224</v>
      </c>
      <c r="BM85">
        <v>14477.130829174441</v>
      </c>
      <c r="BN85">
        <v>18523.579803219331</v>
      </c>
      <c r="BO85">
        <v>19992.557064346849</v>
      </c>
      <c r="BP85">
        <v>20755.665381766001</v>
      </c>
      <c r="BQ85">
        <v>21510.172530734359</v>
      </c>
    </row>
    <row r="86" spans="1:69" x14ac:dyDescent="0.25">
      <c r="A86" t="s">
        <v>1205</v>
      </c>
      <c r="B86" t="s">
        <v>1206</v>
      </c>
      <c r="C86" t="s">
        <v>1580</v>
      </c>
      <c r="D86" t="s">
        <v>1581</v>
      </c>
      <c r="AI86">
        <v>16505.41763769359</v>
      </c>
      <c r="AJ86">
        <v>16791.063204456779</v>
      </c>
      <c r="AK86">
        <v>17349.08178231445</v>
      </c>
      <c r="AL86">
        <v>18336.221808253951</v>
      </c>
      <c r="AM86">
        <v>19605.41998823476</v>
      </c>
      <c r="AN86">
        <v>20594.610407574881</v>
      </c>
      <c r="AO86">
        <v>21946.60064649225</v>
      </c>
      <c r="AP86">
        <v>23070.59359831718</v>
      </c>
      <c r="AQ86">
        <v>23689.236592463742</v>
      </c>
      <c r="AR86">
        <v>24493.501365736531</v>
      </c>
      <c r="AS86">
        <v>26535.501855458238</v>
      </c>
      <c r="AT86">
        <v>27912.556217915069</v>
      </c>
      <c r="AU86">
        <v>29089.05367704072</v>
      </c>
      <c r="AV86">
        <v>30313.690666838182</v>
      </c>
      <c r="AW86">
        <v>32051.1847283895</v>
      </c>
      <c r="AX86">
        <v>32726.13318837724</v>
      </c>
      <c r="AY86">
        <v>34727.436671214098</v>
      </c>
      <c r="AZ86">
        <v>35522.009088434548</v>
      </c>
      <c r="BA86">
        <v>36744.791358403498</v>
      </c>
      <c r="BB86">
        <v>35041.54163058124</v>
      </c>
      <c r="BC86">
        <v>36483.568280262109</v>
      </c>
      <c r="BD86">
        <v>37224.378764525609</v>
      </c>
      <c r="BE86">
        <v>38336.596184441922</v>
      </c>
      <c r="BF86">
        <v>39947.536956256226</v>
      </c>
      <c r="BG86">
        <v>41266.819779530953</v>
      </c>
      <c r="BH86">
        <v>42515.278865824053</v>
      </c>
      <c r="BI86">
        <v>44085.202558677163</v>
      </c>
      <c r="BJ86">
        <v>46113.021167732411</v>
      </c>
      <c r="BK86">
        <v>47212.204519052182</v>
      </c>
      <c r="BL86">
        <v>50064.960558218721</v>
      </c>
      <c r="BM86">
        <v>48230.047702746117</v>
      </c>
      <c r="BN86">
        <v>51004.427171423813</v>
      </c>
      <c r="BO86">
        <v>59021.572180591422</v>
      </c>
      <c r="BP86">
        <v>59911.346766320909</v>
      </c>
      <c r="BQ86">
        <v>62009.490776536593</v>
      </c>
    </row>
    <row r="87" spans="1:69" x14ac:dyDescent="0.25">
      <c r="A87" t="s">
        <v>1207</v>
      </c>
      <c r="B87" t="s">
        <v>1208</v>
      </c>
      <c r="C87" t="s">
        <v>1580</v>
      </c>
      <c r="D87" t="s">
        <v>1581</v>
      </c>
      <c r="AI87">
        <v>5835.5809133347711</v>
      </c>
      <c r="AJ87">
        <v>4726.6223101180394</v>
      </c>
      <c r="AK87">
        <v>2643.1783620022052</v>
      </c>
      <c r="AL87">
        <v>1898.3711962232401</v>
      </c>
      <c r="AM87">
        <v>1764.24469895173</v>
      </c>
      <c r="AN87">
        <v>1918.7698859865061</v>
      </c>
      <c r="AO87">
        <v>2253.095233413268</v>
      </c>
      <c r="AP87">
        <v>2615.646210725215</v>
      </c>
      <c r="AQ87">
        <v>2795.3944770636499</v>
      </c>
      <c r="AR87">
        <v>2976.857973330621</v>
      </c>
      <c r="AS87">
        <v>3161.19582490118</v>
      </c>
      <c r="AT87">
        <v>3440.728179319824</v>
      </c>
      <c r="AU87">
        <v>3718.6869325554499</v>
      </c>
      <c r="AV87">
        <v>4239.9384137279922</v>
      </c>
      <c r="AW87">
        <v>4634.7775759447732</v>
      </c>
      <c r="AX87">
        <v>5271.9509526165484</v>
      </c>
      <c r="AY87">
        <v>5980.4439048822633</v>
      </c>
      <c r="AZ87">
        <v>6951.0858426608111</v>
      </c>
      <c r="BA87">
        <v>7278.6631219399269</v>
      </c>
      <c r="BB87">
        <v>7119.1427908197829</v>
      </c>
      <c r="BC87">
        <v>7711.8068388948714</v>
      </c>
      <c r="BD87">
        <v>8563.8355491564707</v>
      </c>
      <c r="BE87">
        <v>10059.982060395419</v>
      </c>
      <c r="BF87">
        <v>10797.342327347569</v>
      </c>
      <c r="BG87">
        <v>11770.69893602531</v>
      </c>
      <c r="BH87">
        <v>12269.652893276791</v>
      </c>
      <c r="BI87">
        <v>13065.294157467981</v>
      </c>
      <c r="BJ87">
        <v>13718.937866976379</v>
      </c>
      <c r="BK87">
        <v>15021.9057577433</v>
      </c>
      <c r="BL87">
        <v>16770.1333771469</v>
      </c>
      <c r="BM87">
        <v>16791.2598654465</v>
      </c>
      <c r="BN87">
        <v>18915.653400526269</v>
      </c>
      <c r="BO87">
        <v>22461.33264145465</v>
      </c>
      <c r="BP87">
        <v>25071.96772641069</v>
      </c>
      <c r="BQ87">
        <v>28285.07328029822</v>
      </c>
    </row>
    <row r="88" spans="1:69" x14ac:dyDescent="0.25">
      <c r="A88" t="s">
        <v>1209</v>
      </c>
      <c r="B88" t="s">
        <v>1210</v>
      </c>
      <c r="C88" t="s">
        <v>1580</v>
      </c>
      <c r="D88" t="s">
        <v>1581</v>
      </c>
      <c r="AI88">
        <v>1580.650488336159</v>
      </c>
      <c r="AJ88">
        <v>1677.605753460331</v>
      </c>
      <c r="AK88">
        <v>1738.640190394284</v>
      </c>
      <c r="AL88">
        <v>1820.6532961943369</v>
      </c>
      <c r="AM88">
        <v>1875.261727055117</v>
      </c>
      <c r="AN88">
        <v>1946.822172832985</v>
      </c>
      <c r="AO88">
        <v>2025.832670732482</v>
      </c>
      <c r="AP88">
        <v>2096.7650028092949</v>
      </c>
      <c r="AQ88">
        <v>2166.6466310105452</v>
      </c>
      <c r="AR88">
        <v>2238.6652326880262</v>
      </c>
      <c r="AS88">
        <v>2315.1780304748208</v>
      </c>
      <c r="AT88">
        <v>2397.300670378228</v>
      </c>
      <c r="AU88">
        <v>2475.096353579193</v>
      </c>
      <c r="AV88">
        <v>2584.4772372915131</v>
      </c>
      <c r="AW88">
        <v>2729.3445024491061</v>
      </c>
      <c r="AX88">
        <v>2903.834290438811</v>
      </c>
      <c r="AY88">
        <v>3103.2262582037379</v>
      </c>
      <c r="AZ88">
        <v>3241.2208110732408</v>
      </c>
      <c r="BA88">
        <v>3515.5892352024289</v>
      </c>
      <c r="BB88">
        <v>3617.239444350354</v>
      </c>
      <c r="BC88">
        <v>3855.4689171675668</v>
      </c>
      <c r="BD88">
        <v>4381.1253552369426</v>
      </c>
      <c r="BE88">
        <v>4933.6525434909272</v>
      </c>
      <c r="BF88">
        <v>5214.5693584879436</v>
      </c>
      <c r="BG88">
        <v>5517.1317876356616</v>
      </c>
      <c r="BH88">
        <v>5191.3705338965883</v>
      </c>
      <c r="BI88">
        <v>5011.0793157290454</v>
      </c>
      <c r="BJ88">
        <v>5170.9609485743858</v>
      </c>
      <c r="BK88">
        <v>5536.497954002185</v>
      </c>
      <c r="BL88">
        <v>6002.5504467838546</v>
      </c>
      <c r="BM88">
        <v>6047.3011167355417</v>
      </c>
      <c r="BN88">
        <v>6607.5029737832083</v>
      </c>
      <c r="BO88">
        <v>7208.1579898272312</v>
      </c>
      <c r="BP88">
        <v>7556.4160545323439</v>
      </c>
      <c r="BQ88">
        <v>8019.9970238961096</v>
      </c>
    </row>
    <row r="89" spans="1:69" x14ac:dyDescent="0.25">
      <c r="A89" t="s">
        <v>1211</v>
      </c>
      <c r="B89" t="s">
        <v>1212</v>
      </c>
      <c r="C89" t="s">
        <v>1580</v>
      </c>
      <c r="D89" t="s">
        <v>1581</v>
      </c>
    </row>
    <row r="90" spans="1:69" x14ac:dyDescent="0.25">
      <c r="A90" t="s">
        <v>1213</v>
      </c>
      <c r="B90" t="s">
        <v>1214</v>
      </c>
      <c r="C90" t="s">
        <v>1580</v>
      </c>
      <c r="D90" t="s">
        <v>1581</v>
      </c>
      <c r="AI90">
        <v>870.74422264883333</v>
      </c>
      <c r="AJ90">
        <v>887.47095999652549</v>
      </c>
      <c r="AK90">
        <v>907.93940642114535</v>
      </c>
      <c r="AL90">
        <v>947.05823556776375</v>
      </c>
      <c r="AM90">
        <v>975.98002294389028</v>
      </c>
      <c r="AN90">
        <v>1013.632323728775</v>
      </c>
      <c r="AO90">
        <v>1048.1582391527361</v>
      </c>
      <c r="AP90">
        <v>1098.668685120118</v>
      </c>
      <c r="AQ90">
        <v>1130.0430385776961</v>
      </c>
      <c r="AR90">
        <v>1163.360093126937</v>
      </c>
      <c r="AS90">
        <v>1195.806114533453</v>
      </c>
      <c r="AT90">
        <v>1250.970597202311</v>
      </c>
      <c r="AU90">
        <v>1315.3666937168441</v>
      </c>
      <c r="AV90">
        <v>1327.9677654105419</v>
      </c>
      <c r="AW90">
        <v>1366.031602392354</v>
      </c>
      <c r="AX90">
        <v>1422.3508819892149</v>
      </c>
      <c r="AY90">
        <v>1452.960831641868</v>
      </c>
      <c r="AZ90">
        <v>1557.5858486886259</v>
      </c>
      <c r="BA90">
        <v>1613.698845189364</v>
      </c>
      <c r="BB90">
        <v>1566.700892477646</v>
      </c>
      <c r="BC90">
        <v>1621.691611412424</v>
      </c>
      <c r="BD90">
        <v>1705.2711043804859</v>
      </c>
      <c r="BE90">
        <v>1789.974730335613</v>
      </c>
      <c r="BF90">
        <v>1842.0022773740909</v>
      </c>
      <c r="BG90">
        <v>1873.2141305895709</v>
      </c>
      <c r="BH90">
        <v>1929.6809133218669</v>
      </c>
      <c r="BI90">
        <v>2255.3261799261541</v>
      </c>
      <c r="BJ90">
        <v>2687.0950482717089</v>
      </c>
      <c r="BK90">
        <v>2844.464276705487</v>
      </c>
      <c r="BL90">
        <v>3105.827890154429</v>
      </c>
      <c r="BM90">
        <v>3331.8566300380062</v>
      </c>
      <c r="BN90">
        <v>3738.8051255133018</v>
      </c>
      <c r="BO90">
        <v>4062.3613643792169</v>
      </c>
      <c r="BP90">
        <v>4333.7461731262638</v>
      </c>
      <c r="BQ90">
        <v>4565.3007888455968</v>
      </c>
    </row>
    <row r="91" spans="1:69" x14ac:dyDescent="0.25">
      <c r="A91" t="s">
        <v>1215</v>
      </c>
      <c r="B91" t="s">
        <v>1216</v>
      </c>
      <c r="C91" t="s">
        <v>1580</v>
      </c>
      <c r="D91" t="s">
        <v>1581</v>
      </c>
      <c r="AI91">
        <v>1409.3272189485949</v>
      </c>
      <c r="AJ91">
        <v>1440.439739030835</v>
      </c>
      <c r="AK91">
        <v>1462.3868892748701</v>
      </c>
      <c r="AL91">
        <v>1486.623321406895</v>
      </c>
      <c r="AM91">
        <v>1472.5548566366031</v>
      </c>
      <c r="AN91">
        <v>1472.197625079051</v>
      </c>
      <c r="AO91">
        <v>1488.8005539719099</v>
      </c>
      <c r="AP91">
        <v>1544.211967658217</v>
      </c>
      <c r="AQ91">
        <v>1571.504592377192</v>
      </c>
      <c r="AR91">
        <v>1649.2795257878081</v>
      </c>
      <c r="AS91">
        <v>1731.338476455501</v>
      </c>
      <c r="AT91">
        <v>1822.9796510576959</v>
      </c>
      <c r="AU91">
        <v>1743.694325119289</v>
      </c>
      <c r="AV91">
        <v>1849.7833700541819</v>
      </c>
      <c r="AW91">
        <v>1978.6326268998421</v>
      </c>
      <c r="AX91">
        <v>1938.023627421936</v>
      </c>
      <c r="AY91">
        <v>1930.818885376739</v>
      </c>
      <c r="AZ91">
        <v>1985.0402524249971</v>
      </c>
      <c r="BA91">
        <v>2088.2716612903341</v>
      </c>
      <c r="BB91">
        <v>2177.0534469560662</v>
      </c>
      <c r="BC91">
        <v>2266.828982384417</v>
      </c>
      <c r="BD91">
        <v>2064.253852883</v>
      </c>
      <c r="BE91">
        <v>2064.814381216122</v>
      </c>
      <c r="BF91">
        <v>2006.7408164678779</v>
      </c>
      <c r="BG91">
        <v>1933.703297184461</v>
      </c>
      <c r="BH91">
        <v>1990.3162575097249</v>
      </c>
      <c r="BI91">
        <v>2012.6764818025119</v>
      </c>
      <c r="BJ91">
        <v>2038.9542985012849</v>
      </c>
      <c r="BK91">
        <v>2277.442362241909</v>
      </c>
      <c r="BL91">
        <v>2421.723180706148</v>
      </c>
      <c r="BM91">
        <v>2530.804149373073</v>
      </c>
      <c r="BN91">
        <v>2777.7962097832401</v>
      </c>
      <c r="BO91">
        <v>3067.3104037462799</v>
      </c>
      <c r="BP91">
        <v>3289.1328305710672</v>
      </c>
      <c r="BQ91">
        <v>3475.6124570134061</v>
      </c>
    </row>
    <row r="92" spans="1:69" x14ac:dyDescent="0.25">
      <c r="A92" t="s">
        <v>1217</v>
      </c>
      <c r="B92" t="s">
        <v>1218</v>
      </c>
      <c r="C92" t="s">
        <v>1580</v>
      </c>
      <c r="D92" t="s">
        <v>1581</v>
      </c>
      <c r="AI92">
        <v>824.10225061980225</v>
      </c>
      <c r="AJ92">
        <v>876.54418393070762</v>
      </c>
      <c r="AK92">
        <v>880.08656453610024</v>
      </c>
      <c r="AL92">
        <v>889.98924339754922</v>
      </c>
      <c r="AM92">
        <v>909.48658446527463</v>
      </c>
      <c r="AN92">
        <v>945.24670622847304</v>
      </c>
      <c r="AO92">
        <v>1052.0518795894909</v>
      </c>
      <c r="AP92">
        <v>1118.2335597706631</v>
      </c>
      <c r="AQ92">
        <v>860.79000870606478</v>
      </c>
      <c r="AR92">
        <v>1000.605687133445</v>
      </c>
      <c r="AS92">
        <v>1013.973491833305</v>
      </c>
      <c r="AT92">
        <v>1063.5722830852951</v>
      </c>
      <c r="AU92">
        <v>1095.223058334876</v>
      </c>
      <c r="AV92">
        <v>1088.742656753195</v>
      </c>
      <c r="AW92">
        <v>1105.343228414408</v>
      </c>
      <c r="AX92">
        <v>1186.626313547368</v>
      </c>
      <c r="AY92">
        <v>1225.9182457679219</v>
      </c>
      <c r="AZ92">
        <v>1259.605606892203</v>
      </c>
      <c r="BA92">
        <v>1308.5355669971671</v>
      </c>
      <c r="BB92">
        <v>1314.9707866195549</v>
      </c>
      <c r="BC92">
        <v>1369.689170661208</v>
      </c>
      <c r="BD92">
        <v>1471.7627987907169</v>
      </c>
      <c r="BE92">
        <v>1401.849940441482</v>
      </c>
      <c r="BF92">
        <v>1415.825119353786</v>
      </c>
      <c r="BG92">
        <v>1455.908136651929</v>
      </c>
      <c r="BH92">
        <v>1729.9426031012331</v>
      </c>
      <c r="BI92">
        <v>1824.3730977070991</v>
      </c>
      <c r="BJ92">
        <v>2081.8128722768502</v>
      </c>
      <c r="BK92">
        <v>2057.9696912914569</v>
      </c>
      <c r="BL92">
        <v>2247.313037391848</v>
      </c>
      <c r="BM92">
        <v>2339.793269678215</v>
      </c>
      <c r="BN92">
        <v>2522.7676430252068</v>
      </c>
      <c r="BO92">
        <v>2788.8377393795422</v>
      </c>
      <c r="BP92">
        <v>2989.6723598047702</v>
      </c>
      <c r="BQ92">
        <v>3119.371570474374</v>
      </c>
    </row>
    <row r="93" spans="1:69" x14ac:dyDescent="0.25">
      <c r="A93" t="s">
        <v>1219</v>
      </c>
      <c r="B93" t="s">
        <v>1220</v>
      </c>
      <c r="C93" t="s">
        <v>1580</v>
      </c>
      <c r="D93" t="s">
        <v>1581</v>
      </c>
      <c r="AI93">
        <v>577.39547870794422</v>
      </c>
      <c r="AJ93">
        <v>569.28252098741802</v>
      </c>
      <c r="AK93">
        <v>756.06410964128656</v>
      </c>
      <c r="AL93">
        <v>828.16386390810237</v>
      </c>
      <c r="AM93">
        <v>950.75725578365541</v>
      </c>
      <c r="AN93">
        <v>1098.254989201826</v>
      </c>
      <c r="AO93">
        <v>1793.192968060237</v>
      </c>
      <c r="AP93">
        <v>4386.8262616296925</v>
      </c>
      <c r="AQ93">
        <v>5280.3900014391556</v>
      </c>
      <c r="AR93">
        <v>6469.8387411233989</v>
      </c>
      <c r="AS93">
        <v>7420.393101115942</v>
      </c>
      <c r="AT93">
        <v>11626.72311716733</v>
      </c>
      <c r="AU93">
        <v>13254.823622223979</v>
      </c>
      <c r="AV93">
        <v>14496.17441196883</v>
      </c>
      <c r="AW93">
        <v>19354.212082155671</v>
      </c>
      <c r="AX93">
        <v>22137.0497795007</v>
      </c>
      <c r="AY93">
        <v>23511.398657089991</v>
      </c>
      <c r="AZ93">
        <v>26610.769121961879</v>
      </c>
      <c r="BA93">
        <v>30522.77871427744</v>
      </c>
      <c r="BB93">
        <v>29722.000563106609</v>
      </c>
      <c r="BC93">
        <v>26167.826852527622</v>
      </c>
      <c r="BD93">
        <v>27241.600037060271</v>
      </c>
      <c r="BE93">
        <v>30011.927440962521</v>
      </c>
      <c r="BF93">
        <v>27909.5175876754</v>
      </c>
      <c r="BG93">
        <v>27177.271665026019</v>
      </c>
      <c r="BH93">
        <v>19478.70101233376</v>
      </c>
      <c r="BI93">
        <v>16649.475767235941</v>
      </c>
      <c r="BJ93">
        <v>18434.770857100371</v>
      </c>
      <c r="BK93">
        <v>18413.129420457699</v>
      </c>
      <c r="BL93">
        <v>16451.364147832439</v>
      </c>
      <c r="BM93">
        <v>13677.110587516951</v>
      </c>
      <c r="BN93">
        <v>16821.448647041288</v>
      </c>
      <c r="BO93">
        <v>18139.989326627001</v>
      </c>
      <c r="BP93">
        <v>17411.50023438401</v>
      </c>
      <c r="BQ93">
        <v>17566.760028407291</v>
      </c>
    </row>
    <row r="94" spans="1:69" x14ac:dyDescent="0.25">
      <c r="A94" t="s">
        <v>1221</v>
      </c>
      <c r="B94" t="s">
        <v>1222</v>
      </c>
      <c r="C94" t="s">
        <v>1580</v>
      </c>
      <c r="D94" t="s">
        <v>1581</v>
      </c>
      <c r="AI94">
        <v>13126.27448275156</v>
      </c>
      <c r="AJ94">
        <v>13823.909438342809</v>
      </c>
      <c r="AK94">
        <v>14129.56761727404</v>
      </c>
      <c r="AL94">
        <v>14149.57827117853</v>
      </c>
      <c r="AM94">
        <v>14667.101004795601</v>
      </c>
      <c r="AN94">
        <v>15217.801962968149</v>
      </c>
      <c r="AO94">
        <v>15778.402029722531</v>
      </c>
      <c r="AP94">
        <v>16630.478148461701</v>
      </c>
      <c r="AQ94">
        <v>17433.582976767459</v>
      </c>
      <c r="AR94">
        <v>17758.005574280069</v>
      </c>
      <c r="AS94">
        <v>18819.854432011671</v>
      </c>
      <c r="AT94">
        <v>20303.931243342871</v>
      </c>
      <c r="AU94">
        <v>21985.2345411071</v>
      </c>
      <c r="AV94">
        <v>23252.611136202799</v>
      </c>
      <c r="AW94">
        <v>24825.573534751169</v>
      </c>
      <c r="AX94">
        <v>25003.829746693322</v>
      </c>
      <c r="AY94">
        <v>28076.12414163924</v>
      </c>
      <c r="AZ94">
        <v>28895.874926558001</v>
      </c>
      <c r="BA94">
        <v>30440.970905908121</v>
      </c>
      <c r="BB94">
        <v>29963.396887510771</v>
      </c>
      <c r="BC94">
        <v>27838.736390859958</v>
      </c>
      <c r="BD94">
        <v>25692.574085132081</v>
      </c>
      <c r="BE94">
        <v>24582.974195750739</v>
      </c>
      <c r="BF94">
        <v>25730.880900666449</v>
      </c>
      <c r="BG94">
        <v>26450.18132672596</v>
      </c>
      <c r="BH94">
        <v>26607.725679697571</v>
      </c>
      <c r="BI94">
        <v>27504.54979849482</v>
      </c>
      <c r="BJ94">
        <v>28681.681558500459</v>
      </c>
      <c r="BK94">
        <v>29792.059251958541</v>
      </c>
      <c r="BL94">
        <v>31927.379215136869</v>
      </c>
      <c r="BM94">
        <v>29533.087740298979</v>
      </c>
      <c r="BN94">
        <v>33531.155112259963</v>
      </c>
      <c r="BO94">
        <v>39612.440637791617</v>
      </c>
      <c r="BP94">
        <v>42710.505801031351</v>
      </c>
      <c r="BQ94">
        <v>44327.209780827558</v>
      </c>
    </row>
    <row r="95" spans="1:69" x14ac:dyDescent="0.25">
      <c r="A95" t="s">
        <v>1223</v>
      </c>
      <c r="B95" t="s">
        <v>1224</v>
      </c>
      <c r="C95" t="s">
        <v>1580</v>
      </c>
      <c r="D95" t="s">
        <v>1581</v>
      </c>
      <c r="AI95">
        <v>4552.955221817042</v>
      </c>
      <c r="AJ95">
        <v>4732.5629677042452</v>
      </c>
      <c r="AK95">
        <v>4760.9986389356136</v>
      </c>
      <c r="AL95">
        <v>4741.9758272630979</v>
      </c>
      <c r="AM95">
        <v>4889.1471711245049</v>
      </c>
      <c r="AN95">
        <v>5062.0755370583984</v>
      </c>
      <c r="AO95">
        <v>5346.7250406292933</v>
      </c>
      <c r="AP95">
        <v>5673.2552414603833</v>
      </c>
      <c r="AQ95">
        <v>6368.0122939060266</v>
      </c>
      <c r="AR95">
        <v>6857.1870529507842</v>
      </c>
      <c r="AS95">
        <v>7305.7245619787909</v>
      </c>
      <c r="AT95">
        <v>7282.7084198603588</v>
      </c>
      <c r="AU95">
        <v>7620.6738774660034</v>
      </c>
      <c r="AV95">
        <v>8469.0875265860232</v>
      </c>
      <c r="AW95">
        <v>8605.8239854048697</v>
      </c>
      <c r="AX95">
        <v>10016.3479735194</v>
      </c>
      <c r="AY95">
        <v>9876.6166955998015</v>
      </c>
      <c r="AZ95">
        <v>10727.679205474769</v>
      </c>
      <c r="BA95">
        <v>11000.75235773014</v>
      </c>
      <c r="BB95">
        <v>10303.34326027745</v>
      </c>
      <c r="BC95">
        <v>10344.383918919169</v>
      </c>
      <c r="BD95">
        <v>10591.74756499161</v>
      </c>
      <c r="BE95">
        <v>10575.10562686165</v>
      </c>
      <c r="BF95">
        <v>11199.40401979437</v>
      </c>
      <c r="BG95">
        <v>12228.64810553948</v>
      </c>
      <c r="BH95">
        <v>13214.40966449406</v>
      </c>
      <c r="BI95">
        <v>13977.505587913511</v>
      </c>
      <c r="BJ95">
        <v>15041.452571206661</v>
      </c>
      <c r="BK95">
        <v>15974.859193312381</v>
      </c>
      <c r="BL95">
        <v>16446.113887187141</v>
      </c>
      <c r="BM95">
        <v>14361.126715445171</v>
      </c>
      <c r="BN95">
        <v>15290.250903138</v>
      </c>
      <c r="BO95">
        <v>17543.981559626591</v>
      </c>
      <c r="BP95">
        <v>18970.740164652969</v>
      </c>
      <c r="BQ95">
        <v>20177.809492738561</v>
      </c>
    </row>
    <row r="96" spans="1:69" x14ac:dyDescent="0.25">
      <c r="A96" t="s">
        <v>1225</v>
      </c>
      <c r="B96" t="s">
        <v>1226</v>
      </c>
      <c r="C96" t="s">
        <v>1580</v>
      </c>
      <c r="D96" t="s">
        <v>1581</v>
      </c>
      <c r="AI96">
        <v>20472.455667355909</v>
      </c>
      <c r="AJ96">
        <v>21178.872440269381</v>
      </c>
      <c r="AK96">
        <v>20628.57398394019</v>
      </c>
      <c r="AL96">
        <v>20092.095505365862</v>
      </c>
      <c r="AM96">
        <v>21619.351084868551</v>
      </c>
      <c r="AN96">
        <v>22772.564204670809</v>
      </c>
      <c r="AO96">
        <v>23502.072720690929</v>
      </c>
      <c r="AP96">
        <v>24215.21634683997</v>
      </c>
      <c r="AQ96">
        <v>26340.052169651161</v>
      </c>
      <c r="AR96">
        <v>27080.86112779105</v>
      </c>
      <c r="AS96">
        <v>29616.159742788612</v>
      </c>
      <c r="AT96">
        <v>30561.799828695868</v>
      </c>
      <c r="AU96">
        <v>30618.002785573281</v>
      </c>
      <c r="AV96">
        <v>32516.04137429488</v>
      </c>
      <c r="AW96">
        <v>35604.339064687731</v>
      </c>
      <c r="AX96">
        <v>38527.085032720381</v>
      </c>
      <c r="AY96">
        <v>42039.793793548568</v>
      </c>
      <c r="AZ96">
        <v>44366.431515604731</v>
      </c>
      <c r="BA96">
        <v>48203.123064414976</v>
      </c>
      <c r="BB96">
        <v>48924.764084963557</v>
      </c>
      <c r="BC96">
        <v>50190.881788042883</v>
      </c>
      <c r="BD96">
        <v>50653.058591692417</v>
      </c>
      <c r="BE96">
        <v>52389.325351823973</v>
      </c>
      <c r="BF96">
        <v>52893.650355821213</v>
      </c>
      <c r="BG96">
        <v>56555.069067121913</v>
      </c>
      <c r="BH96">
        <v>55815.650288361147</v>
      </c>
      <c r="BI96">
        <v>58908.590772931377</v>
      </c>
      <c r="BJ96">
        <v>60010.098290729758</v>
      </c>
      <c r="BK96">
        <v>61806.827130817423</v>
      </c>
      <c r="BL96">
        <v>64264.056460739332</v>
      </c>
      <c r="BM96">
        <v>64999.4435683064</v>
      </c>
      <c r="BN96">
        <v>69302.008878823704</v>
      </c>
      <c r="BO96">
        <v>75720.429821932325</v>
      </c>
      <c r="BP96">
        <v>78840.59783959885</v>
      </c>
    </row>
    <row r="97" spans="1:69" x14ac:dyDescent="0.25">
      <c r="A97" t="s">
        <v>1227</v>
      </c>
      <c r="B97" t="s">
        <v>1228</v>
      </c>
      <c r="C97" t="s">
        <v>1580</v>
      </c>
      <c r="D97" t="s">
        <v>1581</v>
      </c>
      <c r="AI97">
        <v>3329.5967707294571</v>
      </c>
      <c r="AJ97">
        <v>3472.7630881809368</v>
      </c>
      <c r="AK97">
        <v>3626.115303023761</v>
      </c>
      <c r="AL97">
        <v>3756.2691280572749</v>
      </c>
      <c r="AM97">
        <v>3886.3336845140811</v>
      </c>
      <c r="AN97">
        <v>4055.438652975603</v>
      </c>
      <c r="AO97">
        <v>4143.1482938905092</v>
      </c>
      <c r="AP97">
        <v>4287.432477757362</v>
      </c>
      <c r="AQ97">
        <v>4437.1246077470378</v>
      </c>
      <c r="AR97">
        <v>4556.9206521254291</v>
      </c>
      <c r="AS97">
        <v>4714.9666620084836</v>
      </c>
      <c r="AT97">
        <v>4821.5459848677492</v>
      </c>
      <c r="AU97">
        <v>4969.257449444478</v>
      </c>
      <c r="AV97">
        <v>5081.3800558565663</v>
      </c>
      <c r="AW97">
        <v>5263.4465491189967</v>
      </c>
      <c r="AX97">
        <v>5486.2777698628142</v>
      </c>
      <c r="AY97">
        <v>5833.3869180176034</v>
      </c>
      <c r="AZ97">
        <v>6238.3397694650384</v>
      </c>
      <c r="BA97">
        <v>6434.5070374609404</v>
      </c>
      <c r="BB97">
        <v>6376.741062979333</v>
      </c>
      <c r="BC97">
        <v>6510.0998094996348</v>
      </c>
      <c r="BD97">
        <v>6784.4471295362146</v>
      </c>
      <c r="BE97">
        <v>7258.3166746788329</v>
      </c>
      <c r="BF97">
        <v>7699.9454124725171</v>
      </c>
      <c r="BG97">
        <v>8236.6592990184945</v>
      </c>
      <c r="BH97">
        <v>8934.0026117839625</v>
      </c>
      <c r="BI97">
        <v>9201.4283604635293</v>
      </c>
      <c r="BJ97">
        <v>9560.1778346272386</v>
      </c>
      <c r="BK97">
        <v>9946.8025224526773</v>
      </c>
      <c r="BL97">
        <v>10755.880102958899</v>
      </c>
      <c r="BM97">
        <v>10947.371129219729</v>
      </c>
      <c r="BN97">
        <v>11825.141273764</v>
      </c>
      <c r="BO97">
        <v>13014.015380982621</v>
      </c>
      <c r="BP97">
        <v>13745.363124179439</v>
      </c>
      <c r="BQ97">
        <v>14368.66056818148</v>
      </c>
    </row>
    <row r="98" spans="1:69" x14ac:dyDescent="0.25">
      <c r="A98" t="s">
        <v>1229</v>
      </c>
      <c r="B98" t="s">
        <v>1230</v>
      </c>
      <c r="C98" t="s">
        <v>1580</v>
      </c>
      <c r="D98" t="s">
        <v>1581</v>
      </c>
    </row>
    <row r="99" spans="1:69" x14ac:dyDescent="0.25">
      <c r="A99" t="s">
        <v>1231</v>
      </c>
      <c r="B99" t="s">
        <v>1232</v>
      </c>
      <c r="C99" t="s">
        <v>1580</v>
      </c>
      <c r="D99" t="s">
        <v>1581</v>
      </c>
      <c r="AI99">
        <v>3021.609514722084</v>
      </c>
      <c r="AJ99">
        <v>3322.0361528009721</v>
      </c>
      <c r="AK99">
        <v>3651.3245144550078</v>
      </c>
      <c r="AL99">
        <v>4027.047723470168</v>
      </c>
      <c r="AM99">
        <v>4447.1007974059085</v>
      </c>
      <c r="AN99">
        <v>4752.6524055182108</v>
      </c>
      <c r="AO99">
        <v>5209.9947715529424</v>
      </c>
      <c r="AP99">
        <v>5614.7128999148099</v>
      </c>
      <c r="AQ99">
        <v>5572.6744085464143</v>
      </c>
      <c r="AR99">
        <v>5811.9997076410018</v>
      </c>
      <c r="AS99">
        <v>5859.9179190293326</v>
      </c>
      <c r="AT99">
        <v>6131.2968302102981</v>
      </c>
      <c r="AU99">
        <v>6303.9037219992279</v>
      </c>
      <c r="AV99">
        <v>6392.3331579922205</v>
      </c>
      <c r="AW99">
        <v>6672.8229943854421</v>
      </c>
      <c r="AX99">
        <v>6761.1179841321946</v>
      </c>
      <c r="AY99">
        <v>7345.9402821222366</v>
      </c>
      <c r="AZ99">
        <v>8110.0299989656714</v>
      </c>
      <c r="BA99">
        <v>8436.5143844254271</v>
      </c>
      <c r="BB99">
        <v>8824.4896016247731</v>
      </c>
      <c r="BC99">
        <v>9336.5983021259435</v>
      </c>
      <c r="BD99">
        <v>10066.072975359781</v>
      </c>
      <c r="BE99">
        <v>10626.82566744635</v>
      </c>
      <c r="BF99">
        <v>11199.887474408901</v>
      </c>
      <c r="BG99">
        <v>11145.02911987239</v>
      </c>
      <c r="BH99">
        <v>11408.473901349</v>
      </c>
      <c r="BI99">
        <v>11516.37982895773</v>
      </c>
      <c r="BJ99">
        <v>12243.222596854141</v>
      </c>
      <c r="BK99">
        <v>12442.508718587649</v>
      </c>
      <c r="BL99">
        <v>13240.97137611552</v>
      </c>
      <c r="BM99">
        <v>16819.422871469469</v>
      </c>
      <c r="BN99">
        <v>22865.927096888201</v>
      </c>
      <c r="BO99">
        <v>39710.969560753052</v>
      </c>
      <c r="BP99">
        <v>54729.036515636559</v>
      </c>
      <c r="BQ99">
        <v>80155.039392769962</v>
      </c>
    </row>
    <row r="100" spans="1:69" x14ac:dyDescent="0.25">
      <c r="A100" t="s">
        <v>1233</v>
      </c>
      <c r="B100" t="s">
        <v>1234</v>
      </c>
      <c r="C100" t="s">
        <v>1580</v>
      </c>
      <c r="D100" t="s">
        <v>1581</v>
      </c>
      <c r="AI100">
        <v>16823.43025327396</v>
      </c>
      <c r="AJ100">
        <v>17407.471547184428</v>
      </c>
      <c r="AK100">
        <v>17919.768180951061</v>
      </c>
      <c r="AL100">
        <v>18409.497624008211</v>
      </c>
      <c r="AM100">
        <v>19201.59128203334</v>
      </c>
      <c r="AN100">
        <v>20029.084128729191</v>
      </c>
      <c r="AO100">
        <v>20877.762515442009</v>
      </c>
      <c r="AP100">
        <v>21821.32959201873</v>
      </c>
      <c r="AQ100">
        <v>22511.581191896621</v>
      </c>
      <c r="AR100">
        <v>23491.175731822859</v>
      </c>
      <c r="AS100">
        <v>25057.956697030218</v>
      </c>
      <c r="AT100">
        <v>25961.747369530469</v>
      </c>
      <c r="AU100">
        <v>26891.140191932689</v>
      </c>
      <c r="AV100">
        <v>27937.112070093572</v>
      </c>
      <c r="AW100">
        <v>29601.383902970629</v>
      </c>
      <c r="AX100">
        <v>31217.910645246218</v>
      </c>
      <c r="AY100">
        <v>33559.274428290119</v>
      </c>
      <c r="AZ100">
        <v>35379.801403699763</v>
      </c>
      <c r="BA100">
        <v>36699.460207403477</v>
      </c>
      <c r="BB100">
        <v>35736.037509767651</v>
      </c>
      <c r="BC100">
        <v>37206.540952081719</v>
      </c>
      <c r="BD100">
        <v>38955.731951909547</v>
      </c>
      <c r="BE100">
        <v>40104.862343273067</v>
      </c>
      <c r="BF100">
        <v>41518.179332904787</v>
      </c>
      <c r="BG100">
        <v>42576.465003627571</v>
      </c>
      <c r="BH100">
        <v>43078.30508706758</v>
      </c>
      <c r="BI100">
        <v>44247.662772842312</v>
      </c>
      <c r="BJ100">
        <v>46181.433021354562</v>
      </c>
      <c r="BK100">
        <v>48466.058904299942</v>
      </c>
      <c r="BL100">
        <v>50847.763622975333</v>
      </c>
      <c r="BM100">
        <v>49840.26694371413</v>
      </c>
      <c r="BN100">
        <v>55440.907732579028</v>
      </c>
      <c r="BO100">
        <v>61394.590430249613</v>
      </c>
      <c r="BP100">
        <v>64502.753498157093</v>
      </c>
      <c r="BQ100">
        <v>67051.677927341632</v>
      </c>
    </row>
    <row r="101" spans="1:69" x14ac:dyDescent="0.25">
      <c r="A101" t="s">
        <v>1235</v>
      </c>
      <c r="B101" t="s">
        <v>1236</v>
      </c>
      <c r="C101" t="s">
        <v>1580</v>
      </c>
      <c r="D101" t="s">
        <v>1581</v>
      </c>
      <c r="AI101">
        <v>18251.71857883827</v>
      </c>
      <c r="AJ101">
        <v>19780.154846961628</v>
      </c>
      <c r="AK101">
        <v>21312.600616693639</v>
      </c>
      <c r="AL101">
        <v>22776.105346348031</v>
      </c>
      <c r="AM101">
        <v>24117.26204993076</v>
      </c>
      <c r="AN101">
        <v>24713.195426910312</v>
      </c>
      <c r="AO101">
        <v>25098.19502336334</v>
      </c>
      <c r="AP101">
        <v>26610.566472071168</v>
      </c>
      <c r="AQ101">
        <v>25116.086352045972</v>
      </c>
      <c r="AR101">
        <v>25861.816773808241</v>
      </c>
      <c r="AS101">
        <v>28224.50902197271</v>
      </c>
      <c r="AT101">
        <v>28808.80791746754</v>
      </c>
      <c r="AU101">
        <v>29609.766688370379</v>
      </c>
      <c r="AV101">
        <v>31178.683009514622</v>
      </c>
      <c r="AW101">
        <v>34532.249157719423</v>
      </c>
      <c r="AX101">
        <v>38079.572678195596</v>
      </c>
      <c r="AY101">
        <v>41745.501624930897</v>
      </c>
      <c r="AZ101">
        <v>45257.651610582427</v>
      </c>
      <c r="BA101">
        <v>46830.238479823907</v>
      </c>
      <c r="BB101">
        <v>45861.477521013869</v>
      </c>
      <c r="BC101">
        <v>49197.646933809767</v>
      </c>
      <c r="BD101">
        <v>52277.466443284298</v>
      </c>
      <c r="BE101">
        <v>52149.681269420587</v>
      </c>
      <c r="BF101">
        <v>53517.419549887993</v>
      </c>
      <c r="BG101">
        <v>54514.926805981908</v>
      </c>
      <c r="BH101">
        <v>56043.042695697033</v>
      </c>
      <c r="BI101">
        <v>56761.482413222351</v>
      </c>
      <c r="BJ101">
        <v>59260.913176193761</v>
      </c>
      <c r="BK101">
        <v>60900.275292453727</v>
      </c>
      <c r="BL101">
        <v>61221.419540070128</v>
      </c>
      <c r="BM101">
        <v>58187.476407253467</v>
      </c>
      <c r="BN101">
        <v>65884.937626060288</v>
      </c>
      <c r="BO101">
        <v>68602.125790047314</v>
      </c>
      <c r="BP101">
        <v>71512.31935511608</v>
      </c>
      <c r="BQ101">
        <v>75195.986597061506</v>
      </c>
    </row>
    <row r="102" spans="1:69" x14ac:dyDescent="0.25">
      <c r="A102" t="s">
        <v>1237</v>
      </c>
      <c r="B102" t="s">
        <v>1238</v>
      </c>
      <c r="C102" t="s">
        <v>1580</v>
      </c>
      <c r="D102" t="s">
        <v>1581</v>
      </c>
      <c r="AI102">
        <v>540.01876878853682</v>
      </c>
      <c r="AJ102">
        <v>684.01491054160306</v>
      </c>
      <c r="AK102">
        <v>741.44894815428984</v>
      </c>
      <c r="AL102">
        <v>838.38739887427437</v>
      </c>
      <c r="AM102">
        <v>1073.8862079889279</v>
      </c>
      <c r="AN102">
        <v>1328.7344636310479</v>
      </c>
      <c r="AO102">
        <v>1617.3846034346921</v>
      </c>
      <c r="AP102">
        <v>1958.703745514604</v>
      </c>
      <c r="AQ102">
        <v>2152.2352337518728</v>
      </c>
      <c r="AR102">
        <v>2372.182113453719</v>
      </c>
      <c r="AS102">
        <v>2587.4225393042711</v>
      </c>
      <c r="AT102">
        <v>2645.2547755561732</v>
      </c>
      <c r="AU102">
        <v>2714.5663201945022</v>
      </c>
      <c r="AV102">
        <v>2820.7140442352402</v>
      </c>
      <c r="AW102">
        <v>3001.2967132043868</v>
      </c>
      <c r="AX102">
        <v>3203.959189907237</v>
      </c>
      <c r="AY102">
        <v>3437.6229634490269</v>
      </c>
      <c r="AZ102">
        <v>3664.0882849454019</v>
      </c>
      <c r="BA102">
        <v>3806.3470637384289</v>
      </c>
      <c r="BB102">
        <v>3655.7970138310561</v>
      </c>
      <c r="BC102">
        <v>3757.5464206244992</v>
      </c>
      <c r="BD102">
        <v>3900.7113617333762</v>
      </c>
      <c r="BE102">
        <v>4016.3460910180079</v>
      </c>
      <c r="BF102">
        <v>4137.3268237781031</v>
      </c>
      <c r="BG102">
        <v>4460.0574283317519</v>
      </c>
      <c r="BH102">
        <v>4845.5956652112554</v>
      </c>
      <c r="BI102">
        <v>5186.1589741716134</v>
      </c>
      <c r="BJ102">
        <v>5620.6545524773264</v>
      </c>
      <c r="BK102">
        <v>5633.3832384518964</v>
      </c>
      <c r="BL102">
        <v>5784.9308105711079</v>
      </c>
      <c r="BM102">
        <v>5384.6983198303806</v>
      </c>
      <c r="BN102">
        <v>6202.9807881203687</v>
      </c>
      <c r="BO102">
        <v>6805.493582945538</v>
      </c>
      <c r="BP102">
        <v>7178.3390678152218</v>
      </c>
      <c r="BQ102">
        <v>7486.0186961644476</v>
      </c>
    </row>
    <row r="103" spans="1:69" x14ac:dyDescent="0.25">
      <c r="A103" t="s">
        <v>1239</v>
      </c>
      <c r="B103" t="s">
        <v>1240</v>
      </c>
      <c r="C103" t="s">
        <v>1580</v>
      </c>
      <c r="D103" t="s">
        <v>1581</v>
      </c>
      <c r="AI103">
        <v>1077.8458119367019</v>
      </c>
      <c r="AJ103">
        <v>1101.0297541674829</v>
      </c>
      <c r="AK103">
        <v>1085.9392923420501</v>
      </c>
      <c r="AL103">
        <v>1088.881630877218</v>
      </c>
      <c r="AM103">
        <v>1084.622475910488</v>
      </c>
      <c r="AN103">
        <v>1132.356767153007</v>
      </c>
      <c r="AO103">
        <v>1183.9526369529131</v>
      </c>
      <c r="AP103">
        <v>1245.3376996596421</v>
      </c>
      <c r="AQ103">
        <v>1271.025594816829</v>
      </c>
      <c r="AR103">
        <v>1298.1566029141229</v>
      </c>
      <c r="AS103">
        <v>1332.576055614001</v>
      </c>
      <c r="AT103">
        <v>1377.29679068979</v>
      </c>
      <c r="AU103">
        <v>1413.9801098703811</v>
      </c>
      <c r="AV103">
        <v>1461.152875049225</v>
      </c>
      <c r="AW103">
        <v>1542.639172633654</v>
      </c>
      <c r="AX103">
        <v>1633.3514511871419</v>
      </c>
      <c r="AY103">
        <v>1731.049979499249</v>
      </c>
      <c r="AZ103">
        <v>1825.6845174818</v>
      </c>
      <c r="BA103">
        <v>1912.016840981503</v>
      </c>
      <c r="BB103">
        <v>1936.581948973429</v>
      </c>
      <c r="BC103">
        <v>2025.116901754453</v>
      </c>
      <c r="BD103">
        <v>2099.8952875053042</v>
      </c>
      <c r="BE103">
        <v>2107.54135555838</v>
      </c>
      <c r="BF103">
        <v>2201.323872473346</v>
      </c>
      <c r="BG103">
        <v>2350.009650458353</v>
      </c>
      <c r="BH103">
        <v>2407.8225313523631</v>
      </c>
      <c r="BI103">
        <v>2502.7727836587292</v>
      </c>
      <c r="BJ103">
        <v>2589.6001258633451</v>
      </c>
      <c r="BK103">
        <v>2694.0764099823518</v>
      </c>
      <c r="BL103">
        <v>2819.5120360608212</v>
      </c>
      <c r="BM103">
        <v>2816.0294742195911</v>
      </c>
      <c r="BN103">
        <v>3035.0607700499309</v>
      </c>
      <c r="BO103">
        <v>3310.5811257997711</v>
      </c>
      <c r="BP103">
        <v>3449.7085792807711</v>
      </c>
      <c r="BQ103">
        <v>3611.7625881397589</v>
      </c>
    </row>
    <row r="104" spans="1:69" x14ac:dyDescent="0.25">
      <c r="A104" t="s">
        <v>1241</v>
      </c>
      <c r="B104" t="s">
        <v>1242</v>
      </c>
      <c r="C104" t="s">
        <v>1580</v>
      </c>
      <c r="D104" t="s">
        <v>1581</v>
      </c>
      <c r="AI104">
        <v>9607.8902625873088</v>
      </c>
      <c r="AJ104">
        <v>7985.791307111881</v>
      </c>
      <c r="AK104">
        <v>7389.4594452657238</v>
      </c>
      <c r="AL104">
        <v>6920.2375145272572</v>
      </c>
      <c r="AM104">
        <v>7399.9859152074996</v>
      </c>
      <c r="AN104">
        <v>8121.0182897684881</v>
      </c>
      <c r="AO104">
        <v>8883.9538034817197</v>
      </c>
      <c r="AP104">
        <v>9619.3557834514795</v>
      </c>
      <c r="AQ104">
        <v>9951.7248649987268</v>
      </c>
      <c r="AR104">
        <v>10020.69241371795</v>
      </c>
      <c r="AS104">
        <v>10683.150917784111</v>
      </c>
      <c r="AT104">
        <v>11583.35357063262</v>
      </c>
      <c r="AU104">
        <v>12529.113609097139</v>
      </c>
      <c r="AV104">
        <v>13210.497326120931</v>
      </c>
      <c r="AW104">
        <v>14135.90555760413</v>
      </c>
      <c r="AX104">
        <v>14851.08350453925</v>
      </c>
      <c r="AY104">
        <v>16641.214970266061</v>
      </c>
      <c r="AZ104">
        <v>18395.70614857124</v>
      </c>
      <c r="BA104">
        <v>19674.294496085338</v>
      </c>
      <c r="BB104">
        <v>19101.240899584562</v>
      </c>
      <c r="BC104">
        <v>19015.140651767091</v>
      </c>
      <c r="BD104">
        <v>20123.063321077989</v>
      </c>
      <c r="BE104">
        <v>20482.237216881611</v>
      </c>
      <c r="BF104">
        <v>21016.966745981339</v>
      </c>
      <c r="BG104">
        <v>21302.887341579641</v>
      </c>
      <c r="BH104">
        <v>22187.17739422802</v>
      </c>
      <c r="BI104">
        <v>24064.153346525909</v>
      </c>
      <c r="BJ104">
        <v>25989.381238395559</v>
      </c>
      <c r="BK104">
        <v>28061.441683742531</v>
      </c>
      <c r="BL104">
        <v>31144.164297758089</v>
      </c>
      <c r="BM104">
        <v>29760.345904559679</v>
      </c>
      <c r="BN104">
        <v>35139.14546915661</v>
      </c>
      <c r="BO104">
        <v>40775.543771287637</v>
      </c>
      <c r="BP104">
        <v>47959.43543459686</v>
      </c>
      <c r="BQ104">
        <v>49645.745685441332</v>
      </c>
    </row>
    <row r="105" spans="1:69" x14ac:dyDescent="0.25">
      <c r="A105" t="s">
        <v>1243</v>
      </c>
      <c r="B105" t="s">
        <v>1244</v>
      </c>
      <c r="C105" t="s">
        <v>1580</v>
      </c>
      <c r="D105" t="s">
        <v>1581</v>
      </c>
      <c r="AI105">
        <v>2202.2277471918978</v>
      </c>
      <c r="AJ105">
        <v>2272.7622718592211</v>
      </c>
      <c r="AK105">
        <v>2157.5971330494681</v>
      </c>
      <c r="AL105">
        <v>2048.243453275818</v>
      </c>
      <c r="AM105">
        <v>1806.8230358226131</v>
      </c>
      <c r="AN105">
        <v>1989.016473808822</v>
      </c>
      <c r="AO105">
        <v>2069.614541321238</v>
      </c>
      <c r="AP105">
        <v>2121.8494007525251</v>
      </c>
      <c r="AQ105">
        <v>2152.0036630753698</v>
      </c>
      <c r="AR105">
        <v>2200.5895348560612</v>
      </c>
      <c r="AS105">
        <v>2228.5013363773101</v>
      </c>
      <c r="AT105">
        <v>2229.8439672307491</v>
      </c>
      <c r="AU105">
        <v>2247.9789661465411</v>
      </c>
      <c r="AV105">
        <v>2330.9187393338289</v>
      </c>
      <c r="AW105">
        <v>2322.197867986913</v>
      </c>
      <c r="AX105">
        <v>2427.4480855139341</v>
      </c>
      <c r="AY105">
        <v>2503.6593268197821</v>
      </c>
      <c r="AZ105">
        <v>2647.4953861343029</v>
      </c>
      <c r="BA105">
        <v>2724.4592282663311</v>
      </c>
      <c r="BB105">
        <v>2855.1597138549382</v>
      </c>
      <c r="BC105">
        <v>2694.9110413731551</v>
      </c>
      <c r="BD105">
        <v>2858.196459794347</v>
      </c>
      <c r="BE105">
        <v>2830.1908055970912</v>
      </c>
      <c r="BF105">
        <v>3042.4970687870991</v>
      </c>
      <c r="BG105">
        <v>3075.738438370623</v>
      </c>
      <c r="BH105">
        <v>3025.8346172825841</v>
      </c>
      <c r="BI105">
        <v>3253.4717864161362</v>
      </c>
      <c r="BJ105">
        <v>3339.3888465344612</v>
      </c>
      <c r="BK105">
        <v>3196.9738637061419</v>
      </c>
      <c r="BL105">
        <v>3236.9749250460732</v>
      </c>
      <c r="BM105">
        <v>3103.1806631246159</v>
      </c>
      <c r="BN105">
        <v>3145.006810572685</v>
      </c>
      <c r="BO105">
        <v>3275.4071812634529</v>
      </c>
      <c r="BP105">
        <v>3291.7381788706648</v>
      </c>
      <c r="BQ105">
        <v>3193.67136419915</v>
      </c>
    </row>
    <row r="106" spans="1:69" x14ac:dyDescent="0.25">
      <c r="A106" t="s">
        <v>1245</v>
      </c>
      <c r="B106" t="s">
        <v>1246</v>
      </c>
      <c r="C106" t="s">
        <v>1580</v>
      </c>
      <c r="D106" t="s">
        <v>1581</v>
      </c>
      <c r="AI106">
        <v>9169.1268406544514</v>
      </c>
      <c r="AJ106">
        <v>8352.4113709572939</v>
      </c>
      <c r="AK106">
        <v>8284.2270264008857</v>
      </c>
      <c r="AL106">
        <v>8441.3530666017159</v>
      </c>
      <c r="AM106">
        <v>8887.8423611302496</v>
      </c>
      <c r="AN106">
        <v>9222.1853824259651</v>
      </c>
      <c r="AO106">
        <v>9387.5759543463519</v>
      </c>
      <c r="AP106">
        <v>9846.434416384107</v>
      </c>
      <c r="AQ106">
        <v>10415.29058865773</v>
      </c>
      <c r="AR106">
        <v>10892.48561044684</v>
      </c>
      <c r="AS106">
        <v>11871.67120536987</v>
      </c>
      <c r="AT106">
        <v>13222.72986126236</v>
      </c>
      <c r="AU106">
        <v>14532.30751820878</v>
      </c>
      <c r="AV106">
        <v>15459.96306511723</v>
      </c>
      <c r="AW106">
        <v>16250.6523854316</v>
      </c>
      <c r="AX106">
        <v>17091.276131819352</v>
      </c>
      <c r="AY106">
        <v>18361.996387153671</v>
      </c>
      <c r="AZ106">
        <v>19089.293698815229</v>
      </c>
      <c r="BA106">
        <v>20708.7615120316</v>
      </c>
      <c r="BB106">
        <v>20691.44852244858</v>
      </c>
      <c r="BC106">
        <v>21690.98664777384</v>
      </c>
      <c r="BD106">
        <v>22992.218465758371</v>
      </c>
      <c r="BE106">
        <v>23205.31066840401</v>
      </c>
      <c r="BF106">
        <v>24591.638050305512</v>
      </c>
      <c r="BG106">
        <v>25796.210095925559</v>
      </c>
      <c r="BH106">
        <v>26937.732081886439</v>
      </c>
      <c r="BI106">
        <v>28178.945036691861</v>
      </c>
      <c r="BJ106">
        <v>29728.012156880119</v>
      </c>
      <c r="BK106">
        <v>32258.25778925114</v>
      </c>
      <c r="BL106">
        <v>35627.231552085817</v>
      </c>
      <c r="BM106">
        <v>35583.58556756367</v>
      </c>
      <c r="BN106">
        <v>38887.190952715348</v>
      </c>
      <c r="BO106">
        <v>44365.910812834292</v>
      </c>
      <c r="BP106">
        <v>46592.385607007353</v>
      </c>
      <c r="BQ106">
        <v>48552.47080925294</v>
      </c>
    </row>
    <row r="107" spans="1:69" x14ac:dyDescent="0.25">
      <c r="A107" t="s">
        <v>1247</v>
      </c>
      <c r="B107" t="s">
        <v>1248</v>
      </c>
      <c r="C107" t="s">
        <v>1580</v>
      </c>
      <c r="D107" t="s">
        <v>1581</v>
      </c>
      <c r="AI107">
        <v>2986.7056763807259</v>
      </c>
      <c r="AJ107">
        <v>3097.6067274042721</v>
      </c>
      <c r="AK107">
        <v>3182.145248709227</v>
      </c>
      <c r="AL107">
        <v>3299.3900277796952</v>
      </c>
      <c r="AM107">
        <v>3425.4668612641231</v>
      </c>
      <c r="AN107">
        <v>3597.8044505390999</v>
      </c>
      <c r="AO107">
        <v>3808.3753125606581</v>
      </c>
      <c r="AP107">
        <v>4015.1030359790111</v>
      </c>
      <c r="AQ107">
        <v>4049.8141967190418</v>
      </c>
      <c r="AR107">
        <v>4208.4553041553872</v>
      </c>
      <c r="AS107">
        <v>4503.8921756703558</v>
      </c>
      <c r="AT107">
        <v>4722.9697703257098</v>
      </c>
      <c r="AU107">
        <v>4953.5692751864108</v>
      </c>
      <c r="AV107">
        <v>5287.532223220458</v>
      </c>
      <c r="AW107">
        <v>5792.9030829873682</v>
      </c>
      <c r="AX107">
        <v>6341.8383691001436</v>
      </c>
      <c r="AY107">
        <v>7078.0368571621548</v>
      </c>
      <c r="AZ107">
        <v>7827.2308743336798</v>
      </c>
      <c r="BA107">
        <v>8443.0367708146787</v>
      </c>
      <c r="BB107">
        <v>8676.6626929497215</v>
      </c>
      <c r="BC107">
        <v>9361.4281084702725</v>
      </c>
      <c r="BD107">
        <v>10078.717149937809</v>
      </c>
      <c r="BE107">
        <v>10702.090077170829</v>
      </c>
      <c r="BF107">
        <v>11210.468550232101</v>
      </c>
      <c r="BG107">
        <v>11563.37031296299</v>
      </c>
      <c r="BH107">
        <v>11684.142588440571</v>
      </c>
      <c r="BI107">
        <v>12136.69625227369</v>
      </c>
      <c r="BJ107">
        <v>12801.618313392741</v>
      </c>
      <c r="BK107">
        <v>13703.40696090942</v>
      </c>
      <c r="BL107">
        <v>14519.815745185329</v>
      </c>
      <c r="BM107">
        <v>14567.26282605228</v>
      </c>
      <c r="BN107">
        <v>16443.592652972238</v>
      </c>
      <c r="BO107">
        <v>18289.839982187212</v>
      </c>
      <c r="BP107">
        <v>19837.70770764456</v>
      </c>
      <c r="BQ107">
        <v>21126.945607657512</v>
      </c>
    </row>
    <row r="108" spans="1:69" x14ac:dyDescent="0.25">
      <c r="A108" t="s">
        <v>1249</v>
      </c>
      <c r="B108" t="s">
        <v>1250</v>
      </c>
      <c r="C108" t="s">
        <v>1580</v>
      </c>
      <c r="D108" t="s">
        <v>1581</v>
      </c>
      <c r="AI108">
        <v>2675.1750269759791</v>
      </c>
      <c r="AJ108">
        <v>2769.6413419979981</v>
      </c>
      <c r="AK108">
        <v>2839.5562768225432</v>
      </c>
      <c r="AL108">
        <v>2931.0431761043542</v>
      </c>
      <c r="AM108">
        <v>3028.7049369917108</v>
      </c>
      <c r="AN108">
        <v>3170.554805799844</v>
      </c>
      <c r="AO108">
        <v>3345.6425939899059</v>
      </c>
      <c r="AP108">
        <v>3514.340358317625</v>
      </c>
      <c r="AQ108">
        <v>3544.1828030746451</v>
      </c>
      <c r="AR108">
        <v>3671.71227934938</v>
      </c>
      <c r="AS108">
        <v>3912.6033795280191</v>
      </c>
      <c r="AT108">
        <v>4093.6863640344909</v>
      </c>
      <c r="AU108">
        <v>4286.4355418025889</v>
      </c>
      <c r="AV108">
        <v>4558.9516552319656</v>
      </c>
      <c r="AW108">
        <v>4975.5001595183749</v>
      </c>
      <c r="AX108">
        <v>5425.8360954193686</v>
      </c>
      <c r="AY108">
        <v>6018.6494575295319</v>
      </c>
      <c r="AZ108">
        <v>6617.1899355566757</v>
      </c>
      <c r="BA108">
        <v>7103.1977735789969</v>
      </c>
      <c r="BB108">
        <v>7289.858044495174</v>
      </c>
      <c r="BC108">
        <v>7828.7235220328803</v>
      </c>
      <c r="BD108">
        <v>8386.7315761218106</v>
      </c>
      <c r="BE108">
        <v>8867.357969563378</v>
      </c>
      <c r="BF108">
        <v>9278.1818744206212</v>
      </c>
      <c r="BG108">
        <v>9576.5482502655195</v>
      </c>
      <c r="BH108">
        <v>9673.0234232713537</v>
      </c>
      <c r="BI108">
        <v>10016.73455666362</v>
      </c>
      <c r="BJ108">
        <v>10539.798822410439</v>
      </c>
      <c r="BK108">
        <v>11219.89739276161</v>
      </c>
      <c r="BL108">
        <v>11849.29227519461</v>
      </c>
      <c r="BM108">
        <v>11856.38772898294</v>
      </c>
      <c r="BN108">
        <v>13269.339447514711</v>
      </c>
      <c r="BO108">
        <v>14695.998987098341</v>
      </c>
      <c r="BP108">
        <v>15837.8566142075</v>
      </c>
      <c r="BQ108">
        <v>16790.149404238869</v>
      </c>
    </row>
    <row r="109" spans="1:69" x14ac:dyDescent="0.25">
      <c r="A109" t="s">
        <v>1251</v>
      </c>
      <c r="B109" t="s">
        <v>1252</v>
      </c>
      <c r="C109" t="s">
        <v>1580</v>
      </c>
      <c r="D109" t="s">
        <v>1581</v>
      </c>
      <c r="AI109">
        <v>1450.339450143437</v>
      </c>
      <c r="AJ109">
        <v>1492.1841825527299</v>
      </c>
      <c r="AK109">
        <v>1519.645090815457</v>
      </c>
      <c r="AL109">
        <v>1528.3521333970641</v>
      </c>
      <c r="AM109">
        <v>1535.1625465489089</v>
      </c>
      <c r="AN109">
        <v>1581.278278276726</v>
      </c>
      <c r="AO109">
        <v>1645.0691012360751</v>
      </c>
      <c r="AP109">
        <v>1695.361413092322</v>
      </c>
      <c r="AQ109">
        <v>1729.810595242981</v>
      </c>
      <c r="AR109">
        <v>1767.931633085806</v>
      </c>
      <c r="AS109">
        <v>1839.6751466123001</v>
      </c>
      <c r="AT109">
        <v>1914.7342063345361</v>
      </c>
      <c r="AU109">
        <v>2006.473456707294</v>
      </c>
      <c r="AV109">
        <v>2101.069129994044</v>
      </c>
      <c r="AW109">
        <v>2252.4912547536501</v>
      </c>
      <c r="AX109">
        <v>2412.9565179797301</v>
      </c>
      <c r="AY109">
        <v>2579.310322041616</v>
      </c>
      <c r="AZ109">
        <v>2742.5073005849172</v>
      </c>
      <c r="BA109">
        <v>2870.2702490177689</v>
      </c>
      <c r="BB109">
        <v>2966.362821921502</v>
      </c>
      <c r="BC109">
        <v>3112.4344265675272</v>
      </c>
      <c r="BD109">
        <v>3245.479382095335</v>
      </c>
      <c r="BE109">
        <v>3356.2324374090949</v>
      </c>
      <c r="BF109">
        <v>3530.4515234539531</v>
      </c>
      <c r="BG109">
        <v>3728.3872961511051</v>
      </c>
      <c r="BH109">
        <v>3818.7109831016719</v>
      </c>
      <c r="BI109">
        <v>3917.10147164516</v>
      </c>
      <c r="BJ109">
        <v>4111.127341681743</v>
      </c>
      <c r="BK109">
        <v>4252.9972981306928</v>
      </c>
      <c r="BL109">
        <v>4462.5923862279924</v>
      </c>
      <c r="BM109">
        <v>4471.4103003910768</v>
      </c>
      <c r="BN109">
        <v>4760.4421186649042</v>
      </c>
      <c r="BO109">
        <v>5219.7034553938138</v>
      </c>
      <c r="BP109">
        <v>5459.1514970753542</v>
      </c>
      <c r="BQ109">
        <v>5710.1446286105411</v>
      </c>
    </row>
    <row r="110" spans="1:69" x14ac:dyDescent="0.25">
      <c r="A110" t="s">
        <v>1253</v>
      </c>
      <c r="B110" t="s">
        <v>1254</v>
      </c>
      <c r="C110" t="s">
        <v>1580</v>
      </c>
      <c r="D110" t="s">
        <v>1581</v>
      </c>
      <c r="AI110">
        <v>2334.0817669867201</v>
      </c>
      <c r="AJ110">
        <v>2389.1752012148868</v>
      </c>
      <c r="AK110">
        <v>2450.9550903425811</v>
      </c>
      <c r="AL110">
        <v>2433.6625598704841</v>
      </c>
      <c r="AM110">
        <v>2441.3136111324452</v>
      </c>
      <c r="AN110">
        <v>2483.5920155051422</v>
      </c>
      <c r="AO110">
        <v>2577.4903997174761</v>
      </c>
      <c r="AP110">
        <v>2615.0414483882578</v>
      </c>
      <c r="AQ110">
        <v>2647.769852050104</v>
      </c>
      <c r="AR110">
        <v>2671.8580367435152</v>
      </c>
      <c r="AS110">
        <v>2761.4822571720438</v>
      </c>
      <c r="AT110">
        <v>2863.095263506274</v>
      </c>
      <c r="AU110">
        <v>3024.8489752429118</v>
      </c>
      <c r="AV110">
        <v>3152.6843131138271</v>
      </c>
      <c r="AW110">
        <v>3396.356063738473</v>
      </c>
      <c r="AX110">
        <v>3625.8409784018172</v>
      </c>
      <c r="AY110">
        <v>3856.6992381936188</v>
      </c>
      <c r="AZ110">
        <v>4068.7265882136639</v>
      </c>
      <c r="BA110">
        <v>4211.1232675615929</v>
      </c>
      <c r="BB110">
        <v>4372.8655773225501</v>
      </c>
      <c r="BC110">
        <v>4561.6745979549614</v>
      </c>
      <c r="BD110">
        <v>4735.6818236515792</v>
      </c>
      <c r="BE110">
        <v>4882.9943895433853</v>
      </c>
      <c r="BF110">
        <v>5114.3006904126842</v>
      </c>
      <c r="BG110">
        <v>5374.465417050953</v>
      </c>
      <c r="BH110">
        <v>5466.8623375678808</v>
      </c>
      <c r="BI110">
        <v>5487.197114167624</v>
      </c>
      <c r="BJ110">
        <v>5794.370260763093</v>
      </c>
      <c r="BK110">
        <v>5808.8728295288638</v>
      </c>
      <c r="BL110">
        <v>6061.3709910825119</v>
      </c>
      <c r="BM110">
        <v>6011.8848190365024</v>
      </c>
      <c r="BN110">
        <v>6358.4413484870411</v>
      </c>
      <c r="BO110">
        <v>6994.2427729341989</v>
      </c>
      <c r="BP110">
        <v>7301.412874067275</v>
      </c>
      <c r="BQ110">
        <v>7631.6228519561664</v>
      </c>
    </row>
    <row r="111" spans="1:69" x14ac:dyDescent="0.25">
      <c r="A111" t="s">
        <v>1255</v>
      </c>
      <c r="B111" t="s">
        <v>1256</v>
      </c>
      <c r="C111" t="s">
        <v>1580</v>
      </c>
      <c r="D111" t="s">
        <v>1581</v>
      </c>
      <c r="AI111">
        <v>3043.9419750941211</v>
      </c>
      <c r="AJ111">
        <v>3305.363933086931</v>
      </c>
      <c r="AK111">
        <v>3538.4843126036021</v>
      </c>
      <c r="AL111">
        <v>3792.594657262789</v>
      </c>
      <c r="AM111">
        <v>4095.9984660678601</v>
      </c>
      <c r="AN111">
        <v>4451.0002128761353</v>
      </c>
      <c r="AO111">
        <v>4807.0926728128024</v>
      </c>
      <c r="AP111">
        <v>5037.2215238770787</v>
      </c>
      <c r="AQ111">
        <v>4355.7799739700431</v>
      </c>
      <c r="AR111">
        <v>4385.9397137139704</v>
      </c>
      <c r="AS111">
        <v>4639.0394263946437</v>
      </c>
      <c r="AT111">
        <v>4848.5558011085204</v>
      </c>
      <c r="AU111">
        <v>5076.1643815953612</v>
      </c>
      <c r="AV111">
        <v>5352.5075039153107</v>
      </c>
      <c r="AW111">
        <v>5700.0494953576081</v>
      </c>
      <c r="AX111">
        <v>6134.1667301082034</v>
      </c>
      <c r="AY111">
        <v>6583.3511235804572</v>
      </c>
      <c r="AZ111">
        <v>7096.3876891673362</v>
      </c>
      <c r="BA111">
        <v>7569.2530469127196</v>
      </c>
      <c r="BB111">
        <v>7868.1481833355383</v>
      </c>
      <c r="BC111">
        <v>8353.4568473324889</v>
      </c>
      <c r="BD111">
        <v>8936.9921554945358</v>
      </c>
      <c r="BE111">
        <v>9530.2907113671772</v>
      </c>
      <c r="BF111">
        <v>9866.0169925084701</v>
      </c>
      <c r="BG111">
        <v>10064.67712741701</v>
      </c>
      <c r="BH111">
        <v>10027.537299602551</v>
      </c>
      <c r="BI111">
        <v>10262.5951651871</v>
      </c>
      <c r="BJ111">
        <v>10687.64092184431</v>
      </c>
      <c r="BK111">
        <v>11372.09719876119</v>
      </c>
      <c r="BL111">
        <v>11986.47015083764</v>
      </c>
      <c r="BM111">
        <v>11729.36744584478</v>
      </c>
      <c r="BN111">
        <v>12757.074644020369</v>
      </c>
      <c r="BO111">
        <v>14284.92929313296</v>
      </c>
      <c r="BP111">
        <v>15415.70792595272</v>
      </c>
      <c r="BQ111">
        <v>16448.275517955859</v>
      </c>
    </row>
    <row r="112" spans="1:69" x14ac:dyDescent="0.25">
      <c r="A112" t="s">
        <v>1257</v>
      </c>
      <c r="B112" t="s">
        <v>1258</v>
      </c>
      <c r="C112" t="s">
        <v>1580</v>
      </c>
      <c r="D112" t="s">
        <v>1581</v>
      </c>
      <c r="AI112">
        <v>985.25297394516178</v>
      </c>
      <c r="AJ112">
        <v>1017.319595320803</v>
      </c>
      <c r="AK112">
        <v>1025.0363557530841</v>
      </c>
      <c r="AL112">
        <v>1047.985339239076</v>
      </c>
      <c r="AM112">
        <v>1054.0567916171699</v>
      </c>
      <c r="AN112">
        <v>1102.085641208176</v>
      </c>
      <c r="AO112">
        <v>1149.1200718960631</v>
      </c>
      <c r="AP112">
        <v>1205.964151499687</v>
      </c>
      <c r="AQ112">
        <v>1240.6760024185121</v>
      </c>
      <c r="AR112">
        <v>1286.0655055817581</v>
      </c>
      <c r="AS112">
        <v>1347.315181340173</v>
      </c>
      <c r="AT112">
        <v>1406.622598285895</v>
      </c>
      <c r="AU112">
        <v>1459.9875302118201</v>
      </c>
      <c r="AV112">
        <v>1536.444710184124</v>
      </c>
      <c r="AW112">
        <v>1636.855034880761</v>
      </c>
      <c r="AX112">
        <v>1759.075878647124</v>
      </c>
      <c r="AY112">
        <v>1889.848786023214</v>
      </c>
      <c r="AZ112">
        <v>2024.894008179544</v>
      </c>
      <c r="BA112">
        <v>2142.4791800771109</v>
      </c>
      <c r="BB112">
        <v>2200.2783672368082</v>
      </c>
      <c r="BC112">
        <v>2320.4960536870321</v>
      </c>
      <c r="BD112">
        <v>2429.495474569168</v>
      </c>
      <c r="BE112">
        <v>2519.6975529607248</v>
      </c>
      <c r="BF112">
        <v>2661.9929906820671</v>
      </c>
      <c r="BG112">
        <v>2826.5585597979298</v>
      </c>
      <c r="BH112">
        <v>2917.5410740658749</v>
      </c>
      <c r="BI112">
        <v>3063.834866965929</v>
      </c>
      <c r="BJ112">
        <v>3198.153688115397</v>
      </c>
      <c r="BK112">
        <v>3414.2634513600001</v>
      </c>
      <c r="BL112">
        <v>3604.3341614790102</v>
      </c>
      <c r="BM112">
        <v>3648.260686262523</v>
      </c>
      <c r="BN112">
        <v>3909.4907910925958</v>
      </c>
      <c r="BO112">
        <v>4276.646540274498</v>
      </c>
      <c r="BP112">
        <v>4484.0573049152063</v>
      </c>
      <c r="BQ112">
        <v>4697.5614220310454</v>
      </c>
    </row>
    <row r="113" spans="1:69" x14ac:dyDescent="0.25">
      <c r="A113" t="s">
        <v>1259</v>
      </c>
      <c r="B113" t="s">
        <v>1260</v>
      </c>
      <c r="C113" t="s">
        <v>1580</v>
      </c>
      <c r="D113" t="s">
        <v>1581</v>
      </c>
    </row>
    <row r="114" spans="1:69" x14ac:dyDescent="0.25">
      <c r="A114" t="s">
        <v>1261</v>
      </c>
      <c r="B114" t="s">
        <v>1262</v>
      </c>
      <c r="C114" t="s">
        <v>1580</v>
      </c>
      <c r="D114" t="s">
        <v>1581</v>
      </c>
      <c r="AI114">
        <v>1211.9825259623631</v>
      </c>
      <c r="AJ114">
        <v>1239.058005500169</v>
      </c>
      <c r="AK114">
        <v>1308.600466489728</v>
      </c>
      <c r="AL114">
        <v>1374.101528924039</v>
      </c>
      <c r="AM114">
        <v>1466.6042554144931</v>
      </c>
      <c r="AN114">
        <v>1578.6712441830839</v>
      </c>
      <c r="AO114">
        <v>1694.739808048522</v>
      </c>
      <c r="AP114">
        <v>1758.8533618591609</v>
      </c>
      <c r="AQ114">
        <v>1852.406490502972</v>
      </c>
      <c r="AR114">
        <v>2006.272867026036</v>
      </c>
      <c r="AS114">
        <v>2090.858068944859</v>
      </c>
      <c r="AT114">
        <v>2199.5391044647772</v>
      </c>
      <c r="AU114">
        <v>2277.069747750505</v>
      </c>
      <c r="AV114">
        <v>2461.4825161086128</v>
      </c>
      <c r="AW114">
        <v>2681.861168412544</v>
      </c>
      <c r="AX114">
        <v>2936.8032201193291</v>
      </c>
      <c r="AY114">
        <v>3220.6269293940099</v>
      </c>
      <c r="AZ114">
        <v>3508.0618317160511</v>
      </c>
      <c r="BA114">
        <v>3633.367832407157</v>
      </c>
      <c r="BB114">
        <v>3886.5819769324748</v>
      </c>
      <c r="BC114">
        <v>4206.4598600211721</v>
      </c>
      <c r="BD114">
        <v>4454.7015320051278</v>
      </c>
      <c r="BE114">
        <v>4819.6428821873114</v>
      </c>
      <c r="BF114">
        <v>5014.3505659078019</v>
      </c>
      <c r="BG114">
        <v>5191.5914990324873</v>
      </c>
      <c r="BH114">
        <v>5425.0359909104618</v>
      </c>
      <c r="BI114">
        <v>5800.4814936655221</v>
      </c>
      <c r="BJ114">
        <v>6144.7171444493824</v>
      </c>
      <c r="BK114">
        <v>6714.9663987775402</v>
      </c>
      <c r="BL114">
        <v>7150.9242345292596</v>
      </c>
      <c r="BM114">
        <v>6966.2754278591092</v>
      </c>
      <c r="BN114">
        <v>8050.0185745266408</v>
      </c>
      <c r="BO114">
        <v>9207.127430401446</v>
      </c>
      <c r="BP114">
        <v>10323.499873442801</v>
      </c>
      <c r="BQ114">
        <v>11159.98564760913</v>
      </c>
    </row>
    <row r="115" spans="1:69" x14ac:dyDescent="0.25">
      <c r="A115" t="s">
        <v>1263</v>
      </c>
      <c r="B115" t="s">
        <v>1264</v>
      </c>
      <c r="C115" t="s">
        <v>1580</v>
      </c>
      <c r="D115" t="s">
        <v>1581</v>
      </c>
    </row>
    <row r="116" spans="1:69" x14ac:dyDescent="0.25">
      <c r="A116" t="s">
        <v>1265</v>
      </c>
      <c r="B116" t="s">
        <v>1266</v>
      </c>
      <c r="C116" t="s">
        <v>1580</v>
      </c>
      <c r="D116" t="s">
        <v>1581</v>
      </c>
      <c r="AI116">
        <v>13742.875818570939</v>
      </c>
      <c r="AJ116">
        <v>14398.764276934429</v>
      </c>
      <c r="AK116">
        <v>15115.76949039715</v>
      </c>
      <c r="AL116">
        <v>15811.48969489762</v>
      </c>
      <c r="AM116">
        <v>17011.438273395521</v>
      </c>
      <c r="AN116">
        <v>18944.044339188102</v>
      </c>
      <c r="AO116">
        <v>20481.573373668791</v>
      </c>
      <c r="AP116">
        <v>22637.38244824405</v>
      </c>
      <c r="AQ116">
        <v>25093.99596212598</v>
      </c>
      <c r="AR116">
        <v>27041.347422159681</v>
      </c>
      <c r="AS116">
        <v>30215.93248966914</v>
      </c>
      <c r="AT116">
        <v>32573.463402433052</v>
      </c>
      <c r="AU116">
        <v>35222.028724352043</v>
      </c>
      <c r="AV116">
        <v>36280.482747257498</v>
      </c>
      <c r="AW116">
        <v>38729.246820455402</v>
      </c>
      <c r="AX116">
        <v>40466.23435157114</v>
      </c>
      <c r="AY116">
        <v>44222.653603419807</v>
      </c>
      <c r="AZ116">
        <v>46782.376206724301</v>
      </c>
      <c r="BA116">
        <v>44169.094341164397</v>
      </c>
      <c r="BB116">
        <v>41491.474153283059</v>
      </c>
      <c r="BC116">
        <v>43212.20400032121</v>
      </c>
      <c r="BD116">
        <v>45525.718123904233</v>
      </c>
      <c r="BE116">
        <v>46726.21576653661</v>
      </c>
      <c r="BF116">
        <v>48838.771982552542</v>
      </c>
      <c r="BG116">
        <v>52640.784391855297</v>
      </c>
      <c r="BH116">
        <v>71588.265663837767</v>
      </c>
      <c r="BI116">
        <v>73012.819872037435</v>
      </c>
      <c r="BJ116">
        <v>80450.352933650589</v>
      </c>
      <c r="BK116">
        <v>86299.342021697623</v>
      </c>
      <c r="BL116">
        <v>92022.598799830041</v>
      </c>
      <c r="BM116">
        <v>97799.922574860699</v>
      </c>
      <c r="BN116">
        <v>116903.6124351699</v>
      </c>
      <c r="BO116">
        <v>138522.5178002039</v>
      </c>
      <c r="BP116">
        <v>129682.6071505172</v>
      </c>
      <c r="BQ116">
        <v>133437.47011701891</v>
      </c>
    </row>
    <row r="117" spans="1:69" x14ac:dyDescent="0.25">
      <c r="A117" t="s">
        <v>1267</v>
      </c>
      <c r="B117" t="s">
        <v>1268</v>
      </c>
      <c r="C117" t="s">
        <v>1580</v>
      </c>
      <c r="D117" t="s">
        <v>1581</v>
      </c>
      <c r="AI117">
        <v>7565.8544073249268</v>
      </c>
      <c r="AJ117">
        <v>8580.1797997108006</v>
      </c>
      <c r="AK117">
        <v>8887.6282403241185</v>
      </c>
      <c r="AL117">
        <v>8932.5488300232355</v>
      </c>
      <c r="AM117">
        <v>8951.2731138676882</v>
      </c>
      <c r="AN117">
        <v>9255.3350708246544</v>
      </c>
      <c r="AO117">
        <v>9915.58939391696</v>
      </c>
      <c r="AP117">
        <v>10100.97162189821</v>
      </c>
      <c r="AQ117">
        <v>10284.70445825794</v>
      </c>
      <c r="AR117">
        <v>10488.67010524033</v>
      </c>
      <c r="AS117">
        <v>11186.89992187924</v>
      </c>
      <c r="AT117">
        <v>11532.998757145941</v>
      </c>
      <c r="AU117">
        <v>12554.330770158809</v>
      </c>
      <c r="AV117">
        <v>13754.90651314577</v>
      </c>
      <c r="AW117">
        <v>14425.416999279219</v>
      </c>
      <c r="AX117">
        <v>15016.267607687631</v>
      </c>
      <c r="AY117">
        <v>15906.858138035999</v>
      </c>
      <c r="AZ117">
        <v>17383.715656416251</v>
      </c>
      <c r="BA117">
        <v>17548.673776134779</v>
      </c>
      <c r="BB117">
        <v>17614.671869605671</v>
      </c>
      <c r="BC117">
        <v>18627.815202270991</v>
      </c>
      <c r="BD117">
        <v>19275.437688006259</v>
      </c>
      <c r="BE117">
        <v>17021.37167929205</v>
      </c>
      <c r="BF117">
        <v>16215.211901464159</v>
      </c>
      <c r="BG117">
        <v>16065.15818602802</v>
      </c>
      <c r="BH117">
        <v>14273.54990615864</v>
      </c>
      <c r="BI117">
        <v>15194.78558035186</v>
      </c>
      <c r="BJ117">
        <v>15719.41670155095</v>
      </c>
      <c r="BK117">
        <v>15324.067463463691</v>
      </c>
      <c r="BL117">
        <v>13927.512807432809</v>
      </c>
      <c r="BM117">
        <v>15119.30588599636</v>
      </c>
      <c r="BN117">
        <v>15884.42767759633</v>
      </c>
      <c r="BO117">
        <v>17545.624662942952</v>
      </c>
      <c r="BP117">
        <v>18917.09147231323</v>
      </c>
      <c r="BQ117">
        <v>19873.88608538052</v>
      </c>
    </row>
    <row r="118" spans="1:69" x14ac:dyDescent="0.25">
      <c r="A118" t="s">
        <v>1269</v>
      </c>
      <c r="B118" t="s">
        <v>1270</v>
      </c>
      <c r="C118" t="s">
        <v>1580</v>
      </c>
      <c r="D118" t="s">
        <v>1581</v>
      </c>
      <c r="AJ118">
        <v>2694.0394091854719</v>
      </c>
      <c r="AK118">
        <v>3546.9654347058399</v>
      </c>
      <c r="AL118">
        <v>4509.0436334712558</v>
      </c>
      <c r="AM118">
        <v>4559.9311313494973</v>
      </c>
      <c r="AN118">
        <v>4597.6213080161306</v>
      </c>
      <c r="AO118">
        <v>5034.4762834946896</v>
      </c>
      <c r="AP118">
        <v>6019.8891257839177</v>
      </c>
      <c r="AQ118">
        <v>7964.0568493303426</v>
      </c>
      <c r="AR118">
        <v>9194.4742028790915</v>
      </c>
      <c r="AS118">
        <v>10627.94007274909</v>
      </c>
      <c r="AT118">
        <v>10719.61942084546</v>
      </c>
      <c r="AU118">
        <v>9682.3761948573319</v>
      </c>
      <c r="AV118">
        <v>6068.4516180834626</v>
      </c>
      <c r="AW118">
        <v>9289.7422464958981</v>
      </c>
      <c r="AX118">
        <v>9457.0445425690214</v>
      </c>
      <c r="AY118">
        <v>10223.106532255841</v>
      </c>
      <c r="AZ118">
        <v>10783.12364062238</v>
      </c>
      <c r="BA118">
        <v>11657.31687024615</v>
      </c>
      <c r="BB118">
        <v>11687.01420832672</v>
      </c>
      <c r="BC118">
        <v>12186.192962384141</v>
      </c>
      <c r="BD118">
        <v>12912.029979014609</v>
      </c>
      <c r="BE118">
        <v>14402.03408939552</v>
      </c>
      <c r="BF118">
        <v>14668.543276499469</v>
      </c>
      <c r="BG118">
        <v>13168.245587416999</v>
      </c>
      <c r="BH118">
        <v>9334.4660486631528</v>
      </c>
      <c r="BI118">
        <v>9079.135317694956</v>
      </c>
      <c r="BJ118">
        <v>10191.661698863891</v>
      </c>
      <c r="BK118">
        <v>12034.4011214944</v>
      </c>
      <c r="BL118">
        <v>12248.59173859636</v>
      </c>
      <c r="BM118">
        <v>10573.93047507148</v>
      </c>
      <c r="BN118">
        <v>12731.753575512879</v>
      </c>
      <c r="BO118">
        <v>14391.129234980581</v>
      </c>
      <c r="BP118">
        <v>14652.52123992118</v>
      </c>
      <c r="BQ118">
        <v>14464.31869281728</v>
      </c>
    </row>
    <row r="119" spans="1:69" x14ac:dyDescent="0.25">
      <c r="A119" t="s">
        <v>1271</v>
      </c>
      <c r="B119" t="s">
        <v>1272</v>
      </c>
      <c r="C119" t="s">
        <v>1580</v>
      </c>
      <c r="D119" t="s">
        <v>1581</v>
      </c>
      <c r="AI119">
        <v>21985.04696030356</v>
      </c>
      <c r="AJ119">
        <v>22416.384255042231</v>
      </c>
      <c r="AK119">
        <v>21877.03288799345</v>
      </c>
      <c r="AL119">
        <v>22460.201025872029</v>
      </c>
      <c r="AM119">
        <v>23562.49900579363</v>
      </c>
      <c r="AN119">
        <v>23954.279196697611</v>
      </c>
      <c r="AO119">
        <v>24776.29893229454</v>
      </c>
      <c r="AP119">
        <v>26874.402784006241</v>
      </c>
      <c r="AQ119">
        <v>28722.995391865501</v>
      </c>
      <c r="AR119">
        <v>29557.541826884619</v>
      </c>
      <c r="AS119">
        <v>29789.246360830421</v>
      </c>
      <c r="AT119">
        <v>31882.059390909671</v>
      </c>
      <c r="AU119">
        <v>32607.105879656829</v>
      </c>
      <c r="AV119">
        <v>32696.883941075339</v>
      </c>
      <c r="AW119">
        <v>35612.440029779769</v>
      </c>
      <c r="AX119">
        <v>37322.739927279254</v>
      </c>
      <c r="AY119">
        <v>39691.606274934667</v>
      </c>
      <c r="AZ119">
        <v>41471.33191958387</v>
      </c>
      <c r="BA119">
        <v>43728.114056412312</v>
      </c>
      <c r="BB119">
        <v>41884.773196341397</v>
      </c>
      <c r="BC119">
        <v>39763.98889579103</v>
      </c>
      <c r="BD119">
        <v>40936.867830513031</v>
      </c>
      <c r="BE119">
        <v>42004.447611059659</v>
      </c>
      <c r="BF119">
        <v>44409.668953090353</v>
      </c>
      <c r="BG119">
        <v>45996.968747690131</v>
      </c>
      <c r="BH119">
        <v>49201.064096455288</v>
      </c>
      <c r="BI119">
        <v>53480.397194676443</v>
      </c>
      <c r="BJ119">
        <v>55638.492059179407</v>
      </c>
      <c r="BK119">
        <v>57197.767624717497</v>
      </c>
      <c r="BL119">
        <v>60523.81794408249</v>
      </c>
      <c r="BM119">
        <v>55796.745466763226</v>
      </c>
      <c r="BN119">
        <v>61610.213274071473</v>
      </c>
      <c r="BO119">
        <v>75332.852834586694</v>
      </c>
      <c r="BP119">
        <v>81608.447911643598</v>
      </c>
      <c r="BQ119">
        <v>84256.845457311152</v>
      </c>
    </row>
    <row r="120" spans="1:69" x14ac:dyDescent="0.25">
      <c r="A120" t="s">
        <v>1273</v>
      </c>
      <c r="B120" t="s">
        <v>1274</v>
      </c>
      <c r="C120" t="s">
        <v>1580</v>
      </c>
      <c r="D120" t="s">
        <v>1581</v>
      </c>
      <c r="AI120">
        <v>15721.326481861281</v>
      </c>
      <c r="AJ120">
        <v>16486.281130016021</v>
      </c>
      <c r="AK120">
        <v>17553.204011914961</v>
      </c>
      <c r="AL120">
        <v>18218.26695926673</v>
      </c>
      <c r="AM120">
        <v>19478.451331380718</v>
      </c>
      <c r="AN120">
        <v>20641.77169930705</v>
      </c>
      <c r="AO120">
        <v>21671.620205746429</v>
      </c>
      <c r="AP120">
        <v>22278.663495527311</v>
      </c>
      <c r="AQ120">
        <v>22926.593686136221</v>
      </c>
      <c r="AR120">
        <v>23415.28234435774</v>
      </c>
      <c r="AS120">
        <v>25766.15678351176</v>
      </c>
      <c r="AT120">
        <v>25806.384507085771</v>
      </c>
      <c r="AU120">
        <v>26101.328784113339</v>
      </c>
      <c r="AV120">
        <v>24702.294585852869</v>
      </c>
      <c r="AW120">
        <v>26077.503483121141</v>
      </c>
      <c r="AX120">
        <v>25700.986260580929</v>
      </c>
      <c r="AY120">
        <v>26385.212566284139</v>
      </c>
      <c r="AZ120">
        <v>28307.448460785701</v>
      </c>
      <c r="BA120">
        <v>28083.836613595209</v>
      </c>
      <c r="BB120">
        <v>28086.837763596959</v>
      </c>
      <c r="BC120">
        <v>29455.954673251119</v>
      </c>
      <c r="BD120">
        <v>31313.933499702882</v>
      </c>
      <c r="BE120">
        <v>32483.74218727383</v>
      </c>
      <c r="BF120">
        <v>34827.364735114606</v>
      </c>
      <c r="BG120">
        <v>34816.242246007081</v>
      </c>
      <c r="BH120">
        <v>35870.792715630123</v>
      </c>
      <c r="BI120">
        <v>38189.161027824099</v>
      </c>
      <c r="BJ120">
        <v>39470.868126216439</v>
      </c>
      <c r="BK120">
        <v>40189.990995706888</v>
      </c>
      <c r="BL120">
        <v>41325.17836567558</v>
      </c>
      <c r="BM120">
        <v>40955.28561791523</v>
      </c>
      <c r="BN120">
        <v>46162.082273024753</v>
      </c>
      <c r="BO120">
        <v>53619.068099509517</v>
      </c>
      <c r="BP120">
        <v>55171.231881432148</v>
      </c>
      <c r="BQ120">
        <v>57235.776324413557</v>
      </c>
    </row>
    <row r="121" spans="1:69" x14ac:dyDescent="0.25">
      <c r="A121" t="s">
        <v>1275</v>
      </c>
      <c r="B121" t="s">
        <v>1276</v>
      </c>
      <c r="C121" t="s">
        <v>1580</v>
      </c>
      <c r="D121" t="s">
        <v>1581</v>
      </c>
      <c r="AI121">
        <v>18680.29747687501</v>
      </c>
      <c r="AJ121">
        <v>19595.54090232536</v>
      </c>
      <c r="AK121">
        <v>20195.587593994471</v>
      </c>
      <c r="AL121">
        <v>20485.44347485893</v>
      </c>
      <c r="AM121">
        <v>21368.568794806451</v>
      </c>
      <c r="AN121">
        <v>22446.04550460571</v>
      </c>
      <c r="AO121">
        <v>23100.786650759379</v>
      </c>
      <c r="AP121">
        <v>23936.793149372868</v>
      </c>
      <c r="AQ121">
        <v>25075.314342712489</v>
      </c>
      <c r="AR121">
        <v>25654.681418902888</v>
      </c>
      <c r="AS121">
        <v>27152.154490711651</v>
      </c>
      <c r="AT121">
        <v>28134.05728580142</v>
      </c>
      <c r="AU121">
        <v>28833.021790312861</v>
      </c>
      <c r="AV121">
        <v>29249.18013587474</v>
      </c>
      <c r="AW121">
        <v>29580.843904232719</v>
      </c>
      <c r="AX121">
        <v>30137.818037443711</v>
      </c>
      <c r="AY121">
        <v>32453.64886755871</v>
      </c>
      <c r="AZ121">
        <v>34107.507815261917</v>
      </c>
      <c r="BA121">
        <v>35422.342439111257</v>
      </c>
      <c r="BB121">
        <v>34501.712274390607</v>
      </c>
      <c r="BC121">
        <v>34974.104513580693</v>
      </c>
      <c r="BD121">
        <v>36392.282775949257</v>
      </c>
      <c r="BE121">
        <v>36281.101424350607</v>
      </c>
      <c r="BF121">
        <v>36459.295024871608</v>
      </c>
      <c r="BG121">
        <v>36665.685767749957</v>
      </c>
      <c r="BH121">
        <v>37384.37964554059</v>
      </c>
      <c r="BI121">
        <v>40482.562999855953</v>
      </c>
      <c r="BJ121">
        <v>42142.343540688496</v>
      </c>
      <c r="BK121">
        <v>43386.700586880288</v>
      </c>
      <c r="BL121">
        <v>46661.910515961143</v>
      </c>
      <c r="BM121">
        <v>44435.643439352651</v>
      </c>
      <c r="BN121">
        <v>49825.393411184821</v>
      </c>
      <c r="BO121">
        <v>57260.894537249333</v>
      </c>
      <c r="BP121">
        <v>60029.871712397988</v>
      </c>
      <c r="BQ121">
        <v>62014.26751536892</v>
      </c>
    </row>
    <row r="122" spans="1:69" x14ac:dyDescent="0.25">
      <c r="A122" t="s">
        <v>1277</v>
      </c>
      <c r="B122" t="s">
        <v>1278</v>
      </c>
      <c r="C122" t="s">
        <v>1580</v>
      </c>
      <c r="D122" t="s">
        <v>1581</v>
      </c>
      <c r="AI122">
        <v>5105.506259875473</v>
      </c>
      <c r="AJ122">
        <v>5485.1525979901226</v>
      </c>
      <c r="AK122">
        <v>5663.6405341673362</v>
      </c>
      <c r="AL122">
        <v>6278.5877797060184</v>
      </c>
      <c r="AM122">
        <v>6434.8970606578423</v>
      </c>
      <c r="AN122">
        <v>6657.1522702037164</v>
      </c>
      <c r="AO122">
        <v>6706.1075666965098</v>
      </c>
      <c r="AP122">
        <v>6682.0533297527454</v>
      </c>
      <c r="AQ122">
        <v>6543.1902271535237</v>
      </c>
      <c r="AR122">
        <v>6653.368883799214</v>
      </c>
      <c r="AS122">
        <v>6816.4102948220016</v>
      </c>
      <c r="AT122">
        <v>7019.017555201277</v>
      </c>
      <c r="AU122">
        <v>7225.9422862800438</v>
      </c>
      <c r="AV122">
        <v>7592.6091049451088</v>
      </c>
      <c r="AW122">
        <v>7853.8642434099911</v>
      </c>
      <c r="AX122">
        <v>8127.3794503669451</v>
      </c>
      <c r="AY122">
        <v>8576.5315399634001</v>
      </c>
      <c r="AZ122">
        <v>8892.7826065965746</v>
      </c>
      <c r="BA122">
        <v>8951.506009459159</v>
      </c>
      <c r="BB122">
        <v>8579.5897991544298</v>
      </c>
      <c r="BC122">
        <v>8521.2887641732759</v>
      </c>
      <c r="BD122">
        <v>8809.3610007793122</v>
      </c>
      <c r="BE122">
        <v>8830.6507947904975</v>
      </c>
      <c r="BF122">
        <v>9101.4149669248091</v>
      </c>
      <c r="BG122">
        <v>9209.5858659651276</v>
      </c>
      <c r="BH122">
        <v>9476.1492946503731</v>
      </c>
      <c r="BI122">
        <v>9948.0414677444005</v>
      </c>
      <c r="BJ122">
        <v>10466.487678214589</v>
      </c>
      <c r="BK122">
        <v>10752.740665092409</v>
      </c>
      <c r="BL122">
        <v>10845.01136358745</v>
      </c>
      <c r="BM122">
        <v>9764.3525879784047</v>
      </c>
      <c r="BN122">
        <v>10430.69097717588</v>
      </c>
      <c r="BO122">
        <v>11887.77036942296</v>
      </c>
      <c r="BP122">
        <v>12650.90529559384</v>
      </c>
      <c r="BQ122">
        <v>12890.266005147239</v>
      </c>
    </row>
    <row r="123" spans="1:69" x14ac:dyDescent="0.25">
      <c r="A123" t="s">
        <v>1279</v>
      </c>
      <c r="B123" t="s">
        <v>1280</v>
      </c>
      <c r="C123" t="s">
        <v>1580</v>
      </c>
      <c r="D123" t="s">
        <v>1581</v>
      </c>
      <c r="AI123">
        <v>4317.1615124554419</v>
      </c>
      <c r="AJ123">
        <v>4195.2874848179736</v>
      </c>
      <c r="AK123">
        <v>4653.9724234479481</v>
      </c>
      <c r="AL123">
        <v>4725.8067717765516</v>
      </c>
      <c r="AM123">
        <v>4829.6483159575109</v>
      </c>
      <c r="AN123">
        <v>5026.5358016291611</v>
      </c>
      <c r="AO123">
        <v>5054.7483857090556</v>
      </c>
      <c r="AP123">
        <v>5171.2202986917528</v>
      </c>
      <c r="AQ123">
        <v>5263.7700264692012</v>
      </c>
      <c r="AR123">
        <v>5401.8792313469812</v>
      </c>
      <c r="AS123">
        <v>5640.6572819916646</v>
      </c>
      <c r="AT123">
        <v>5948.0121794951756</v>
      </c>
      <c r="AU123">
        <v>6256.4964394454246</v>
      </c>
      <c r="AV123">
        <v>6499.9788780074796</v>
      </c>
      <c r="AW123">
        <v>7073.845816070304</v>
      </c>
      <c r="AX123">
        <v>7696.9450167189016</v>
      </c>
      <c r="AY123">
        <v>8045.6405621500544</v>
      </c>
      <c r="AZ123">
        <v>8415.7116601733869</v>
      </c>
      <c r="BA123">
        <v>8983.2133242345899</v>
      </c>
      <c r="BB123">
        <v>9290.8085535212722</v>
      </c>
      <c r="BC123">
        <v>9416.6438680607098</v>
      </c>
      <c r="BD123">
        <v>9631.9289925535977</v>
      </c>
      <c r="BE123">
        <v>9738.5374692619353</v>
      </c>
      <c r="BF123">
        <v>9816.5985565312349</v>
      </c>
      <c r="BG123">
        <v>9144.6779320499536</v>
      </c>
      <c r="BH123">
        <v>8967.0799583780827</v>
      </c>
      <c r="BI123">
        <v>8747.8786093085073</v>
      </c>
      <c r="BJ123">
        <v>9265.5153672073338</v>
      </c>
      <c r="BK123">
        <v>9042.3978187119792</v>
      </c>
      <c r="BL123">
        <v>9429.0727955203674</v>
      </c>
      <c r="BM123">
        <v>9579.2008131769599</v>
      </c>
      <c r="BN123">
        <v>9182.4961612559964</v>
      </c>
      <c r="BO123">
        <v>9927.2341002505982</v>
      </c>
      <c r="BP123">
        <v>10411.84161529674</v>
      </c>
      <c r="BQ123">
        <v>10821.490976531701</v>
      </c>
    </row>
    <row r="124" spans="1:69" x14ac:dyDescent="0.25">
      <c r="A124" t="s">
        <v>1281</v>
      </c>
      <c r="B124" t="s">
        <v>1282</v>
      </c>
      <c r="C124" t="s">
        <v>1580</v>
      </c>
      <c r="D124" t="s">
        <v>1581</v>
      </c>
      <c r="AI124">
        <v>19911.814009277608</v>
      </c>
      <c r="AJ124">
        <v>21226.936220263859</v>
      </c>
      <c r="AK124">
        <v>21825.027149619691</v>
      </c>
      <c r="AL124">
        <v>22167.773325237769</v>
      </c>
      <c r="AM124">
        <v>22822.581158046349</v>
      </c>
      <c r="AN124">
        <v>23858.116742280741</v>
      </c>
      <c r="AO124">
        <v>24999.48944457234</v>
      </c>
      <c r="AP124">
        <v>25619.009102882519</v>
      </c>
      <c r="AQ124">
        <v>25508.420762833179</v>
      </c>
      <c r="AR124">
        <v>25735.97109115167</v>
      </c>
      <c r="AS124">
        <v>27287.979330160852</v>
      </c>
      <c r="AT124">
        <v>27942.741960130479</v>
      </c>
      <c r="AU124">
        <v>28623.588447936741</v>
      </c>
      <c r="AV124">
        <v>29391.70423707286</v>
      </c>
      <c r="AW124">
        <v>30831.50791049984</v>
      </c>
      <c r="AX124">
        <v>32169.867493646041</v>
      </c>
      <c r="AY124">
        <v>33631.807635916062</v>
      </c>
      <c r="AZ124">
        <v>35015.328288163153</v>
      </c>
      <c r="BA124">
        <v>35273.791152156024</v>
      </c>
      <c r="BB124">
        <v>33543.419873987114</v>
      </c>
      <c r="BC124">
        <v>35336.008049003198</v>
      </c>
      <c r="BD124">
        <v>36214.439774024097</v>
      </c>
      <c r="BE124">
        <v>37605.974261453928</v>
      </c>
      <c r="BF124">
        <v>39402.025098802464</v>
      </c>
      <c r="BG124">
        <v>39555.412008919753</v>
      </c>
      <c r="BH124">
        <v>40898.806973960003</v>
      </c>
      <c r="BI124">
        <v>40596.968662899497</v>
      </c>
      <c r="BJ124">
        <v>41444.215744391229</v>
      </c>
      <c r="BK124">
        <v>42141.935298775788</v>
      </c>
      <c r="BL124">
        <v>42678.151144835378</v>
      </c>
      <c r="BM124">
        <v>42425.694678965061</v>
      </c>
      <c r="BN124">
        <v>44355.3487163354</v>
      </c>
      <c r="BO124">
        <v>47192.050060337147</v>
      </c>
      <c r="BP124">
        <v>50661.766346310891</v>
      </c>
      <c r="BQ124">
        <v>52039.171655161132</v>
      </c>
    </row>
    <row r="125" spans="1:69" x14ac:dyDescent="0.25">
      <c r="A125" t="s">
        <v>1283</v>
      </c>
      <c r="B125" t="s">
        <v>1284</v>
      </c>
      <c r="C125" t="s">
        <v>1580</v>
      </c>
      <c r="D125" t="s">
        <v>1581</v>
      </c>
      <c r="AI125">
        <v>7874.1873635695383</v>
      </c>
      <c r="AJ125">
        <v>7192.8020797262116</v>
      </c>
      <c r="AK125">
        <v>6945.0944110073106</v>
      </c>
      <c r="AL125">
        <v>6477.3485253247218</v>
      </c>
      <c r="AM125">
        <v>5860.350668634771</v>
      </c>
      <c r="AN125">
        <v>5595.433989494215</v>
      </c>
      <c r="AO125">
        <v>5836.0719836012104</v>
      </c>
      <c r="AP125">
        <v>6177.9247502655708</v>
      </c>
      <c r="AQ125">
        <v>6283.5459053562436</v>
      </c>
      <c r="AR125">
        <v>6625.782151908471</v>
      </c>
      <c r="AS125">
        <v>7418.1961207685772</v>
      </c>
      <c r="AT125">
        <v>8568.0871949203065</v>
      </c>
      <c r="AU125">
        <v>9504.4508248694856</v>
      </c>
      <c r="AV125">
        <v>10532.44669734908</v>
      </c>
      <c r="AW125">
        <v>11777.111957013411</v>
      </c>
      <c r="AX125">
        <v>13226.14669638922</v>
      </c>
      <c r="AY125">
        <v>14965.772319567641</v>
      </c>
      <c r="AZ125">
        <v>16581.224053117719</v>
      </c>
      <c r="BA125">
        <v>17278.472168114651</v>
      </c>
      <c r="BB125">
        <v>17389.014583831569</v>
      </c>
      <c r="BC125">
        <v>18641.806147707281</v>
      </c>
      <c r="BD125">
        <v>20159.932942641299</v>
      </c>
      <c r="BE125">
        <v>21367.218059537208</v>
      </c>
      <c r="BF125">
        <v>23754.134195211689</v>
      </c>
      <c r="BG125">
        <v>23958.112889060259</v>
      </c>
      <c r="BH125">
        <v>22484.365138260669</v>
      </c>
      <c r="BI125">
        <v>23023.087229389861</v>
      </c>
      <c r="BJ125">
        <v>23973.060229565079</v>
      </c>
      <c r="BK125">
        <v>25096.12858626153</v>
      </c>
      <c r="BL125">
        <v>28689.27108383739</v>
      </c>
      <c r="BM125">
        <v>29039.822962450911</v>
      </c>
      <c r="BN125">
        <v>32945.851572582309</v>
      </c>
      <c r="BO125">
        <v>35895.083987166683</v>
      </c>
      <c r="BP125">
        <v>38515.183600997938</v>
      </c>
      <c r="BQ125">
        <v>40890.931769440816</v>
      </c>
    </row>
    <row r="126" spans="1:69" x14ac:dyDescent="0.25">
      <c r="A126" t="s">
        <v>1285</v>
      </c>
      <c r="B126" t="s">
        <v>1286</v>
      </c>
      <c r="C126" t="s">
        <v>1580</v>
      </c>
      <c r="D126" t="s">
        <v>1581</v>
      </c>
      <c r="AI126">
        <v>1729.273446029513</v>
      </c>
      <c r="AJ126">
        <v>1755.654016199637</v>
      </c>
      <c r="AK126">
        <v>1727.5406754947589</v>
      </c>
      <c r="AL126">
        <v>1722.820698861924</v>
      </c>
      <c r="AM126">
        <v>1754.2534007739309</v>
      </c>
      <c r="AN126">
        <v>1817.6088809569501</v>
      </c>
      <c r="AO126">
        <v>1875.298309481147</v>
      </c>
      <c r="AP126">
        <v>1865.0266727917499</v>
      </c>
      <c r="AQ126">
        <v>1895.0173820293701</v>
      </c>
      <c r="AR126">
        <v>1910.2401302761671</v>
      </c>
      <c r="AS126">
        <v>1906.897940959992</v>
      </c>
      <c r="AT126">
        <v>1961.0581686946291</v>
      </c>
      <c r="AU126">
        <v>1940.4030326056011</v>
      </c>
      <c r="AV126">
        <v>1974.8582021244031</v>
      </c>
      <c r="AW126">
        <v>2066.3154063863171</v>
      </c>
      <c r="AX126">
        <v>2188.6956101774972</v>
      </c>
      <c r="AY126">
        <v>2330.130289411652</v>
      </c>
      <c r="AZ126">
        <v>2481.0870614699611</v>
      </c>
      <c r="BA126">
        <v>2459.1217452421288</v>
      </c>
      <c r="BB126">
        <v>2480.044290680105</v>
      </c>
      <c r="BC126">
        <v>2634.8927132382551</v>
      </c>
      <c r="BD126">
        <v>2750.286637876934</v>
      </c>
      <c r="BE126">
        <v>2847.2706828684618</v>
      </c>
      <c r="BF126">
        <v>3106.3939446488512</v>
      </c>
      <c r="BG126">
        <v>3359.4895066509312</v>
      </c>
      <c r="BH126">
        <v>3678.326141460193</v>
      </c>
      <c r="BI126">
        <v>3916.6531567309462</v>
      </c>
      <c r="BJ126">
        <v>4177.2499358026744</v>
      </c>
      <c r="BK126">
        <v>4411.5610412088572</v>
      </c>
      <c r="BL126">
        <v>4687.3778232530594</v>
      </c>
      <c r="BM126">
        <v>4792.5731584718242</v>
      </c>
      <c r="BN126">
        <v>5338.852433827813</v>
      </c>
      <c r="BO126">
        <v>5883.2230396192144</v>
      </c>
      <c r="BP126">
        <v>6317.0390466509061</v>
      </c>
      <c r="BQ126">
        <v>6644.1309324389458</v>
      </c>
    </row>
    <row r="127" spans="1:69" x14ac:dyDescent="0.25">
      <c r="A127" t="s">
        <v>1287</v>
      </c>
      <c r="B127" t="s">
        <v>1288</v>
      </c>
      <c r="C127" t="s">
        <v>1580</v>
      </c>
      <c r="D127" t="s">
        <v>1581</v>
      </c>
      <c r="AI127">
        <v>2543.7413103728841</v>
      </c>
      <c r="AJ127">
        <v>2381.594035890178</v>
      </c>
      <c r="AK127">
        <v>2074.734487038058</v>
      </c>
      <c r="AL127">
        <v>1795.0224359192871</v>
      </c>
      <c r="AM127">
        <v>1465.6727598718701</v>
      </c>
      <c r="AN127">
        <v>1401.1568174977381</v>
      </c>
      <c r="AO127">
        <v>1505.448837380407</v>
      </c>
      <c r="AP127">
        <v>1658.8867523275919</v>
      </c>
      <c r="AQ127">
        <v>1687.0476367476369</v>
      </c>
      <c r="AR127">
        <v>1747.3060741836721</v>
      </c>
      <c r="AS127">
        <v>1861.8655971169869</v>
      </c>
      <c r="AT127">
        <v>1986.161358234295</v>
      </c>
      <c r="AU127">
        <v>1998.237880619713</v>
      </c>
      <c r="AV127">
        <v>2158.1966740453349</v>
      </c>
      <c r="AW127">
        <v>2343.4304401500431</v>
      </c>
      <c r="AX127">
        <v>2385.5944651780142</v>
      </c>
      <c r="AY127">
        <v>2508.3884484280511</v>
      </c>
      <c r="AZ127">
        <v>2769.8950845190811</v>
      </c>
      <c r="BA127">
        <v>3031.494070502154</v>
      </c>
      <c r="BB127">
        <v>3096.9381411487152</v>
      </c>
      <c r="BC127">
        <v>3075.6155433245508</v>
      </c>
      <c r="BD127">
        <v>3278.3510222008581</v>
      </c>
      <c r="BE127">
        <v>3588.679888240255</v>
      </c>
      <c r="BF127">
        <v>4000.9629576510738</v>
      </c>
      <c r="BG127">
        <v>4228.1951482991981</v>
      </c>
      <c r="BH127">
        <v>4153.3766990372033</v>
      </c>
      <c r="BI127">
        <v>4603.7596424787762</v>
      </c>
      <c r="BJ127">
        <v>4953.7175508519867</v>
      </c>
      <c r="BK127">
        <v>4777.9417539557462</v>
      </c>
      <c r="BL127">
        <v>5304.2275831440465</v>
      </c>
      <c r="BM127">
        <v>5178.5619670404021</v>
      </c>
      <c r="BN127">
        <v>5736.4788341515396</v>
      </c>
      <c r="BO127">
        <v>6577.5121772838929</v>
      </c>
      <c r="BP127">
        <v>7298.0861256193348</v>
      </c>
      <c r="BQ127">
        <v>8012.4546444219386</v>
      </c>
    </row>
    <row r="128" spans="1:69" x14ac:dyDescent="0.25">
      <c r="A128" t="s">
        <v>1289</v>
      </c>
      <c r="B128" t="s">
        <v>1290</v>
      </c>
      <c r="C128" t="s">
        <v>1580</v>
      </c>
      <c r="D128" t="s">
        <v>1581</v>
      </c>
      <c r="AI128">
        <v>1409.7139168834799</v>
      </c>
      <c r="AJ128">
        <v>1504.3582943769461</v>
      </c>
      <c r="AK128">
        <v>1560.1077136010999</v>
      </c>
      <c r="AL128">
        <v>1565.429892953229</v>
      </c>
      <c r="AM128">
        <v>972.05630452546097</v>
      </c>
      <c r="AN128">
        <v>1005.876095413504</v>
      </c>
      <c r="AO128">
        <v>1006.090324582085</v>
      </c>
      <c r="AP128">
        <v>993.63734541812437</v>
      </c>
      <c r="AQ128">
        <v>1009.347615699511</v>
      </c>
      <c r="AR128">
        <v>1134.1646401403741</v>
      </c>
      <c r="AS128">
        <v>1255.640378423722</v>
      </c>
      <c r="AT128">
        <v>1357.4261110626501</v>
      </c>
      <c r="AU128">
        <v>1442.4648142984429</v>
      </c>
      <c r="AV128">
        <v>1597.8822644628619</v>
      </c>
      <c r="AW128">
        <v>1769.7623502524441</v>
      </c>
      <c r="AX128">
        <v>2038.145986251204</v>
      </c>
      <c r="AY128">
        <v>2296.7685787527448</v>
      </c>
      <c r="AZ128">
        <v>2566.1475973255301</v>
      </c>
      <c r="BA128">
        <v>2768.792376176752</v>
      </c>
      <c r="BB128">
        <v>2854.0328837654861</v>
      </c>
      <c r="BC128">
        <v>2988.5040143945671</v>
      </c>
      <c r="BD128">
        <v>3223.1020935163779</v>
      </c>
      <c r="BE128">
        <v>3583.4822973943692</v>
      </c>
      <c r="BF128">
        <v>3890.948412052207</v>
      </c>
      <c r="BG128">
        <v>4117.7886830900597</v>
      </c>
      <c r="BH128">
        <v>4433.6439350057199</v>
      </c>
      <c r="BI128">
        <v>4748.1242852152782</v>
      </c>
      <c r="BJ128">
        <v>5050.0635661511278</v>
      </c>
      <c r="BK128">
        <v>5616.9808702330311</v>
      </c>
      <c r="BL128">
        <v>6153.9943952842723</v>
      </c>
      <c r="BM128">
        <v>5942.4538037392867</v>
      </c>
      <c r="BN128">
        <v>6225.5326547474051</v>
      </c>
      <c r="BO128">
        <v>6918.8162694721304</v>
      </c>
      <c r="BP128">
        <v>7430.7308570983687</v>
      </c>
      <c r="BQ128">
        <v>7966.8735242870534</v>
      </c>
    </row>
    <row r="129" spans="1:69" x14ac:dyDescent="0.25">
      <c r="A129" t="s">
        <v>1291</v>
      </c>
      <c r="B129" t="s">
        <v>1292</v>
      </c>
      <c r="C129" t="s">
        <v>1580</v>
      </c>
      <c r="D129" t="s">
        <v>1581</v>
      </c>
      <c r="AI129">
        <v>1191.5307701783911</v>
      </c>
      <c r="AJ129">
        <v>1139.2327094964769</v>
      </c>
      <c r="AK129">
        <v>1420.6653607182441</v>
      </c>
      <c r="AL129">
        <v>1430.7145402317219</v>
      </c>
      <c r="AM129">
        <v>1469.161028392233</v>
      </c>
      <c r="AN129">
        <v>1518.2327502308799</v>
      </c>
      <c r="AO129">
        <v>1519.2461468684489</v>
      </c>
      <c r="AP129">
        <v>1535.3174192163569</v>
      </c>
      <c r="AQ129">
        <v>1592.956573835892</v>
      </c>
      <c r="AR129">
        <v>1526.0919514578759</v>
      </c>
      <c r="AS129">
        <v>1637.9360142733619</v>
      </c>
      <c r="AT129">
        <v>1591.236630031395</v>
      </c>
      <c r="AU129">
        <v>1605.0753331467649</v>
      </c>
      <c r="AV129">
        <v>1578.2879088658681</v>
      </c>
      <c r="AW129">
        <v>1578.838691257349</v>
      </c>
      <c r="AX129">
        <v>1616.5799211161871</v>
      </c>
      <c r="AY129">
        <v>1727.770524651743</v>
      </c>
      <c r="AZ129">
        <v>1792.046511893778</v>
      </c>
      <c r="BA129">
        <v>1735.4318976867009</v>
      </c>
      <c r="BB129">
        <v>1718.4917143995031</v>
      </c>
      <c r="BC129">
        <v>1724.4671015081919</v>
      </c>
      <c r="BD129">
        <v>1785.572083469119</v>
      </c>
      <c r="BE129">
        <v>1896.324899376878</v>
      </c>
      <c r="BF129">
        <v>2049.3339030676971</v>
      </c>
      <c r="BG129">
        <v>2084.1310537910249</v>
      </c>
      <c r="BH129">
        <v>2310.6031287361229</v>
      </c>
      <c r="BI129">
        <v>2462.8326041037399</v>
      </c>
      <c r="BJ129">
        <v>2562.0656178939748</v>
      </c>
      <c r="BK129">
        <v>2671.7627278170671</v>
      </c>
      <c r="BL129">
        <v>2762.9379687491819</v>
      </c>
      <c r="BM129">
        <v>2710.9062281755382</v>
      </c>
      <c r="BN129">
        <v>3020.4939993569519</v>
      </c>
      <c r="BO129">
        <v>3329.344344648609</v>
      </c>
      <c r="BP129">
        <v>3485.558083113991</v>
      </c>
      <c r="BQ129">
        <v>3702.3259470311541</v>
      </c>
    </row>
    <row r="130" spans="1:69" x14ac:dyDescent="0.25">
      <c r="A130" t="s">
        <v>1293</v>
      </c>
      <c r="B130" t="s">
        <v>1294</v>
      </c>
      <c r="C130" t="s">
        <v>1580</v>
      </c>
      <c r="D130" t="s">
        <v>1581</v>
      </c>
      <c r="AI130">
        <v>8983.4906943282058</v>
      </c>
      <c r="AJ130">
        <v>9130.8277593021758</v>
      </c>
      <c r="AK130">
        <v>9652.1997624331125</v>
      </c>
      <c r="AL130">
        <v>10418.238225227369</v>
      </c>
      <c r="AM130">
        <v>11061.60243269991</v>
      </c>
      <c r="AN130">
        <v>11746.82432297479</v>
      </c>
      <c r="AO130">
        <v>12498.09412339608</v>
      </c>
      <c r="AP130">
        <v>13408.87665070356</v>
      </c>
      <c r="AQ130">
        <v>13318.76268895477</v>
      </c>
      <c r="AR130">
        <v>13753.657720026849</v>
      </c>
      <c r="AS130">
        <v>15256.430590413211</v>
      </c>
      <c r="AT130">
        <v>16235.42465845904</v>
      </c>
      <c r="AU130">
        <v>16619.165512646479</v>
      </c>
      <c r="AV130">
        <v>16225.674409106319</v>
      </c>
      <c r="AW130">
        <v>17275.863987248751</v>
      </c>
      <c r="AX130">
        <v>19500.32365628476</v>
      </c>
      <c r="AY130">
        <v>20676.188081282759</v>
      </c>
      <c r="AZ130">
        <v>21301.240025806372</v>
      </c>
      <c r="BA130">
        <v>24102.199384364631</v>
      </c>
      <c r="BB130">
        <v>23384.73509832166</v>
      </c>
      <c r="BC130">
        <v>23691.447793615051</v>
      </c>
      <c r="BD130">
        <v>24550.165191456221</v>
      </c>
      <c r="BE130">
        <v>23457.893887807611</v>
      </c>
      <c r="BF130">
        <v>24624.43623090626</v>
      </c>
      <c r="BG130">
        <v>26755.596978077061</v>
      </c>
      <c r="BH130">
        <v>26877.466503110059</v>
      </c>
      <c r="BI130">
        <v>28214.709934442959</v>
      </c>
      <c r="BJ130">
        <v>29578.631162572728</v>
      </c>
      <c r="BK130">
        <v>30794.898648263428</v>
      </c>
      <c r="BL130">
        <v>32482.094417214961</v>
      </c>
      <c r="BM130">
        <v>27326.036057423</v>
      </c>
      <c r="BN130">
        <v>26896.617706597841</v>
      </c>
      <c r="BO130">
        <v>31870.881378450518</v>
      </c>
      <c r="BP130">
        <v>33979.630361573378</v>
      </c>
      <c r="BQ130">
        <v>34846.603534282833</v>
      </c>
    </row>
    <row r="131" spans="1:69" x14ac:dyDescent="0.25">
      <c r="A131" t="s">
        <v>1295</v>
      </c>
      <c r="B131" t="s">
        <v>1296</v>
      </c>
      <c r="C131" t="s">
        <v>1580</v>
      </c>
      <c r="D131" t="s">
        <v>1581</v>
      </c>
      <c r="AI131">
        <v>8567.4633882581747</v>
      </c>
      <c r="AJ131">
        <v>9723.6953128179211</v>
      </c>
      <c r="AK131">
        <v>10467.625483792321</v>
      </c>
      <c r="AL131">
        <v>11349.400904616359</v>
      </c>
      <c r="AM131">
        <v>12551.16935339462</v>
      </c>
      <c r="AN131">
        <v>13921.13598232716</v>
      </c>
      <c r="AO131">
        <v>15163.556763370891</v>
      </c>
      <c r="AP131">
        <v>16241.064379605279</v>
      </c>
      <c r="AQ131">
        <v>15500.14760386494</v>
      </c>
      <c r="AR131">
        <v>17421.392913921969</v>
      </c>
      <c r="AS131">
        <v>19236.90883593031</v>
      </c>
      <c r="AT131">
        <v>20442.214287205428</v>
      </c>
      <c r="AU131">
        <v>22173.488172916819</v>
      </c>
      <c r="AV131">
        <v>22919.741709631431</v>
      </c>
      <c r="AW131">
        <v>24658.176118921208</v>
      </c>
      <c r="AX131">
        <v>26179.342126258121</v>
      </c>
      <c r="AY131">
        <v>27972.384762935071</v>
      </c>
      <c r="AZ131">
        <v>30255.391009159001</v>
      </c>
      <c r="BA131">
        <v>31211.059346945509</v>
      </c>
      <c r="BB131">
        <v>30739.957229434851</v>
      </c>
      <c r="BC131">
        <v>33120.351934563041</v>
      </c>
      <c r="BD131">
        <v>33944.251187976937</v>
      </c>
      <c r="BE131">
        <v>35061.553192908301</v>
      </c>
      <c r="BF131">
        <v>35844.225378240822</v>
      </c>
      <c r="BG131">
        <v>37032.172417256137</v>
      </c>
      <c r="BH131">
        <v>39794.196118004278</v>
      </c>
      <c r="BI131">
        <v>41672.627831707738</v>
      </c>
      <c r="BJ131">
        <v>43155.910086765798</v>
      </c>
      <c r="BK131">
        <v>45511.080350633063</v>
      </c>
      <c r="BL131">
        <v>46511.219695701802</v>
      </c>
      <c r="BM131">
        <v>47881.492134419343</v>
      </c>
      <c r="BN131">
        <v>51718.251865663107</v>
      </c>
      <c r="BO131">
        <v>55509.336876117362</v>
      </c>
      <c r="BP131">
        <v>57429.803107640189</v>
      </c>
      <c r="BQ131">
        <v>61051.349250249827</v>
      </c>
    </row>
    <row r="132" spans="1:69" x14ac:dyDescent="0.25">
      <c r="A132" t="s">
        <v>1297</v>
      </c>
      <c r="B132" t="s">
        <v>1298</v>
      </c>
      <c r="C132" t="s">
        <v>1580</v>
      </c>
      <c r="D132" t="s">
        <v>1581</v>
      </c>
      <c r="AI132">
        <v>30763.06693132603</v>
      </c>
      <c r="AJ132">
        <v>23390.4236061991</v>
      </c>
      <c r="AK132">
        <v>36149.183481256572</v>
      </c>
      <c r="AL132">
        <v>48481.760376367252</v>
      </c>
      <c r="AM132">
        <v>53945.588123853973</v>
      </c>
      <c r="AN132">
        <v>57163.349156995959</v>
      </c>
      <c r="AO132">
        <v>56912.696135713981</v>
      </c>
      <c r="AP132">
        <v>57419.932106695793</v>
      </c>
      <c r="AQ132">
        <v>58343.788127766187</v>
      </c>
      <c r="AR132">
        <v>56406.468524302763</v>
      </c>
      <c r="AS132">
        <v>58702.867267560803</v>
      </c>
      <c r="AT132">
        <v>58552.783860683339</v>
      </c>
      <c r="AU132">
        <v>59713.172165895638</v>
      </c>
      <c r="AV132">
        <v>69752.384110246858</v>
      </c>
      <c r="AW132">
        <v>77226.636762339345</v>
      </c>
      <c r="AX132">
        <v>84968.019757007292</v>
      </c>
      <c r="AY132">
        <v>89075.224519459545</v>
      </c>
      <c r="AZ132">
        <v>91434.904384531343</v>
      </c>
      <c r="BA132">
        <v>90337.356792274499</v>
      </c>
      <c r="BB132">
        <v>80110.069807197346</v>
      </c>
      <c r="BC132">
        <v>75184.086592478139</v>
      </c>
      <c r="BD132">
        <v>79036.785744118184</v>
      </c>
      <c r="BE132">
        <v>82089.726133144955</v>
      </c>
      <c r="BF132">
        <v>76812.53873304493</v>
      </c>
      <c r="BG132">
        <v>68336.59915331121</v>
      </c>
      <c r="BH132">
        <v>45267.308534745178</v>
      </c>
      <c r="BI132">
        <v>41862.173925550553</v>
      </c>
      <c r="BJ132">
        <v>46565.549950455374</v>
      </c>
      <c r="BK132">
        <v>51370.732059525231</v>
      </c>
      <c r="BL132">
        <v>50703.000134330097</v>
      </c>
      <c r="BM132">
        <v>41461.723564277701</v>
      </c>
      <c r="BN132">
        <v>50651.957533709123</v>
      </c>
      <c r="BO132">
        <v>55043.002263584953</v>
      </c>
      <c r="BP132">
        <v>53025.471085806348</v>
      </c>
      <c r="BQ132">
        <v>52443.596922362623</v>
      </c>
    </row>
    <row r="133" spans="1:69" x14ac:dyDescent="0.25">
      <c r="A133" t="s">
        <v>1299</v>
      </c>
      <c r="B133" t="s">
        <v>1300</v>
      </c>
      <c r="C133" t="s">
        <v>1580</v>
      </c>
      <c r="D133" t="s">
        <v>1581</v>
      </c>
      <c r="AI133">
        <v>6191.518064496825</v>
      </c>
      <c r="AJ133">
        <v>6481.6280171909666</v>
      </c>
      <c r="AK133">
        <v>6664.5439211262028</v>
      </c>
      <c r="AL133">
        <v>6851.2021960534103</v>
      </c>
      <c r="AM133">
        <v>7251.8551225748888</v>
      </c>
      <c r="AN133">
        <v>7339.5530470282747</v>
      </c>
      <c r="AO133">
        <v>7629.2173012041612</v>
      </c>
      <c r="AP133">
        <v>8036.9266739083278</v>
      </c>
      <c r="AQ133">
        <v>8213.0921951279342</v>
      </c>
      <c r="AR133">
        <v>8239.5561524469285</v>
      </c>
      <c r="AS133">
        <v>8614.0486984162035</v>
      </c>
      <c r="AT133">
        <v>8709.6139383039354</v>
      </c>
      <c r="AU133">
        <v>8795.8374401264391</v>
      </c>
      <c r="AV133">
        <v>9078.0552252341786</v>
      </c>
      <c r="AW133">
        <v>9685.8102722704407</v>
      </c>
      <c r="AX133">
        <v>10270.43564310627</v>
      </c>
      <c r="AY133">
        <v>11082.9447568795</v>
      </c>
      <c r="AZ133">
        <v>11840.906621543891</v>
      </c>
      <c r="BA133">
        <v>12477.60555299266</v>
      </c>
      <c r="BB133">
        <v>12268.2523824777</v>
      </c>
      <c r="BC133">
        <v>13095.971501254689</v>
      </c>
      <c r="BD133">
        <v>13969.41890944375</v>
      </c>
      <c r="BE133">
        <v>14244.84848951156</v>
      </c>
      <c r="BF133">
        <v>14709.92403192567</v>
      </c>
      <c r="BG133">
        <v>15005.77996535829</v>
      </c>
      <c r="BH133">
        <v>14758.794334702339</v>
      </c>
      <c r="BI133">
        <v>14975.916077525841</v>
      </c>
      <c r="BJ133">
        <v>15582.834336432699</v>
      </c>
      <c r="BK133">
        <v>16248.34642178076</v>
      </c>
      <c r="BL133">
        <v>16606.528573131389</v>
      </c>
      <c r="BM133">
        <v>15959.786195386339</v>
      </c>
      <c r="BN133">
        <v>17874.274939402909</v>
      </c>
      <c r="BO133">
        <v>19941.4872916526</v>
      </c>
      <c r="BP133">
        <v>21091.609744876871</v>
      </c>
      <c r="BQ133">
        <v>21961.190021174181</v>
      </c>
    </row>
    <row r="134" spans="1:69" x14ac:dyDescent="0.25">
      <c r="A134" t="s">
        <v>1301</v>
      </c>
      <c r="B134" t="s">
        <v>1302</v>
      </c>
      <c r="C134" t="s">
        <v>1580</v>
      </c>
      <c r="D134" t="s">
        <v>1581</v>
      </c>
      <c r="AI134">
        <v>1012.014594201633</v>
      </c>
      <c r="AJ134">
        <v>1060.889015862974</v>
      </c>
      <c r="AK134">
        <v>1114.1114990042579</v>
      </c>
      <c r="AL134">
        <v>1175.617815019745</v>
      </c>
      <c r="AM134">
        <v>1265.1582326510129</v>
      </c>
      <c r="AN134">
        <v>1348.7979827206109</v>
      </c>
      <c r="AO134">
        <v>1434.8086718254469</v>
      </c>
      <c r="AP134">
        <v>1527.6588922176361</v>
      </c>
      <c r="AQ134">
        <v>1576.663635033681</v>
      </c>
      <c r="AR134">
        <v>1686.079386451413</v>
      </c>
      <c r="AS134">
        <v>1793.8858260733359</v>
      </c>
      <c r="AT134">
        <v>1908.062365874121</v>
      </c>
      <c r="AU134">
        <v>2019.697748490561</v>
      </c>
      <c r="AV134">
        <v>2151.1509959578848</v>
      </c>
      <c r="AW134">
        <v>2315.4337952739538</v>
      </c>
      <c r="AX134">
        <v>2519.4613510001741</v>
      </c>
      <c r="AY134">
        <v>2776.697523285271</v>
      </c>
      <c r="AZ134">
        <v>3021.441731140118</v>
      </c>
      <c r="BA134">
        <v>3270.557510233501</v>
      </c>
      <c r="BB134">
        <v>3485.0682774026818</v>
      </c>
      <c r="BC134">
        <v>3772.2660517240388</v>
      </c>
      <c r="BD134">
        <v>4099.7845733074128</v>
      </c>
      <c r="BE134">
        <v>4780.9473300016653</v>
      </c>
      <c r="BF134">
        <v>5221.5985578333903</v>
      </c>
      <c r="BG134">
        <v>5798.5043673009077</v>
      </c>
      <c r="BH134">
        <v>6086.0673044621963</v>
      </c>
      <c r="BI134">
        <v>6743.0105395303681</v>
      </c>
      <c r="BJ134">
        <v>7141.9065270176652</v>
      </c>
      <c r="BK134">
        <v>7486.8645270043253</v>
      </c>
      <c r="BL134">
        <v>7743.2190653426051</v>
      </c>
      <c r="BM134">
        <v>7913.3866065027587</v>
      </c>
      <c r="BN134">
        <v>8080.4355324992312</v>
      </c>
      <c r="BO134">
        <v>8766.4406261109434</v>
      </c>
      <c r="BP134">
        <v>9291.7885900113815</v>
      </c>
      <c r="BQ134">
        <v>9775.8281738102341</v>
      </c>
    </row>
    <row r="135" spans="1:69" x14ac:dyDescent="0.25">
      <c r="A135" t="s">
        <v>1303</v>
      </c>
      <c r="B135" t="s">
        <v>1304</v>
      </c>
      <c r="C135" t="s">
        <v>1580</v>
      </c>
      <c r="D135" t="s">
        <v>1581</v>
      </c>
      <c r="AI135">
        <v>2990.3360851284442</v>
      </c>
      <c r="AJ135">
        <v>4527.2573443334904</v>
      </c>
      <c r="AK135">
        <v>5278.7083392897894</v>
      </c>
      <c r="AL135">
        <v>5870.7921376513204</v>
      </c>
      <c r="AM135">
        <v>6366.9090729180343</v>
      </c>
      <c r="AN135">
        <v>6795.6766010535648</v>
      </c>
      <c r="AO135">
        <v>7559.7565239433816</v>
      </c>
      <c r="AP135">
        <v>7631.9854064428928</v>
      </c>
      <c r="AQ135">
        <v>7861.2258299699097</v>
      </c>
      <c r="AR135">
        <v>7792.6613267207686</v>
      </c>
      <c r="AS135">
        <v>7937.9565300673166</v>
      </c>
      <c r="AT135">
        <v>8289.3838902792631</v>
      </c>
      <c r="AU135">
        <v>8586.2404068539727</v>
      </c>
      <c r="AV135">
        <v>8914.4827791779262</v>
      </c>
      <c r="AW135">
        <v>9609.0128263362913</v>
      </c>
      <c r="AX135">
        <v>10019.99415404408</v>
      </c>
      <c r="AY135">
        <v>10312.353331255121</v>
      </c>
      <c r="AZ135">
        <v>11355.662975624949</v>
      </c>
      <c r="BA135">
        <v>12415.94000642735</v>
      </c>
      <c r="BB135">
        <v>13586.144483043539</v>
      </c>
      <c r="BC135">
        <v>14703.61532150838</v>
      </c>
      <c r="BD135">
        <v>14974.553438992971</v>
      </c>
      <c r="BE135">
        <v>16121.33523864603</v>
      </c>
      <c r="BF135">
        <v>16315.61377487631</v>
      </c>
      <c r="BG135">
        <v>16139.864996695531</v>
      </c>
      <c r="BH135">
        <v>17045.898285301031</v>
      </c>
      <c r="BI135">
        <v>18940.59010004533</v>
      </c>
      <c r="BJ135">
        <v>20963.824947253339</v>
      </c>
      <c r="BK135">
        <v>21985.488470224082</v>
      </c>
      <c r="BL135">
        <v>21710.464875080721</v>
      </c>
      <c r="BM135">
        <v>16259.705131228049</v>
      </c>
      <c r="BN135">
        <v>11599.775508376541</v>
      </c>
      <c r="BO135">
        <v>12292.84073055011</v>
      </c>
      <c r="BP135">
        <v>12574.8329116403</v>
      </c>
    </row>
    <row r="136" spans="1:69" x14ac:dyDescent="0.25">
      <c r="A136" t="s">
        <v>1305</v>
      </c>
      <c r="B136" t="s">
        <v>1306</v>
      </c>
      <c r="C136" t="s">
        <v>1580</v>
      </c>
      <c r="D136" t="s">
        <v>1581</v>
      </c>
      <c r="AI136">
        <v>786.52580945832108</v>
      </c>
      <c r="AJ136">
        <v>792.688689765655</v>
      </c>
      <c r="AK136">
        <v>496.85140641224751</v>
      </c>
      <c r="AL136">
        <v>327.82990407960051</v>
      </c>
      <c r="AM136">
        <v>262.59628140344881</v>
      </c>
      <c r="AN136">
        <v>254.3884745813946</v>
      </c>
      <c r="AO136">
        <v>282.2316765141066</v>
      </c>
      <c r="AP136">
        <v>547.87679490027676</v>
      </c>
      <c r="AQ136">
        <v>651.9264086301821</v>
      </c>
      <c r="AR136">
        <v>761.66272601409651</v>
      </c>
      <c r="AS136">
        <v>965.39552333054769</v>
      </c>
      <c r="AT136">
        <v>986.57279867863883</v>
      </c>
      <c r="AU136">
        <v>1012.918912921102</v>
      </c>
      <c r="AV136">
        <v>715.81824681287219</v>
      </c>
      <c r="AW136">
        <v>745.39786181665625</v>
      </c>
      <c r="AX136">
        <v>774.03256779028538</v>
      </c>
      <c r="AY136">
        <v>815.21891703683661</v>
      </c>
      <c r="AZ136">
        <v>872.58464594221641</v>
      </c>
      <c r="BA136">
        <v>915.05359971417943</v>
      </c>
      <c r="BB136">
        <v>939.49629024621436</v>
      </c>
      <c r="BC136">
        <v>980.11813977409986</v>
      </c>
      <c r="BD136">
        <v>1040.761414040184</v>
      </c>
      <c r="BE136">
        <v>1156.9531944800331</v>
      </c>
      <c r="BF136">
        <v>1360.129103701546</v>
      </c>
      <c r="BG136">
        <v>1418.7735551589151</v>
      </c>
      <c r="BH136">
        <v>1340.432797411966</v>
      </c>
      <c r="BI136">
        <v>1490.33581410026</v>
      </c>
      <c r="BJ136">
        <v>1664.9448132356531</v>
      </c>
      <c r="BK136">
        <v>1799.727513977484</v>
      </c>
      <c r="BL136">
        <v>1899.522009728551</v>
      </c>
      <c r="BM136">
        <v>1659.5210914599099</v>
      </c>
      <c r="BN136">
        <v>1539.20892304674</v>
      </c>
      <c r="BO136">
        <v>1691.572757218511</v>
      </c>
      <c r="BP136">
        <v>1794.5334086336211</v>
      </c>
      <c r="BQ136">
        <v>1871.0440616426231</v>
      </c>
    </row>
    <row r="137" spans="1:69" x14ac:dyDescent="0.25">
      <c r="A137" t="s">
        <v>1307</v>
      </c>
      <c r="B137" t="s">
        <v>1308</v>
      </c>
      <c r="C137" t="s">
        <v>1580</v>
      </c>
      <c r="D137" t="s">
        <v>1581</v>
      </c>
      <c r="AI137">
        <v>17172.60330960817</v>
      </c>
      <c r="AJ137">
        <v>20084.62590516296</v>
      </c>
      <c r="AK137">
        <v>19571.91311395471</v>
      </c>
      <c r="AL137">
        <v>18904.224211944871</v>
      </c>
      <c r="AM137">
        <v>19318.20677744157</v>
      </c>
      <c r="AN137">
        <v>18952.000871347049</v>
      </c>
      <c r="AO137">
        <v>19392.48696354132</v>
      </c>
      <c r="AP137">
        <v>20438.639917472901</v>
      </c>
      <c r="AQ137">
        <v>19639.194732026081</v>
      </c>
      <c r="AR137">
        <v>19769.02443169129</v>
      </c>
      <c r="AS137">
        <v>20616.98486835985</v>
      </c>
      <c r="AT137">
        <v>20331.63151810025</v>
      </c>
      <c r="AU137">
        <v>20060.639691398261</v>
      </c>
      <c r="AV137">
        <v>22662.72421409966</v>
      </c>
      <c r="AW137">
        <v>23813.40115044959</v>
      </c>
      <c r="AX137">
        <v>26902.898587889529</v>
      </c>
      <c r="AY137">
        <v>28935.661582030501</v>
      </c>
      <c r="AZ137">
        <v>30928.9422810828</v>
      </c>
      <c r="BA137">
        <v>30812.283728870261</v>
      </c>
      <c r="BB137">
        <v>29027.146807122779</v>
      </c>
      <c r="BC137">
        <v>30234.091872880501</v>
      </c>
      <c r="BD137">
        <v>15698.051907261161</v>
      </c>
      <c r="BE137">
        <v>26826.072975673309</v>
      </c>
      <c r="BF137">
        <v>21151.00519116328</v>
      </c>
      <c r="BG137">
        <v>17509.52850878449</v>
      </c>
      <c r="BH137">
        <v>17903.256539580281</v>
      </c>
      <c r="BI137">
        <v>16961.01771117168</v>
      </c>
      <c r="BJ137">
        <v>18026.01878340081</v>
      </c>
      <c r="BK137">
        <v>18879.315130198382</v>
      </c>
      <c r="BL137">
        <v>16194.108206114561</v>
      </c>
      <c r="BM137">
        <v>10954.799045264959</v>
      </c>
      <c r="BN137">
        <v>12641.50977140746</v>
      </c>
      <c r="BO137">
        <v>12266.38968047156</v>
      </c>
      <c r="BP137">
        <v>13847.079219004499</v>
      </c>
      <c r="BQ137">
        <v>14303.8087736988</v>
      </c>
    </row>
    <row r="138" spans="1:69" x14ac:dyDescent="0.25">
      <c r="A138" t="s">
        <v>1309</v>
      </c>
      <c r="B138" t="s">
        <v>1310</v>
      </c>
      <c r="C138" t="s">
        <v>1580</v>
      </c>
      <c r="D138" t="s">
        <v>1581</v>
      </c>
      <c r="AI138">
        <v>6950.8443592778494</v>
      </c>
      <c r="AJ138">
        <v>7126.930911565968</v>
      </c>
      <c r="AK138">
        <v>7752.5486454721677</v>
      </c>
      <c r="AL138">
        <v>7865.4591483409822</v>
      </c>
      <c r="AM138">
        <v>8040.7560222759203</v>
      </c>
      <c r="AN138">
        <v>8222.223231225782</v>
      </c>
      <c r="AO138">
        <v>8489.8268986882285</v>
      </c>
      <c r="AP138">
        <v>8456.3816388239375</v>
      </c>
      <c r="AQ138">
        <v>8965.1340009542873</v>
      </c>
      <c r="AR138">
        <v>9214.1805124427665</v>
      </c>
      <c r="AS138">
        <v>9313.7327969548223</v>
      </c>
      <c r="AT138">
        <v>9105.8255899174783</v>
      </c>
      <c r="AU138">
        <v>9205.1841634591365</v>
      </c>
      <c r="AV138">
        <v>9707.0681891842196</v>
      </c>
      <c r="AW138">
        <v>10610.296689415551</v>
      </c>
      <c r="AX138">
        <v>10818.310425468309</v>
      </c>
      <c r="AY138">
        <v>11758.31947295413</v>
      </c>
      <c r="AZ138">
        <v>12199.258115097309</v>
      </c>
      <c r="BA138">
        <v>12968.54572671471</v>
      </c>
      <c r="BB138">
        <v>12600.207897613471</v>
      </c>
      <c r="BC138">
        <v>12717.78659669019</v>
      </c>
      <c r="BD138">
        <v>13471.266635579879</v>
      </c>
      <c r="BE138">
        <v>13443.426251246679</v>
      </c>
      <c r="BF138">
        <v>14009.98445601393</v>
      </c>
      <c r="BG138">
        <v>14403.083273250581</v>
      </c>
      <c r="BH138">
        <v>14353.222484584499</v>
      </c>
      <c r="BI138">
        <v>15306.725805870579</v>
      </c>
      <c r="BJ138">
        <v>16130.972109701061</v>
      </c>
      <c r="BK138">
        <v>17433.30103287366</v>
      </c>
      <c r="BL138">
        <v>18709.911067093479</v>
      </c>
      <c r="BM138">
        <v>14912.159584235051</v>
      </c>
      <c r="BN138">
        <v>19101.16529566755</v>
      </c>
      <c r="BO138">
        <v>24599.373300106719</v>
      </c>
      <c r="BP138">
        <v>25974.509292526309</v>
      </c>
      <c r="BQ138">
        <v>27567.328077983901</v>
      </c>
    </row>
    <row r="139" spans="1:69" x14ac:dyDescent="0.25">
      <c r="A139" t="s">
        <v>1311</v>
      </c>
      <c r="B139" t="s">
        <v>1312</v>
      </c>
      <c r="C139" t="s">
        <v>1580</v>
      </c>
      <c r="D139" t="s">
        <v>1581</v>
      </c>
      <c r="AI139">
        <v>6290.1616088109622</v>
      </c>
      <c r="AJ139">
        <v>6625.8066673568592</v>
      </c>
      <c r="AK139">
        <v>6860.3521425511481</v>
      </c>
      <c r="AL139">
        <v>7056.142744900666</v>
      </c>
      <c r="AM139">
        <v>7419.241409207084</v>
      </c>
      <c r="AN139">
        <v>7554.766650251041</v>
      </c>
      <c r="AO139">
        <v>7837.4810923293753</v>
      </c>
      <c r="AP139">
        <v>8271.3958938417873</v>
      </c>
      <c r="AQ139">
        <v>8452.2484794307038</v>
      </c>
      <c r="AR139">
        <v>8448.3698796075932</v>
      </c>
      <c r="AS139">
        <v>8832.314373609257</v>
      </c>
      <c r="AT139">
        <v>8970.7959092949495</v>
      </c>
      <c r="AU139">
        <v>8999.7964173812252</v>
      </c>
      <c r="AV139">
        <v>9230.0883186702504</v>
      </c>
      <c r="AW139">
        <v>9937.2186769217933</v>
      </c>
      <c r="AX139">
        <v>10581.0409193012</v>
      </c>
      <c r="AY139">
        <v>11496.31527837642</v>
      </c>
      <c r="AZ139">
        <v>12311.49403633216</v>
      </c>
      <c r="BA139">
        <v>12934.754720641111</v>
      </c>
      <c r="BB139">
        <v>12693.84916529918</v>
      </c>
      <c r="BC139">
        <v>13473.99872422183</v>
      </c>
      <c r="BD139">
        <v>14372.43932432194</v>
      </c>
      <c r="BE139">
        <v>14689.6911199798</v>
      </c>
      <c r="BF139">
        <v>15176.46220271066</v>
      </c>
      <c r="BG139">
        <v>15495.80297307223</v>
      </c>
      <c r="BH139">
        <v>15285.771244359999</v>
      </c>
      <c r="BI139">
        <v>15549.13198490299</v>
      </c>
      <c r="BJ139">
        <v>16199.111898447371</v>
      </c>
      <c r="BK139">
        <v>16898.442581092499</v>
      </c>
      <c r="BL139">
        <v>17323.096683513329</v>
      </c>
      <c r="BM139">
        <v>16660.462220206591</v>
      </c>
      <c r="BN139">
        <v>18694.140774802479</v>
      </c>
      <c r="BO139">
        <v>20842.030714929271</v>
      </c>
      <c r="BP139">
        <v>22091.990974225759</v>
      </c>
      <c r="BQ139">
        <v>23104.551980607801</v>
      </c>
    </row>
    <row r="140" spans="1:69" x14ac:dyDescent="0.25">
      <c r="A140" t="s">
        <v>1313</v>
      </c>
      <c r="B140" t="s">
        <v>1314</v>
      </c>
      <c r="C140" t="s">
        <v>1580</v>
      </c>
      <c r="D140" t="s">
        <v>1581</v>
      </c>
      <c r="AI140">
        <v>954.36851797763245</v>
      </c>
      <c r="AJ140">
        <v>984.37846364278209</v>
      </c>
      <c r="AK140">
        <v>990.8586250461716</v>
      </c>
      <c r="AL140">
        <v>991.52520261372172</v>
      </c>
      <c r="AM140">
        <v>994.26731241171763</v>
      </c>
      <c r="AN140">
        <v>1045.923515663364</v>
      </c>
      <c r="AO140">
        <v>1096.6853797121009</v>
      </c>
      <c r="AP140">
        <v>1149.1504412027471</v>
      </c>
      <c r="AQ140">
        <v>1179.7721794617989</v>
      </c>
      <c r="AR140">
        <v>1218.0667853278339</v>
      </c>
      <c r="AS140">
        <v>1272.901786848048</v>
      </c>
      <c r="AT140">
        <v>1336.563243860392</v>
      </c>
      <c r="AU140">
        <v>1396.2919129800409</v>
      </c>
      <c r="AV140">
        <v>1465.90015297071</v>
      </c>
      <c r="AW140">
        <v>1567.338806540012</v>
      </c>
      <c r="AX140">
        <v>1696.372295508238</v>
      </c>
      <c r="AY140">
        <v>1828.078557398002</v>
      </c>
      <c r="AZ140">
        <v>1970.608609051345</v>
      </c>
      <c r="BA140">
        <v>2090.5375460581372</v>
      </c>
      <c r="BB140">
        <v>2146.690628592984</v>
      </c>
      <c r="BC140">
        <v>2258.441051581573</v>
      </c>
      <c r="BD140">
        <v>2340.0300454792759</v>
      </c>
      <c r="BE140">
        <v>2409.459076957834</v>
      </c>
      <c r="BF140">
        <v>2538.164422093208</v>
      </c>
      <c r="BG140">
        <v>2701.0374351469709</v>
      </c>
      <c r="BH140">
        <v>2764.4410679667358</v>
      </c>
      <c r="BI140">
        <v>2891.58480902358</v>
      </c>
      <c r="BJ140">
        <v>3018.918667746148</v>
      </c>
      <c r="BK140">
        <v>3241.558285215146</v>
      </c>
      <c r="BL140">
        <v>3440.0537906173699</v>
      </c>
      <c r="BM140">
        <v>3495.2109398591051</v>
      </c>
      <c r="BN140">
        <v>3724.952622929271</v>
      </c>
      <c r="BO140">
        <v>4096.3382828123567</v>
      </c>
      <c r="BP140">
        <v>4286.7207078443807</v>
      </c>
      <c r="BQ140">
        <v>4463.9956422524356</v>
      </c>
    </row>
    <row r="141" spans="1:69" x14ac:dyDescent="0.25">
      <c r="A141" t="s">
        <v>1315</v>
      </c>
      <c r="B141" t="s">
        <v>1316</v>
      </c>
      <c r="C141" t="s">
        <v>1580</v>
      </c>
      <c r="D141" t="s">
        <v>1581</v>
      </c>
      <c r="AI141">
        <v>856.51829147539081</v>
      </c>
      <c r="AJ141">
        <v>887.28033403908955</v>
      </c>
      <c r="AK141">
        <v>883.14223981158011</v>
      </c>
      <c r="AL141">
        <v>879.90540974811415</v>
      </c>
      <c r="AM141">
        <v>880.89075850893357</v>
      </c>
      <c r="AN141">
        <v>916.85323464347039</v>
      </c>
      <c r="AO141">
        <v>951.3956238723049</v>
      </c>
      <c r="AP141">
        <v>1013.114249028905</v>
      </c>
      <c r="AQ141">
        <v>1041.9486937264589</v>
      </c>
      <c r="AR141">
        <v>1063.067963684711</v>
      </c>
      <c r="AS141">
        <v>1094.644326920622</v>
      </c>
      <c r="AT141">
        <v>1140.287922781177</v>
      </c>
      <c r="AU141">
        <v>1187.5266523607361</v>
      </c>
      <c r="AV141">
        <v>1246.3218941608261</v>
      </c>
      <c r="AW141">
        <v>1313.8776643104759</v>
      </c>
      <c r="AX141">
        <v>1397.0018377321469</v>
      </c>
      <c r="AY141">
        <v>1475.419130256015</v>
      </c>
      <c r="AZ141">
        <v>1557.7342310777151</v>
      </c>
      <c r="BA141">
        <v>1621.3590334943931</v>
      </c>
      <c r="BB141">
        <v>1631.5844660907369</v>
      </c>
      <c r="BC141">
        <v>1709.767430362047</v>
      </c>
      <c r="BD141">
        <v>1702.586831365368</v>
      </c>
      <c r="BE141">
        <v>1596.113855464406</v>
      </c>
      <c r="BF141">
        <v>1664.4824123402159</v>
      </c>
      <c r="BG141">
        <v>1771.24030314827</v>
      </c>
      <c r="BH141">
        <v>1821.6403699213461</v>
      </c>
      <c r="BI141">
        <v>1885.7982480654921</v>
      </c>
      <c r="BJ141">
        <v>1903.9872430384389</v>
      </c>
      <c r="BK141">
        <v>1968.112972485852</v>
      </c>
      <c r="BL141">
        <v>2019.6653890020291</v>
      </c>
      <c r="BM141">
        <v>1988.607981178983</v>
      </c>
      <c r="BN141">
        <v>2114.5209093695471</v>
      </c>
      <c r="BO141">
        <v>2276.195182771512</v>
      </c>
      <c r="BP141">
        <v>2289.5162064522792</v>
      </c>
      <c r="BQ141">
        <v>2353.0487836878401</v>
      </c>
    </row>
    <row r="142" spans="1:69" x14ac:dyDescent="0.25">
      <c r="A142" t="s">
        <v>1317</v>
      </c>
      <c r="B142" t="s">
        <v>1318</v>
      </c>
      <c r="C142" t="s">
        <v>1580</v>
      </c>
      <c r="D142" t="s">
        <v>1581</v>
      </c>
    </row>
    <row r="143" spans="1:69" x14ac:dyDescent="0.25">
      <c r="A143" t="s">
        <v>1319</v>
      </c>
      <c r="B143" t="s">
        <v>1320</v>
      </c>
      <c r="C143" t="s">
        <v>1580</v>
      </c>
      <c r="D143" t="s">
        <v>1581</v>
      </c>
      <c r="AI143">
        <v>2527.442952533002</v>
      </c>
      <c r="AJ143">
        <v>2712.7228021088422</v>
      </c>
      <c r="AK143">
        <v>2850.9500750306979</v>
      </c>
      <c r="AL143">
        <v>3067.3829268883242</v>
      </c>
      <c r="AM143">
        <v>3260.4689251436662</v>
      </c>
      <c r="AN143">
        <v>3454.2750115756262</v>
      </c>
      <c r="AO143">
        <v>3581.6527659577951</v>
      </c>
      <c r="AP143">
        <v>3803.883596007754</v>
      </c>
      <c r="AQ143">
        <v>3952.041044359974</v>
      </c>
      <c r="AR143">
        <v>4103.3804509320389</v>
      </c>
      <c r="AS143">
        <v>4367.8035898346398</v>
      </c>
      <c r="AT143">
        <v>4328.1914111259848</v>
      </c>
      <c r="AU143">
        <v>4522.3276964007227</v>
      </c>
      <c r="AV143">
        <v>4849.8602345051704</v>
      </c>
      <c r="AW143">
        <v>5215.8802443715394</v>
      </c>
      <c r="AX143">
        <v>5678.7464777851164</v>
      </c>
      <c r="AY143">
        <v>6260.6799015480392</v>
      </c>
      <c r="AZ143">
        <v>6820.3931002336849</v>
      </c>
      <c r="BA143">
        <v>7316.5862651095076</v>
      </c>
      <c r="BB143">
        <v>7575.5798872493124</v>
      </c>
      <c r="BC143">
        <v>8233.6266381394707</v>
      </c>
      <c r="BD143">
        <v>9075.5454958949977</v>
      </c>
      <c r="BE143">
        <v>10249.167063771451</v>
      </c>
      <c r="BF143">
        <v>11252.631149191089</v>
      </c>
      <c r="BG143">
        <v>11720.59781103738</v>
      </c>
      <c r="BH143">
        <v>12227.17148495127</v>
      </c>
      <c r="BI143">
        <v>13078.560508907171</v>
      </c>
      <c r="BJ143">
        <v>13610.47231366177</v>
      </c>
      <c r="BK143">
        <v>14178.02253618865</v>
      </c>
      <c r="BL143">
        <v>14112.95250422097</v>
      </c>
      <c r="BM143">
        <v>12940.904329574931</v>
      </c>
      <c r="BN143">
        <v>14316.135222568289</v>
      </c>
      <c r="BO143">
        <v>14193.65462174459</v>
      </c>
      <c r="BP143">
        <v>14455.65444147338</v>
      </c>
      <c r="BQ143">
        <v>15632.592484984811</v>
      </c>
    </row>
    <row r="144" spans="1:69" x14ac:dyDescent="0.25">
      <c r="A144" t="s">
        <v>1321</v>
      </c>
      <c r="B144" t="s">
        <v>1322</v>
      </c>
      <c r="C144" t="s">
        <v>1580</v>
      </c>
      <c r="D144" t="s">
        <v>1581</v>
      </c>
      <c r="AI144">
        <v>1594.01776455442</v>
      </c>
      <c r="AJ144">
        <v>1641.704441273934</v>
      </c>
      <c r="AK144">
        <v>1705.7692091339429</v>
      </c>
      <c r="AL144">
        <v>1750.848165248962</v>
      </c>
      <c r="AM144">
        <v>1823.595048304993</v>
      </c>
      <c r="AN144">
        <v>1919.4955273926239</v>
      </c>
      <c r="AO144">
        <v>2036.7856160787539</v>
      </c>
      <c r="AP144">
        <v>2110.3173947325108</v>
      </c>
      <c r="AQ144">
        <v>2189.0561745974119</v>
      </c>
      <c r="AR144">
        <v>2301.7289171201369</v>
      </c>
      <c r="AS144">
        <v>2405.7800697159792</v>
      </c>
      <c r="AT144">
        <v>2518.9921014916299</v>
      </c>
      <c r="AU144">
        <v>2623.2972814886771</v>
      </c>
      <c r="AV144">
        <v>2789.045313763203</v>
      </c>
      <c r="AW144">
        <v>3014.6701775554948</v>
      </c>
      <c r="AX144">
        <v>3263.6477743068758</v>
      </c>
      <c r="AY144">
        <v>3541.145511479398</v>
      </c>
      <c r="AZ144">
        <v>3821.7147615338431</v>
      </c>
      <c r="BA144">
        <v>3998.3017050267749</v>
      </c>
      <c r="BB144">
        <v>4200.1376261559999</v>
      </c>
      <c r="BC144">
        <v>4471.7808756630666</v>
      </c>
      <c r="BD144">
        <v>4704.794795859204</v>
      </c>
      <c r="BE144">
        <v>5060.2059839866779</v>
      </c>
      <c r="BF144">
        <v>5286.2926747513193</v>
      </c>
      <c r="BG144">
        <v>5490.2432446453267</v>
      </c>
      <c r="BH144">
        <v>5688.7007120405106</v>
      </c>
      <c r="BI144">
        <v>5948.5103994119636</v>
      </c>
      <c r="BJ144">
        <v>6294.5016758707952</v>
      </c>
      <c r="BK144">
        <v>6736.0463310991854</v>
      </c>
      <c r="BL144">
        <v>7158.4709225983088</v>
      </c>
      <c r="BM144">
        <v>7111.842795505655</v>
      </c>
      <c r="BN144">
        <v>7837.4333483335768</v>
      </c>
      <c r="BO144">
        <v>8826.0715918275364</v>
      </c>
      <c r="BP144">
        <v>9599.8729480305792</v>
      </c>
      <c r="BQ144">
        <v>10225.442286008791</v>
      </c>
    </row>
    <row r="145" spans="1:69" x14ac:dyDescent="0.25">
      <c r="A145" t="s">
        <v>1323</v>
      </c>
      <c r="B145" t="s">
        <v>1324</v>
      </c>
      <c r="C145" t="s">
        <v>1580</v>
      </c>
      <c r="D145" t="s">
        <v>1581</v>
      </c>
      <c r="AI145">
        <v>2376.6287195551358</v>
      </c>
      <c r="AJ145">
        <v>2489.5963448662569</v>
      </c>
      <c r="AK145">
        <v>2598.7760967665708</v>
      </c>
      <c r="AL145">
        <v>2709.4119004654322</v>
      </c>
      <c r="AM145">
        <v>2833.6710140044688</v>
      </c>
      <c r="AN145">
        <v>2977.8995107539349</v>
      </c>
      <c r="AO145">
        <v>3163.0149923360382</v>
      </c>
      <c r="AP145">
        <v>3330.0709993887399</v>
      </c>
      <c r="AQ145">
        <v>3365.722845390324</v>
      </c>
      <c r="AR145">
        <v>3491.1874470676412</v>
      </c>
      <c r="AS145">
        <v>3711.4772529322681</v>
      </c>
      <c r="AT145">
        <v>3880.1959186942859</v>
      </c>
      <c r="AU145">
        <v>4066.4997688075082</v>
      </c>
      <c r="AV145">
        <v>4323.2096102791029</v>
      </c>
      <c r="AW145">
        <v>4711.8308222232508</v>
      </c>
      <c r="AX145">
        <v>5129.9107328090113</v>
      </c>
      <c r="AY145">
        <v>5641.7310486574788</v>
      </c>
      <c r="AZ145">
        <v>6200.1132341435587</v>
      </c>
      <c r="BA145">
        <v>6599.4358452731731</v>
      </c>
      <c r="BB145">
        <v>6827.0350843306169</v>
      </c>
      <c r="BC145">
        <v>7357.9251302125658</v>
      </c>
      <c r="BD145">
        <v>7866.4987381132632</v>
      </c>
      <c r="BE145">
        <v>8326.184317719406</v>
      </c>
      <c r="BF145">
        <v>8712.717767125534</v>
      </c>
      <c r="BG145">
        <v>9014.223128870557</v>
      </c>
      <c r="BH145">
        <v>9147.9027374821708</v>
      </c>
      <c r="BI145">
        <v>9488.6603813130023</v>
      </c>
      <c r="BJ145">
        <v>9970.5259662182125</v>
      </c>
      <c r="BK145">
        <v>10594.088996385441</v>
      </c>
      <c r="BL145">
        <v>11163.46423686353</v>
      </c>
      <c r="BM145">
        <v>11165.11810178927</v>
      </c>
      <c r="BN145">
        <v>12433.418509730091</v>
      </c>
      <c r="BO145">
        <v>13815.28628080473</v>
      </c>
      <c r="BP145">
        <v>14898.775571679031</v>
      </c>
      <c r="BQ145">
        <v>15794.483684907969</v>
      </c>
    </row>
    <row r="146" spans="1:69" x14ac:dyDescent="0.25">
      <c r="A146" t="s">
        <v>1325</v>
      </c>
      <c r="B146" t="s">
        <v>1326</v>
      </c>
      <c r="C146" t="s">
        <v>1580</v>
      </c>
      <c r="D146" t="s">
        <v>1581</v>
      </c>
      <c r="AI146">
        <v>764.0573153735769</v>
      </c>
      <c r="AJ146">
        <v>829.9366592197282</v>
      </c>
      <c r="AK146">
        <v>892.92525578773552</v>
      </c>
      <c r="AL146">
        <v>931.98425738479546</v>
      </c>
      <c r="AM146">
        <v>995.24414325636212</v>
      </c>
      <c r="AN146">
        <v>1036.788085220463</v>
      </c>
      <c r="AO146">
        <v>1103.0020217629281</v>
      </c>
      <c r="AP146">
        <v>1154.3823446805509</v>
      </c>
      <c r="AQ146">
        <v>1179.421705049001</v>
      </c>
      <c r="AR146">
        <v>1198.694819918265</v>
      </c>
      <c r="AS146">
        <v>1272.924433990996</v>
      </c>
      <c r="AT146">
        <v>1350.005297065346</v>
      </c>
      <c r="AU146">
        <v>1385.182220674536</v>
      </c>
      <c r="AV146">
        <v>1484.0958444925659</v>
      </c>
      <c r="AW146">
        <v>1560.7487754792451</v>
      </c>
      <c r="AX146">
        <v>1680.87364079911</v>
      </c>
      <c r="AY146">
        <v>1813.4444072345029</v>
      </c>
      <c r="AZ146">
        <v>1932.4266622594</v>
      </c>
      <c r="BA146">
        <v>2064.423112141938</v>
      </c>
      <c r="BB146">
        <v>2036.263085676539</v>
      </c>
      <c r="BC146">
        <v>2152.9152828976771</v>
      </c>
      <c r="BD146">
        <v>2278.5014279106581</v>
      </c>
      <c r="BE146">
        <v>2291.4956531127009</v>
      </c>
      <c r="BF146">
        <v>2538.2631030604939</v>
      </c>
      <c r="BG146">
        <v>2771.24496867163</v>
      </c>
      <c r="BH146">
        <v>3034.6469292484821</v>
      </c>
      <c r="BI146">
        <v>2942.1815366392129</v>
      </c>
      <c r="BJ146">
        <v>2618.818207701453</v>
      </c>
      <c r="BK146">
        <v>2632.2877522300391</v>
      </c>
      <c r="BL146">
        <v>2568.3411436271931</v>
      </c>
      <c r="BM146">
        <v>2559.0977607784571</v>
      </c>
      <c r="BN146">
        <v>2544.7824955121409</v>
      </c>
      <c r="BO146">
        <v>2761.311050022156</v>
      </c>
      <c r="BP146">
        <v>2880.9662961569252</v>
      </c>
      <c r="BQ146">
        <v>3001.1631195133391</v>
      </c>
    </row>
    <row r="147" spans="1:69" x14ac:dyDescent="0.25">
      <c r="A147" t="s">
        <v>1327</v>
      </c>
      <c r="B147" t="s">
        <v>1328</v>
      </c>
      <c r="C147" t="s">
        <v>1580</v>
      </c>
      <c r="D147" t="s">
        <v>1581</v>
      </c>
      <c r="AI147">
        <v>2915.4424786740419</v>
      </c>
      <c r="AJ147">
        <v>2992.2735304616581</v>
      </c>
      <c r="AK147">
        <v>3059.8925325835698</v>
      </c>
      <c r="AL147">
        <v>3238.060917908615</v>
      </c>
      <c r="AM147">
        <v>3424.3639339371771</v>
      </c>
      <c r="AN147">
        <v>3658.7856725799588</v>
      </c>
      <c r="AO147">
        <v>3882.44014415421</v>
      </c>
      <c r="AP147">
        <v>4123.8217777389546</v>
      </c>
      <c r="AQ147">
        <v>4237.9528459968124</v>
      </c>
      <c r="AR147">
        <v>4450.0281221682972</v>
      </c>
      <c r="AS147">
        <v>4837.0299731053874</v>
      </c>
      <c r="AT147">
        <v>5162.4493584368183</v>
      </c>
      <c r="AU147">
        <v>5539.1395167777964</v>
      </c>
      <c r="AV147">
        <v>6024.5465696002402</v>
      </c>
      <c r="AW147">
        <v>6650.9974993589949</v>
      </c>
      <c r="AX147">
        <v>7369.632129038896</v>
      </c>
      <c r="AY147">
        <v>8385.4932944503344</v>
      </c>
      <c r="AZ147">
        <v>9426.4774008542281</v>
      </c>
      <c r="BA147">
        <v>10373.742073341689</v>
      </c>
      <c r="BB147">
        <v>10767.776587016329</v>
      </c>
      <c r="BC147">
        <v>11718.30409041506</v>
      </c>
      <c r="BD147">
        <v>12799.415662071689</v>
      </c>
      <c r="BE147">
        <v>13690.89062986854</v>
      </c>
      <c r="BF147">
        <v>14474.9508037837</v>
      </c>
      <c r="BG147">
        <v>15024.791080052189</v>
      </c>
      <c r="BH147">
        <v>15118.190269963899</v>
      </c>
      <c r="BI147">
        <v>15639.325506957941</v>
      </c>
      <c r="BJ147">
        <v>16539.964686036059</v>
      </c>
      <c r="BK147">
        <v>17884.10782723808</v>
      </c>
      <c r="BL147">
        <v>19194.504090879531</v>
      </c>
      <c r="BM147">
        <v>19482.281353351282</v>
      </c>
      <c r="BN147">
        <v>22168.180597314989</v>
      </c>
      <c r="BO147">
        <v>24496.15291195934</v>
      </c>
      <c r="BP147">
        <v>26470.750475245921</v>
      </c>
      <c r="BQ147">
        <v>28321.95061431994</v>
      </c>
    </row>
    <row r="148" spans="1:69" x14ac:dyDescent="0.25">
      <c r="A148" t="s">
        <v>1329</v>
      </c>
      <c r="B148" t="s">
        <v>1330</v>
      </c>
      <c r="C148" t="s">
        <v>1580</v>
      </c>
      <c r="D148" t="s">
        <v>1581</v>
      </c>
      <c r="AI148">
        <v>9029.8158599739927</v>
      </c>
      <c r="AJ148">
        <v>8790.3867727306624</v>
      </c>
      <c r="AK148">
        <v>7087.0665628419274</v>
      </c>
      <c r="AL148">
        <v>6106.6692412543207</v>
      </c>
      <c r="AM148">
        <v>5667.1383471467034</v>
      </c>
      <c r="AN148">
        <v>6022.5022603118541</v>
      </c>
      <c r="AO148">
        <v>6479.1945906110541</v>
      </c>
      <c r="AP148">
        <v>7166.8106190692579</v>
      </c>
      <c r="AQ148">
        <v>7846.2953361497221</v>
      </c>
      <c r="AR148">
        <v>7918.4002047540671</v>
      </c>
      <c r="AS148">
        <v>8474.5930033008299</v>
      </c>
      <c r="AT148">
        <v>9399.3365616660722</v>
      </c>
      <c r="AU148">
        <v>10295.506696289891</v>
      </c>
      <c r="AV148">
        <v>11659.878739133381</v>
      </c>
      <c r="AW148">
        <v>12605.02019019709</v>
      </c>
      <c r="AX148">
        <v>13951.32618809771</v>
      </c>
      <c r="AY148">
        <v>15522.35792572941</v>
      </c>
      <c r="AZ148">
        <v>17968.64458350628</v>
      </c>
      <c r="BA148">
        <v>19410.007759890341</v>
      </c>
      <c r="BB148">
        <v>17054.636556848629</v>
      </c>
      <c r="BC148">
        <v>18718.904371135799</v>
      </c>
      <c r="BD148">
        <v>21557.65674580519</v>
      </c>
      <c r="BE148">
        <v>23275.251755358819</v>
      </c>
      <c r="BF148">
        <v>24889.872622781779</v>
      </c>
      <c r="BG148">
        <v>26274.748876494559</v>
      </c>
      <c r="BH148">
        <v>26948.59193716446</v>
      </c>
      <c r="BI148">
        <v>28698.988786806149</v>
      </c>
      <c r="BJ148">
        <v>31305.043693437219</v>
      </c>
      <c r="BK148">
        <v>36491.938522368873</v>
      </c>
      <c r="BL148">
        <v>40563.830488455496</v>
      </c>
      <c r="BM148">
        <v>41262.727694172463</v>
      </c>
      <c r="BN148">
        <v>45873.527323948569</v>
      </c>
      <c r="BO148">
        <v>50936.004954744232</v>
      </c>
      <c r="BP148">
        <v>52348.246821526787</v>
      </c>
      <c r="BQ148">
        <v>55285.899193430407</v>
      </c>
    </row>
    <row r="149" spans="1:69" x14ac:dyDescent="0.25">
      <c r="A149" t="s">
        <v>1331</v>
      </c>
      <c r="B149" t="s">
        <v>1332</v>
      </c>
      <c r="C149" t="s">
        <v>1580</v>
      </c>
      <c r="D149" t="s">
        <v>1581</v>
      </c>
      <c r="AI149">
        <v>29948.936550149239</v>
      </c>
      <c r="AJ149">
        <v>33190.5117274445</v>
      </c>
      <c r="AK149">
        <v>34108.495191712078</v>
      </c>
      <c r="AL149">
        <v>35898.541875694711</v>
      </c>
      <c r="AM149">
        <v>37551.128264582687</v>
      </c>
      <c r="AN149">
        <v>38345.096764847178</v>
      </c>
      <c r="AO149">
        <v>39722.249940622329</v>
      </c>
      <c r="AP149">
        <v>42487.688382839267</v>
      </c>
      <c r="AQ149">
        <v>44270.068821097542</v>
      </c>
      <c r="AR149">
        <v>49844.676962797588</v>
      </c>
      <c r="AS149">
        <v>55136.060998378889</v>
      </c>
      <c r="AT149">
        <v>56135.831567895693</v>
      </c>
      <c r="AU149">
        <v>58575.679271754409</v>
      </c>
      <c r="AV149">
        <v>60192.175945233626</v>
      </c>
      <c r="AW149">
        <v>64685.728686643452</v>
      </c>
      <c r="AX149">
        <v>68787.854749426595</v>
      </c>
      <c r="AY149">
        <v>78861.1661045613</v>
      </c>
      <c r="AZ149">
        <v>85126.139386701834</v>
      </c>
      <c r="BA149">
        <v>90970.721198014711</v>
      </c>
      <c r="BB149">
        <v>86918.590910405241</v>
      </c>
      <c r="BC149">
        <v>90336.018470403316</v>
      </c>
      <c r="BD149">
        <v>94475.030226502349</v>
      </c>
      <c r="BE149">
        <v>96636.426643956001</v>
      </c>
      <c r="BF149">
        <v>100925.0119922405</v>
      </c>
      <c r="BG149">
        <v>105296.28458823189</v>
      </c>
      <c r="BH149">
        <v>107859.68599930761</v>
      </c>
      <c r="BI149">
        <v>113365.1760822654</v>
      </c>
      <c r="BJ149">
        <v>114985.8422359886</v>
      </c>
      <c r="BK149">
        <v>116638.4141638821</v>
      </c>
      <c r="BL149">
        <v>121371.7399030696</v>
      </c>
      <c r="BM149">
        <v>122066.7391472017</v>
      </c>
      <c r="BN149">
        <v>136772.4437532922</v>
      </c>
      <c r="BO149">
        <v>146919.14539849441</v>
      </c>
      <c r="BP149">
        <v>150508.21888688789</v>
      </c>
      <c r="BQ149">
        <v>155941.28821079069</v>
      </c>
    </row>
    <row r="150" spans="1:69" x14ac:dyDescent="0.25">
      <c r="A150" t="s">
        <v>1333</v>
      </c>
      <c r="B150" t="s">
        <v>1334</v>
      </c>
      <c r="C150" t="s">
        <v>1580</v>
      </c>
      <c r="D150" t="s">
        <v>1581</v>
      </c>
      <c r="AI150">
        <v>7447.9485288670521</v>
      </c>
      <c r="AJ150">
        <v>6761.9302999041238</v>
      </c>
      <c r="AK150">
        <v>4759.7798847263111</v>
      </c>
      <c r="AL150">
        <v>4722.0039850373169</v>
      </c>
      <c r="AM150">
        <v>5011.6317985193782</v>
      </c>
      <c r="AN150">
        <v>5391.0451330311107</v>
      </c>
      <c r="AO150">
        <v>5688.3496644330226</v>
      </c>
      <c r="AP150">
        <v>6365.7055936589268</v>
      </c>
      <c r="AQ150">
        <v>6922.3429617826814</v>
      </c>
      <c r="AR150">
        <v>7256.3366467186142</v>
      </c>
      <c r="AS150">
        <v>7848.9085489279332</v>
      </c>
      <c r="AT150">
        <v>8807.7583707246486</v>
      </c>
      <c r="AU150">
        <v>9568.794656783346</v>
      </c>
      <c r="AV150">
        <v>10193.23810150538</v>
      </c>
      <c r="AW150">
        <v>11319.14626999131</v>
      </c>
      <c r="AX150">
        <v>12825.87377955898</v>
      </c>
      <c r="AY150">
        <v>14180.00177618775</v>
      </c>
      <c r="AZ150">
        <v>16245.53409946031</v>
      </c>
      <c r="BA150">
        <v>17443.39129109884</v>
      </c>
      <c r="BB150">
        <v>15545.08213399454</v>
      </c>
      <c r="BC150">
        <v>16373.403732049541</v>
      </c>
      <c r="BD150">
        <v>17680.493963050722</v>
      </c>
      <c r="BE150">
        <v>19416.51673821254</v>
      </c>
      <c r="BF150">
        <v>20473.524370691332</v>
      </c>
      <c r="BG150">
        <v>21553.662320443611</v>
      </c>
      <c r="BH150">
        <v>22543.918316410469</v>
      </c>
      <c r="BI150">
        <v>24063.451124510859</v>
      </c>
      <c r="BJ150">
        <v>25763.9907709703</v>
      </c>
      <c r="BK150">
        <v>29817.804726318191</v>
      </c>
      <c r="BL150">
        <v>32199.096037709121</v>
      </c>
      <c r="BM150">
        <v>32741.420769198659</v>
      </c>
      <c r="BN150">
        <v>36912.013060216057</v>
      </c>
      <c r="BO150">
        <v>40558.749584112193</v>
      </c>
      <c r="BP150">
        <v>42576.406079945671</v>
      </c>
      <c r="BQ150">
        <v>43394.273282231392</v>
      </c>
    </row>
    <row r="151" spans="1:69" x14ac:dyDescent="0.25">
      <c r="A151" t="s">
        <v>1335</v>
      </c>
      <c r="B151" t="s">
        <v>1336</v>
      </c>
      <c r="C151" t="s">
        <v>1580</v>
      </c>
      <c r="D151" t="s">
        <v>1581</v>
      </c>
      <c r="AI151">
        <v>27936.374229061588</v>
      </c>
      <c r="AJ151">
        <v>28516.23497017183</v>
      </c>
      <c r="AK151">
        <v>31329.807770524982</v>
      </c>
      <c r="AL151">
        <v>32584.896547379081</v>
      </c>
      <c r="AM151">
        <v>33577.031685906397</v>
      </c>
      <c r="AN151">
        <v>34329.533516291543</v>
      </c>
      <c r="AO151">
        <v>34324.849699814622</v>
      </c>
      <c r="AP151">
        <v>34635.783768436042</v>
      </c>
      <c r="AQ151">
        <v>33028.274701733812</v>
      </c>
      <c r="AR151">
        <v>32315.367528099639</v>
      </c>
      <c r="AS151">
        <v>34686.948720534361</v>
      </c>
      <c r="AT151">
        <v>36214.85133404623</v>
      </c>
      <c r="AU151">
        <v>39641.481832641242</v>
      </c>
      <c r="AV151">
        <v>44601.818226199677</v>
      </c>
      <c r="AW151">
        <v>56585.300183216321</v>
      </c>
      <c r="AX151">
        <v>60569.456644472637</v>
      </c>
      <c r="AY151">
        <v>67194.511754095322</v>
      </c>
      <c r="AZ151">
        <v>75672.640616854871</v>
      </c>
      <c r="BA151">
        <v>76827.019306650211</v>
      </c>
      <c r="BB151">
        <v>79138.80480169745</v>
      </c>
      <c r="BC151">
        <v>99835.084640655288</v>
      </c>
      <c r="BD151">
        <v>121085.6793445823</v>
      </c>
      <c r="BE151">
        <v>133111.61664261649</v>
      </c>
      <c r="BF151">
        <v>149859.18045511321</v>
      </c>
      <c r="BG151">
        <v>145187.08079441599</v>
      </c>
      <c r="BH151">
        <v>108656.76390491911</v>
      </c>
      <c r="BI151">
        <v>107653.1772818318</v>
      </c>
      <c r="BJ151">
        <v>120774.96308075239</v>
      </c>
      <c r="BK151">
        <v>129457.9986001183</v>
      </c>
      <c r="BL151">
        <v>126029.6223710965</v>
      </c>
      <c r="BM151">
        <v>57077.532570509888</v>
      </c>
      <c r="BN151">
        <v>73374.448682958886</v>
      </c>
      <c r="BO151">
        <v>64193.529404861853</v>
      </c>
      <c r="BP151">
        <v>116328.5406001341</v>
      </c>
      <c r="BQ151">
        <v>126959.9171389059</v>
      </c>
    </row>
    <row r="152" spans="1:69" x14ac:dyDescent="0.25">
      <c r="A152" t="s">
        <v>1337</v>
      </c>
      <c r="B152" t="s">
        <v>1338</v>
      </c>
      <c r="C152" t="s">
        <v>1580</v>
      </c>
      <c r="D152" t="s">
        <v>1581</v>
      </c>
    </row>
    <row r="153" spans="1:69" x14ac:dyDescent="0.25">
      <c r="A153" t="s">
        <v>1339</v>
      </c>
      <c r="B153" t="s">
        <v>1340</v>
      </c>
      <c r="C153" t="s">
        <v>1580</v>
      </c>
      <c r="D153" t="s">
        <v>1581</v>
      </c>
      <c r="AI153">
        <v>2776.82250976563</v>
      </c>
      <c r="AJ153">
        <v>3025.00708007813</v>
      </c>
      <c r="AK153">
        <v>2979.068359375</v>
      </c>
      <c r="AL153">
        <v>2979.28686523438</v>
      </c>
      <c r="AM153">
        <v>3314.78149414063</v>
      </c>
      <c r="AN153">
        <v>3152.42724609375</v>
      </c>
      <c r="AO153">
        <v>3551.25610351563</v>
      </c>
      <c r="AP153">
        <v>3502.00805664063</v>
      </c>
      <c r="AQ153">
        <v>3740.35913085938</v>
      </c>
      <c r="AR153">
        <v>3800.6298828125</v>
      </c>
      <c r="AS153">
        <v>3930.22314453125</v>
      </c>
      <c r="AT153">
        <v>4268.86962890625</v>
      </c>
      <c r="AU153">
        <v>4436.4287109375</v>
      </c>
      <c r="AV153">
        <v>4741.0615234375</v>
      </c>
      <c r="AW153">
        <v>5024.6943359375</v>
      </c>
      <c r="AX153">
        <v>5274.74169921875</v>
      </c>
      <c r="AY153">
        <v>5780.6181640625</v>
      </c>
      <c r="AZ153">
        <v>6057.935546875</v>
      </c>
      <c r="BA153">
        <v>6437.0634765625</v>
      </c>
      <c r="BB153">
        <v>6628.57666015625</v>
      </c>
      <c r="BC153">
        <v>6848.66748046875</v>
      </c>
      <c r="BD153">
        <v>7274.1474609375</v>
      </c>
      <c r="BE153">
        <v>7307.6123046875</v>
      </c>
      <c r="BF153">
        <v>7542.0986328125</v>
      </c>
      <c r="BG153">
        <v>7237.27734375</v>
      </c>
      <c r="BH153">
        <v>7799.09228515625</v>
      </c>
      <c r="BI153">
        <v>7853.17626953125</v>
      </c>
      <c r="BJ153">
        <v>8115.12060546875</v>
      </c>
      <c r="BK153">
        <v>7801.0986328125</v>
      </c>
      <c r="BL153">
        <v>8046.22900390625</v>
      </c>
      <c r="BM153">
        <v>7704.84912109375</v>
      </c>
      <c r="BN153">
        <v>8623.265625</v>
      </c>
      <c r="BO153">
        <v>9310.0322265625</v>
      </c>
      <c r="BP153">
        <v>9894.650390625</v>
      </c>
      <c r="BQ153">
        <v>10415.1240234375</v>
      </c>
    </row>
    <row r="154" spans="1:69" x14ac:dyDescent="0.25">
      <c r="A154" t="s">
        <v>1341</v>
      </c>
      <c r="B154" t="s">
        <v>1342</v>
      </c>
      <c r="C154" t="s">
        <v>1580</v>
      </c>
      <c r="D154" t="s">
        <v>1581</v>
      </c>
    </row>
    <row r="155" spans="1:69" x14ac:dyDescent="0.25">
      <c r="A155" t="s">
        <v>1343</v>
      </c>
      <c r="B155" t="s">
        <v>1344</v>
      </c>
      <c r="C155" t="s">
        <v>1580</v>
      </c>
      <c r="D155" t="s">
        <v>1581</v>
      </c>
      <c r="AI155">
        <v>6894.5137233955247</v>
      </c>
      <c r="AJ155">
        <v>5979.9078913183521</v>
      </c>
      <c r="AK155">
        <v>4337.2468015914028</v>
      </c>
      <c r="AL155">
        <v>4394.1418593245826</v>
      </c>
      <c r="AM155">
        <v>3110.823008186821</v>
      </c>
      <c r="AN155">
        <v>3145.9458051935562</v>
      </c>
      <c r="AO155">
        <v>3021.3098832562068</v>
      </c>
      <c r="AP155">
        <v>3135.6070254622368</v>
      </c>
      <c r="AQ155">
        <v>2964.60151650533</v>
      </c>
      <c r="AR155">
        <v>2909.8503500012789</v>
      </c>
      <c r="AS155">
        <v>3044.6705057735362</v>
      </c>
      <c r="AT155">
        <v>3310.5288264587712</v>
      </c>
      <c r="AU155">
        <v>3632.610918254672</v>
      </c>
      <c r="AV155">
        <v>3959.9515099602881</v>
      </c>
      <c r="AW155">
        <v>4378.1747578246668</v>
      </c>
      <c r="AX155">
        <v>4865.9345643033384</v>
      </c>
      <c r="AY155">
        <v>5271.3897043533561</v>
      </c>
      <c r="AZ155">
        <v>5589.5685077364988</v>
      </c>
      <c r="BA155">
        <v>6153.3515214798144</v>
      </c>
      <c r="BB155">
        <v>5827.1788888285737</v>
      </c>
      <c r="BC155">
        <v>6323.0628790520605</v>
      </c>
      <c r="BD155">
        <v>6832.9415650296114</v>
      </c>
      <c r="BE155">
        <v>7254.662490323135</v>
      </c>
      <c r="BF155">
        <v>8232.5238047368039</v>
      </c>
      <c r="BG155">
        <v>8643.0643143534344</v>
      </c>
      <c r="BH155">
        <v>9197.6183820427232</v>
      </c>
      <c r="BI155">
        <v>10325.84048961265</v>
      </c>
      <c r="BJ155">
        <v>11252.11354652827</v>
      </c>
      <c r="BK155">
        <v>11868.19554632228</v>
      </c>
      <c r="BL155">
        <v>13413.223293512599</v>
      </c>
      <c r="BM155">
        <v>13527.44131309673</v>
      </c>
      <c r="BN155">
        <v>15682.07032846535</v>
      </c>
      <c r="BO155">
        <v>16452.962119199969</v>
      </c>
      <c r="BP155">
        <v>17746.940553868379</v>
      </c>
      <c r="BQ155">
        <v>18614.988069120322</v>
      </c>
    </row>
    <row r="156" spans="1:69" x14ac:dyDescent="0.25">
      <c r="A156" t="s">
        <v>1345</v>
      </c>
      <c r="B156" t="s">
        <v>1346</v>
      </c>
      <c r="C156" t="s">
        <v>1580</v>
      </c>
      <c r="D156" t="s">
        <v>1581</v>
      </c>
      <c r="AI156">
        <v>1165.8209242071689</v>
      </c>
      <c r="AJ156">
        <v>1095.986996184884</v>
      </c>
      <c r="AK156">
        <v>1100.5789685005</v>
      </c>
      <c r="AL156">
        <v>1115.767284249144</v>
      </c>
      <c r="AM156">
        <v>1104.2611340250489</v>
      </c>
      <c r="AN156">
        <v>1110.6524922511071</v>
      </c>
      <c r="AO156">
        <v>1118.7691621098711</v>
      </c>
      <c r="AP156">
        <v>1142.301660977907</v>
      </c>
      <c r="AQ156">
        <v>1161.750888469039</v>
      </c>
      <c r="AR156">
        <v>1194.1502466887</v>
      </c>
      <c r="AS156">
        <v>1235.787339419079</v>
      </c>
      <c r="AT156">
        <v>1298.5637887316391</v>
      </c>
      <c r="AU156">
        <v>1121.087495527725</v>
      </c>
      <c r="AV156">
        <v>1218.835631687956</v>
      </c>
      <c r="AW156">
        <v>1279.546110585653</v>
      </c>
      <c r="AX156">
        <v>1342.5192993714511</v>
      </c>
      <c r="AY156">
        <v>1416.4046594899819</v>
      </c>
      <c r="AZ156">
        <v>1493.3754500497221</v>
      </c>
      <c r="BA156">
        <v>1577.33838928618</v>
      </c>
      <c r="BB156">
        <v>1479.8298002594661</v>
      </c>
      <c r="BC156">
        <v>1463.876467863907</v>
      </c>
      <c r="BD156">
        <v>1475.1705517811381</v>
      </c>
      <c r="BE156">
        <v>1463.617569264474</v>
      </c>
      <c r="BF156">
        <v>1473.403980772553</v>
      </c>
      <c r="BG156">
        <v>1498.8397690821871</v>
      </c>
      <c r="BH156">
        <v>1496.611724128411</v>
      </c>
      <c r="BI156">
        <v>1561.519623746078</v>
      </c>
      <c r="BJ156">
        <v>1546.8800189081669</v>
      </c>
      <c r="BK156">
        <v>1546.595635497951</v>
      </c>
      <c r="BL156">
        <v>1612.297727156262</v>
      </c>
      <c r="BM156">
        <v>1490.3231283786611</v>
      </c>
      <c r="BN156">
        <v>1577.432460565288</v>
      </c>
      <c r="BO156">
        <v>1716.9788487379751</v>
      </c>
      <c r="BP156">
        <v>1808.447790385791</v>
      </c>
      <c r="BQ156">
        <v>1883.537431138398</v>
      </c>
    </row>
    <row r="157" spans="1:69" x14ac:dyDescent="0.25">
      <c r="A157" t="s">
        <v>1347</v>
      </c>
      <c r="B157" t="s">
        <v>1348</v>
      </c>
      <c r="C157" t="s">
        <v>1580</v>
      </c>
      <c r="D157" t="s">
        <v>1581</v>
      </c>
      <c r="AI157">
        <v>4527.5939906718386</v>
      </c>
      <c r="AJ157">
        <v>4604.029567476714</v>
      </c>
      <c r="AK157">
        <v>4881.12710135415</v>
      </c>
      <c r="AL157">
        <v>5137.9107138716872</v>
      </c>
      <c r="AM157">
        <v>5520.4182367745634</v>
      </c>
      <c r="AN157">
        <v>6223.482785391825</v>
      </c>
      <c r="AO157">
        <v>6686.994089337988</v>
      </c>
      <c r="AP157">
        <v>7225.9289834357551</v>
      </c>
      <c r="AQ157">
        <v>7710.3181119020919</v>
      </c>
      <c r="AR157">
        <v>8161.9961672885174</v>
      </c>
      <c r="AS157">
        <v>8526.2898636924074</v>
      </c>
      <c r="AT157">
        <v>8235.8026771640434</v>
      </c>
      <c r="AU157">
        <v>8822.5172608756366</v>
      </c>
      <c r="AV157">
        <v>10065.48580521113</v>
      </c>
      <c r="AW157">
        <v>10769.774328192259</v>
      </c>
      <c r="AX157">
        <v>9704.443344540412</v>
      </c>
      <c r="AY157">
        <v>12075.14557494908</v>
      </c>
      <c r="AZ157">
        <v>12851.79231614245</v>
      </c>
      <c r="BA157">
        <v>13778.819755455421</v>
      </c>
      <c r="BB157">
        <v>12265.793046425861</v>
      </c>
      <c r="BC157">
        <v>12797.327926291629</v>
      </c>
      <c r="BD157">
        <v>13726.326209344579</v>
      </c>
      <c r="BE157">
        <v>13988.59738654293</v>
      </c>
      <c r="BF157">
        <v>15264.09070695813</v>
      </c>
      <c r="BG157">
        <v>16722.523852618979</v>
      </c>
      <c r="BH157">
        <v>17875.098941926219</v>
      </c>
      <c r="BI157">
        <v>18769.506060762931</v>
      </c>
      <c r="BJ157">
        <v>19767.889361346759</v>
      </c>
      <c r="BK157">
        <v>21899.42929938429</v>
      </c>
      <c r="BL157">
        <v>23077.21122366517</v>
      </c>
      <c r="BM157">
        <v>13425.36744596011</v>
      </c>
      <c r="BN157">
        <v>19052.622490431058</v>
      </c>
      <c r="BO157">
        <v>22880.512315141928</v>
      </c>
      <c r="BP157">
        <v>24786.203212345081</v>
      </c>
      <c r="BQ157">
        <v>26182.783157091661</v>
      </c>
    </row>
    <row r="158" spans="1:69" x14ac:dyDescent="0.25">
      <c r="A158" t="s">
        <v>1349</v>
      </c>
      <c r="B158" t="s">
        <v>1350</v>
      </c>
      <c r="C158" t="s">
        <v>1580</v>
      </c>
      <c r="D158" t="s">
        <v>1581</v>
      </c>
      <c r="AI158">
        <v>5791.1269419771579</v>
      </c>
      <c r="AJ158">
        <v>6151.3712815146237</v>
      </c>
      <c r="AK158">
        <v>6471.9874075515709</v>
      </c>
      <c r="AL158">
        <v>6578.2232057562433</v>
      </c>
      <c r="AM158">
        <v>6700.5963545852164</v>
      </c>
      <c r="AN158">
        <v>6862.131840706551</v>
      </c>
      <c r="AO158">
        <v>7164.1214520428421</v>
      </c>
      <c r="AP158">
        <v>7388.3629444905309</v>
      </c>
      <c r="AQ158">
        <v>7607.8677202594854</v>
      </c>
      <c r="AR158">
        <v>7756.0851724726244</v>
      </c>
      <c r="AS158">
        <v>8238.2183825176635</v>
      </c>
      <c r="AT158">
        <v>8404.2035247495878</v>
      </c>
      <c r="AU158">
        <v>8547.0560218895989</v>
      </c>
      <c r="AV158">
        <v>8881.0611143861188</v>
      </c>
      <c r="AW158">
        <v>9627.8983385511765</v>
      </c>
      <c r="AX158">
        <v>10174.23108140853</v>
      </c>
      <c r="AY158">
        <v>10814.17778982349</v>
      </c>
      <c r="AZ158">
        <v>11410.093997802551</v>
      </c>
      <c r="BA158">
        <v>11815.53397679826</v>
      </c>
      <c r="BB158">
        <v>11748.5186458758</v>
      </c>
      <c r="BC158">
        <v>12204.61037613289</v>
      </c>
      <c r="BD158">
        <v>12655.210204040301</v>
      </c>
      <c r="BE158">
        <v>13006.161591467369</v>
      </c>
      <c r="BF158">
        <v>12956.12178635569</v>
      </c>
      <c r="BG158">
        <v>12842.46223660242</v>
      </c>
      <c r="BH158">
        <v>11845.72573597948</v>
      </c>
      <c r="BI158">
        <v>11753.60214096301</v>
      </c>
      <c r="BJ158">
        <v>12278.148605236031</v>
      </c>
      <c r="BK158">
        <v>12966.515132993691</v>
      </c>
      <c r="BL158">
        <v>12980.601787460149</v>
      </c>
      <c r="BM158">
        <v>12297.89776855016</v>
      </c>
      <c r="BN158">
        <v>13567.71345503548</v>
      </c>
      <c r="BO158">
        <v>15192.48884460125</v>
      </c>
      <c r="BP158">
        <v>15802.319654630141</v>
      </c>
      <c r="BQ158">
        <v>16262.7769556027</v>
      </c>
    </row>
    <row r="159" spans="1:69" x14ac:dyDescent="0.25">
      <c r="A159" t="s">
        <v>1351</v>
      </c>
      <c r="B159" t="s">
        <v>1352</v>
      </c>
      <c r="C159" t="s">
        <v>1580</v>
      </c>
      <c r="D159" t="s">
        <v>1581</v>
      </c>
      <c r="AI159">
        <v>8577.8623905838249</v>
      </c>
      <c r="AJ159">
        <v>9078.6055752872817</v>
      </c>
      <c r="AK159">
        <v>9469.6730468829246</v>
      </c>
      <c r="AL159">
        <v>9040.5055324632431</v>
      </c>
      <c r="AM159">
        <v>9465.9023545220298</v>
      </c>
      <c r="AN159">
        <v>8932.7304013028679</v>
      </c>
      <c r="AO159">
        <v>9495.710136101543</v>
      </c>
      <c r="AP159">
        <v>10182.087598628041</v>
      </c>
      <c r="AQ159">
        <v>10755.594410375341</v>
      </c>
      <c r="AR159">
        <v>11030.52143253843</v>
      </c>
      <c r="AS159">
        <v>11704.685353277329</v>
      </c>
      <c r="AT159">
        <v>11738.89286611832</v>
      </c>
      <c r="AU159">
        <v>11761.88659016664</v>
      </c>
      <c r="AV159">
        <v>12065.93685537206</v>
      </c>
      <c r="AW159">
        <v>12658.164666568729</v>
      </c>
      <c r="AX159">
        <v>13260.23881866687</v>
      </c>
      <c r="AY159">
        <v>14540.45004976364</v>
      </c>
      <c r="AZ159">
        <v>15031.580410916429</v>
      </c>
      <c r="BA159">
        <v>15680.576189688119</v>
      </c>
      <c r="BB159">
        <v>15190.874451917811</v>
      </c>
      <c r="BC159">
        <v>15909.14649636282</v>
      </c>
      <c r="BD159">
        <v>17266.812910654899</v>
      </c>
      <c r="BE159">
        <v>18004.793560754231</v>
      </c>
      <c r="BF159">
        <v>18170.26478991202</v>
      </c>
      <c r="BG159">
        <v>18820.799109858381</v>
      </c>
      <c r="BH159">
        <v>19071.444419646581</v>
      </c>
      <c r="BI159">
        <v>20104.583978747149</v>
      </c>
      <c r="BJ159">
        <v>20488.715080044141</v>
      </c>
      <c r="BK159">
        <v>20921.477527757172</v>
      </c>
      <c r="BL159">
        <v>20964.277484707181</v>
      </c>
      <c r="BM159">
        <v>19354.12487062439</v>
      </c>
      <c r="BN159">
        <v>20782.587741754542</v>
      </c>
      <c r="BO159">
        <v>23135.493160127618</v>
      </c>
      <c r="BP159">
        <v>25243.164488758201</v>
      </c>
      <c r="BQ159">
        <v>26185.356471325282</v>
      </c>
    </row>
    <row r="160" spans="1:69" x14ac:dyDescent="0.25">
      <c r="A160" t="s">
        <v>1353</v>
      </c>
      <c r="B160" t="s">
        <v>1354</v>
      </c>
      <c r="C160" t="s">
        <v>1580</v>
      </c>
      <c r="D160" t="s">
        <v>1581</v>
      </c>
      <c r="AI160">
        <v>2102.3452264902221</v>
      </c>
      <c r="AJ160">
        <v>2130.524332412961</v>
      </c>
      <c r="AK160">
        <v>2293.4109748754231</v>
      </c>
      <c r="AL160">
        <v>2451.5272745245429</v>
      </c>
      <c r="AM160">
        <v>2616.6485195743812</v>
      </c>
      <c r="AN160">
        <v>2857.7483169898119</v>
      </c>
      <c r="AO160">
        <v>2583.0043539536609</v>
      </c>
      <c r="AP160">
        <v>2434.0306013412128</v>
      </c>
      <c r="AQ160">
        <v>2422.271947512244</v>
      </c>
      <c r="AR160">
        <v>2400.3454912533612</v>
      </c>
      <c r="AS160">
        <v>2489.9694378080599</v>
      </c>
      <c r="AT160">
        <v>2700.2705458306732</v>
      </c>
      <c r="AU160">
        <v>2825.2447992705279</v>
      </c>
      <c r="AV160">
        <v>2824.278833671432</v>
      </c>
      <c r="AW160">
        <v>2879.90589671206</v>
      </c>
      <c r="AX160">
        <v>3016.7032437257421</v>
      </c>
      <c r="AY160">
        <v>3110.0522555356852</v>
      </c>
      <c r="AZ160">
        <v>3309.3975411276492</v>
      </c>
      <c r="BA160">
        <v>3118.2346710244169</v>
      </c>
      <c r="BB160">
        <v>3253.1508594037218</v>
      </c>
      <c r="BC160">
        <v>3473.4046989615922</v>
      </c>
      <c r="BD160">
        <v>3536.5600423524461</v>
      </c>
      <c r="BE160">
        <v>3589.6688038374391</v>
      </c>
      <c r="BF160">
        <v>3845.0035749216299</v>
      </c>
      <c r="BG160">
        <v>3931.3441064941512</v>
      </c>
      <c r="BH160">
        <v>4125.1616927563</v>
      </c>
      <c r="BI160">
        <v>4366.257642161886</v>
      </c>
      <c r="BJ160">
        <v>4719.3130492600058</v>
      </c>
      <c r="BK160">
        <v>5232.2052487184974</v>
      </c>
      <c r="BL160">
        <v>6045.0624078985848</v>
      </c>
      <c r="BM160">
        <v>6136.9711970213111</v>
      </c>
      <c r="BN160">
        <v>6767.9578551052846</v>
      </c>
      <c r="BO160">
        <v>7431.4275789549629</v>
      </c>
      <c r="BP160">
        <v>7548.7325374794418</v>
      </c>
      <c r="BQ160">
        <v>8194.6385475840307</v>
      </c>
    </row>
    <row r="161" spans="1:69" x14ac:dyDescent="0.25">
      <c r="A161" t="s">
        <v>1355</v>
      </c>
      <c r="B161" t="s">
        <v>1356</v>
      </c>
      <c r="C161" t="s">
        <v>1580</v>
      </c>
      <c r="D161" t="s">
        <v>1581</v>
      </c>
      <c r="AI161">
        <v>2476.8485625394278</v>
      </c>
      <c r="AJ161">
        <v>2595.538835500347</v>
      </c>
      <c r="AK161">
        <v>2712.870992563327</v>
      </c>
      <c r="AL161">
        <v>2832.422602467946</v>
      </c>
      <c r="AM161">
        <v>2966.1713360236131</v>
      </c>
      <c r="AN161">
        <v>3119.272925160627</v>
      </c>
      <c r="AO161">
        <v>3316.4541799115741</v>
      </c>
      <c r="AP161">
        <v>3492.8492836438918</v>
      </c>
      <c r="AQ161">
        <v>3531.155925682137</v>
      </c>
      <c r="AR161">
        <v>3666.1401648674919</v>
      </c>
      <c r="AS161">
        <v>3901.904101178236</v>
      </c>
      <c r="AT161">
        <v>4081.956043721606</v>
      </c>
      <c r="AU161">
        <v>4281.7505562272272</v>
      </c>
      <c r="AV161">
        <v>4556.9269157192984</v>
      </c>
      <c r="AW161">
        <v>4973.5541502798051</v>
      </c>
      <c r="AX161">
        <v>5421.751895399856</v>
      </c>
      <c r="AY161">
        <v>5972.6923738351434</v>
      </c>
      <c r="AZ161">
        <v>6574.7921701489604</v>
      </c>
      <c r="BA161">
        <v>7007.4900558484906</v>
      </c>
      <c r="BB161">
        <v>7259.553581150195</v>
      </c>
      <c r="BC161">
        <v>7835.3746466570601</v>
      </c>
      <c r="BD161">
        <v>8395.1294809359151</v>
      </c>
      <c r="BE161">
        <v>8910.6326501855874</v>
      </c>
      <c r="BF161">
        <v>9332.3513052684666</v>
      </c>
      <c r="BG161">
        <v>9659.4803367246768</v>
      </c>
      <c r="BH161">
        <v>9809.5362220285224</v>
      </c>
      <c r="BI161">
        <v>10185.53673404845</v>
      </c>
      <c r="BJ161">
        <v>10720.617259160839</v>
      </c>
      <c r="BK161">
        <v>11409.68155817455</v>
      </c>
      <c r="BL161">
        <v>12043.77997947208</v>
      </c>
      <c r="BM161">
        <v>12065.24428697489</v>
      </c>
      <c r="BN161">
        <v>13463.80409258014</v>
      </c>
      <c r="BO161">
        <v>14988.83837482892</v>
      </c>
      <c r="BP161">
        <v>16203.86821303501</v>
      </c>
      <c r="BQ161">
        <v>17211.757156672371</v>
      </c>
    </row>
    <row r="162" spans="1:69" x14ac:dyDescent="0.25">
      <c r="A162" t="s">
        <v>1357</v>
      </c>
      <c r="B162" t="s">
        <v>1358</v>
      </c>
      <c r="C162" t="s">
        <v>1580</v>
      </c>
      <c r="D162" t="s">
        <v>1581</v>
      </c>
      <c r="AI162">
        <v>5394.6116215589973</v>
      </c>
      <c r="AJ162">
        <v>5252.4858402290984</v>
      </c>
      <c r="AK162">
        <v>5077.4515231202549</v>
      </c>
      <c r="AL162">
        <v>4871.0831111882781</v>
      </c>
      <c r="AM162">
        <v>4922.4204335729473</v>
      </c>
      <c r="AN162">
        <v>4955.0146660420569</v>
      </c>
      <c r="AO162">
        <v>5069.9624821456327</v>
      </c>
      <c r="AP162">
        <v>5272.7478001580121</v>
      </c>
      <c r="AQ162">
        <v>5482.6655694456886</v>
      </c>
      <c r="AR162">
        <v>5769.4094203540408</v>
      </c>
      <c r="AS162">
        <v>6158.8692152485264</v>
      </c>
      <c r="AT162">
        <v>6014.8955192610129</v>
      </c>
      <c r="AU162">
        <v>6272.2644578746294</v>
      </c>
      <c r="AV162">
        <v>6376.0249043309832</v>
      </c>
      <c r="AW162">
        <v>6958.5692723237671</v>
      </c>
      <c r="AX162">
        <v>7662.8503269475532</v>
      </c>
      <c r="AY162">
        <v>8390.5321352868596</v>
      </c>
      <c r="AZ162">
        <v>9061.4280077459662</v>
      </c>
      <c r="BA162">
        <v>10225.9321014661</v>
      </c>
      <c r="BB162">
        <v>10820.05293114941</v>
      </c>
      <c r="BC162">
        <v>11322.81520337109</v>
      </c>
      <c r="BD162">
        <v>11794.989837406491</v>
      </c>
      <c r="BE162">
        <v>12056.90545502534</v>
      </c>
      <c r="BF162">
        <v>12802.12239747811</v>
      </c>
      <c r="BG162">
        <v>13589.877105256901</v>
      </c>
      <c r="BH162">
        <v>14045.07113717748</v>
      </c>
      <c r="BI162">
        <v>15348.68374958164</v>
      </c>
      <c r="BJ162">
        <v>15992.8944107442</v>
      </c>
      <c r="BK162">
        <v>17389.809890448741</v>
      </c>
      <c r="BL162">
        <v>19048.446584758261</v>
      </c>
      <c r="BM162">
        <v>18803.583568231468</v>
      </c>
      <c r="BN162">
        <v>21070.27547417317</v>
      </c>
      <c r="BO162">
        <v>23389.073364282322</v>
      </c>
      <c r="BP162">
        <v>25429.094470061551</v>
      </c>
      <c r="BQ162">
        <v>26986.56859674913</v>
      </c>
    </row>
    <row r="163" spans="1:69" x14ac:dyDescent="0.25">
      <c r="A163" t="s">
        <v>1359</v>
      </c>
      <c r="B163" t="s">
        <v>1360</v>
      </c>
      <c r="C163" t="s">
        <v>1580</v>
      </c>
      <c r="D163" t="s">
        <v>1581</v>
      </c>
      <c r="AI163">
        <v>955.94159585880311</v>
      </c>
      <c r="AJ163">
        <v>1091.470439257967</v>
      </c>
      <c r="AK163">
        <v>1038.7147712291951</v>
      </c>
      <c r="AL163">
        <v>1086.6809310440819</v>
      </c>
      <c r="AM163">
        <v>1146.9887372069661</v>
      </c>
      <c r="AN163">
        <v>1154.2854556609079</v>
      </c>
      <c r="AO163">
        <v>1223.582493029201</v>
      </c>
      <c r="AP163">
        <v>1266.8606423311769</v>
      </c>
      <c r="AQ163">
        <v>1332.1638419516789</v>
      </c>
      <c r="AR163">
        <v>1375.80601929103</v>
      </c>
      <c r="AS163">
        <v>1356.5173644085289</v>
      </c>
      <c r="AT163">
        <v>1558.7187019556341</v>
      </c>
      <c r="AU163">
        <v>1581.1110869134291</v>
      </c>
      <c r="AV163">
        <v>1714.89753907761</v>
      </c>
      <c r="AW163">
        <v>1730.092251630396</v>
      </c>
      <c r="AX163">
        <v>1770.677954359074</v>
      </c>
      <c r="AY163">
        <v>1831.549245440696</v>
      </c>
      <c r="AZ163">
        <v>1852.3628255546421</v>
      </c>
      <c r="BA163">
        <v>1893.495145284345</v>
      </c>
      <c r="BB163">
        <v>1944.698282290924</v>
      </c>
      <c r="BC163">
        <v>2011.678946124752</v>
      </c>
      <c r="BD163">
        <v>2046.2256706438829</v>
      </c>
      <c r="BE163">
        <v>1990.1480524109179</v>
      </c>
      <c r="BF163">
        <v>2059.2840764188099</v>
      </c>
      <c r="BG163">
        <v>2184.8766028166569</v>
      </c>
      <c r="BH163">
        <v>2330.2429394769201</v>
      </c>
      <c r="BI163">
        <v>2531.8049696348198</v>
      </c>
      <c r="BJ163">
        <v>2606.696079541407</v>
      </c>
      <c r="BK163">
        <v>2684.411220265747</v>
      </c>
      <c r="BL163">
        <v>2819.8658229725852</v>
      </c>
      <c r="BM163">
        <v>2723.7009478444152</v>
      </c>
      <c r="BN163">
        <v>2796.2279379543279</v>
      </c>
      <c r="BO163">
        <v>3014.421073268797</v>
      </c>
      <c r="BP163">
        <v>3174.6296027639569</v>
      </c>
      <c r="BQ163">
        <v>3314.7733223195919</v>
      </c>
    </row>
    <row r="164" spans="1:69" x14ac:dyDescent="0.25">
      <c r="A164" t="s">
        <v>1361</v>
      </c>
      <c r="B164" t="s">
        <v>1362</v>
      </c>
      <c r="C164" t="s">
        <v>1580</v>
      </c>
      <c r="D164" t="s">
        <v>1581</v>
      </c>
      <c r="AI164">
        <v>10172.23601240574</v>
      </c>
      <c r="AJ164">
        <v>10877.056977229609</v>
      </c>
      <c r="AK164">
        <v>11527.25679828395</v>
      </c>
      <c r="AL164">
        <v>12206.71455440385</v>
      </c>
      <c r="AM164">
        <v>13049.27748750721</v>
      </c>
      <c r="AN164">
        <v>14069.45595687069</v>
      </c>
      <c r="AO164">
        <v>14791.426605956911</v>
      </c>
      <c r="AP164">
        <v>15600.720690879591</v>
      </c>
      <c r="AQ164">
        <v>16320.90110866057</v>
      </c>
      <c r="AR164">
        <v>17031.054565088751</v>
      </c>
      <c r="AS164">
        <v>18229.196658633671</v>
      </c>
      <c r="AT164">
        <v>18324.976035414129</v>
      </c>
      <c r="AU164">
        <v>19156.5815289159</v>
      </c>
      <c r="AV164">
        <v>20081.511408429909</v>
      </c>
      <c r="AW164">
        <v>20757.826334503479</v>
      </c>
      <c r="AX164">
        <v>21364.61546540471</v>
      </c>
      <c r="AY164">
        <v>21918.383275500739</v>
      </c>
      <c r="AZ164">
        <v>23513.80792177601</v>
      </c>
      <c r="BA164">
        <v>24949.9047912397</v>
      </c>
      <c r="BB164">
        <v>25128.215044182911</v>
      </c>
      <c r="BC164">
        <v>27295.495983248329</v>
      </c>
      <c r="BD164">
        <v>27943.357637362449</v>
      </c>
      <c r="BE164">
        <v>29101.3988562999</v>
      </c>
      <c r="BF164">
        <v>31050.628863285088</v>
      </c>
      <c r="BG164">
        <v>33029.910863450299</v>
      </c>
      <c r="BH164">
        <v>35844.478646050593</v>
      </c>
      <c r="BI164">
        <v>38237.496210037018</v>
      </c>
      <c r="BJ164">
        <v>42648.449540917107</v>
      </c>
      <c r="BK164">
        <v>45384.054083561488</v>
      </c>
      <c r="BL164">
        <v>48408.928437552328</v>
      </c>
      <c r="BM164">
        <v>47071.615682099473</v>
      </c>
      <c r="BN164">
        <v>54094.9873781231</v>
      </c>
      <c r="BO164">
        <v>57834.396568966353</v>
      </c>
      <c r="BP164">
        <v>66568.59947529003</v>
      </c>
      <c r="BQ164">
        <v>71017.774425871685</v>
      </c>
    </row>
    <row r="165" spans="1:69" x14ac:dyDescent="0.25">
      <c r="A165" t="s">
        <v>1363</v>
      </c>
      <c r="B165" t="s">
        <v>1364</v>
      </c>
      <c r="C165" t="s">
        <v>1580</v>
      </c>
      <c r="D165" t="s">
        <v>1581</v>
      </c>
      <c r="AI165">
        <v>441.10328755154268</v>
      </c>
      <c r="AJ165">
        <v>446.58318049589849</v>
      </c>
      <c r="AK165">
        <v>494.08443747458051</v>
      </c>
      <c r="AL165">
        <v>529.2082155461062</v>
      </c>
      <c r="AM165">
        <v>573.2919239636999</v>
      </c>
      <c r="AN165">
        <v>617.89610142999584</v>
      </c>
      <c r="AO165">
        <v>661.21806056088974</v>
      </c>
      <c r="AP165">
        <v>701.62799014246127</v>
      </c>
      <c r="AQ165">
        <v>741.81747158813744</v>
      </c>
      <c r="AR165">
        <v>824.7810540025381</v>
      </c>
      <c r="AS165">
        <v>948.74828517804747</v>
      </c>
      <c r="AT165">
        <v>1068.825905219521</v>
      </c>
      <c r="AU165">
        <v>1203.8263073429</v>
      </c>
      <c r="AV165">
        <v>1384.528518259473</v>
      </c>
      <c r="AW165">
        <v>1600.841056085846</v>
      </c>
      <c r="AX165">
        <v>1860.454131576329</v>
      </c>
      <c r="AY165">
        <v>2152.867309470264</v>
      </c>
      <c r="AZ165">
        <v>2458.8574644013811</v>
      </c>
      <c r="BA165">
        <v>2748.0792133849091</v>
      </c>
      <c r="BB165">
        <v>3039.7998233771041</v>
      </c>
      <c r="BC165">
        <v>3348.1288949704922</v>
      </c>
      <c r="BD165">
        <v>3579.4048297062618</v>
      </c>
      <c r="BE165">
        <v>3845.152841536712</v>
      </c>
      <c r="BF165">
        <v>4143.6301273195859</v>
      </c>
      <c r="BG165">
        <v>4376.3883328127422</v>
      </c>
      <c r="BH165">
        <v>4458.6905444265858</v>
      </c>
      <c r="BI165">
        <v>4459.5398142747126</v>
      </c>
      <c r="BJ165">
        <v>4706.4324894959836</v>
      </c>
      <c r="BK165">
        <v>5581.2769545814954</v>
      </c>
      <c r="BL165">
        <v>6101.3724576570867</v>
      </c>
      <c r="BM165">
        <v>5740.9904584399173</v>
      </c>
      <c r="BN165">
        <v>5178.4471821716361</v>
      </c>
      <c r="BO165">
        <v>5731.937878724586</v>
      </c>
      <c r="BP165">
        <v>5953.3573516591287</v>
      </c>
      <c r="BQ165">
        <v>5997.4651632371524</v>
      </c>
    </row>
    <row r="166" spans="1:69" x14ac:dyDescent="0.25">
      <c r="A166" t="s">
        <v>1365</v>
      </c>
      <c r="B166" t="s">
        <v>1366</v>
      </c>
      <c r="C166" t="s">
        <v>1580</v>
      </c>
      <c r="D166" t="s">
        <v>1581</v>
      </c>
      <c r="AI166">
        <v>3737.5724720055291</v>
      </c>
      <c r="AJ166">
        <v>4026.560024049591</v>
      </c>
      <c r="AK166">
        <v>4196.6276202161444</v>
      </c>
      <c r="AL166">
        <v>4234.6837052339888</v>
      </c>
      <c r="AM166">
        <v>4289.0907974991087</v>
      </c>
      <c r="AN166">
        <v>4395.8238789476263</v>
      </c>
      <c r="AO166">
        <v>4629.0001931534389</v>
      </c>
      <c r="AP166">
        <v>4751.9977972388788</v>
      </c>
      <c r="AQ166">
        <v>4949.1941073178796</v>
      </c>
      <c r="AR166">
        <v>5121.9535961047477</v>
      </c>
      <c r="AS166">
        <v>5433.1195662891923</v>
      </c>
      <c r="AT166">
        <v>5589.5053047451174</v>
      </c>
      <c r="AU166">
        <v>5746.9984746886184</v>
      </c>
      <c r="AV166">
        <v>5884.4292425775548</v>
      </c>
      <c r="AW166">
        <v>6368.4366458419854</v>
      </c>
      <c r="AX166">
        <v>6725.7038871873056</v>
      </c>
      <c r="AY166">
        <v>7143.3924641952344</v>
      </c>
      <c r="AZ166">
        <v>7602.2657085089386</v>
      </c>
      <c r="BA166">
        <v>7822.0045627498948</v>
      </c>
      <c r="BB166">
        <v>7897.7142151675607</v>
      </c>
      <c r="BC166">
        <v>8198.7884458167991</v>
      </c>
      <c r="BD166">
        <v>8227.8755720978661</v>
      </c>
      <c r="BE166">
        <v>8404.9790592155459</v>
      </c>
      <c r="BF166">
        <v>8382.0458816594419</v>
      </c>
      <c r="BG166">
        <v>8275.1273418351684</v>
      </c>
      <c r="BH166">
        <v>7969.6283599510434</v>
      </c>
      <c r="BI166">
        <v>8078.9288684247622</v>
      </c>
      <c r="BJ166">
        <v>8408.9297885017022</v>
      </c>
      <c r="BK166">
        <v>8745.3274271153005</v>
      </c>
      <c r="BL166">
        <v>8763.9897593671794</v>
      </c>
      <c r="BM166">
        <v>8889.5988511414344</v>
      </c>
      <c r="BN166">
        <v>9412.5591439339805</v>
      </c>
      <c r="BO166">
        <v>10374.610105122239</v>
      </c>
      <c r="BP166">
        <v>10869.502634170391</v>
      </c>
      <c r="BQ166">
        <v>11220.606998116549</v>
      </c>
    </row>
    <row r="167" spans="1:69" x14ac:dyDescent="0.25">
      <c r="A167" t="s">
        <v>1367</v>
      </c>
      <c r="B167" t="s">
        <v>1368</v>
      </c>
      <c r="C167" t="s">
        <v>1580</v>
      </c>
      <c r="D167" t="s">
        <v>1581</v>
      </c>
      <c r="AP167">
        <v>5803.1772121880467</v>
      </c>
      <c r="AQ167">
        <v>6174.7714858105219</v>
      </c>
      <c r="AR167">
        <v>5689.0591563256748</v>
      </c>
      <c r="AS167">
        <v>6008.7042235508588</v>
      </c>
      <c r="AT167">
        <v>6731.1113132280288</v>
      </c>
      <c r="AU167">
        <v>6963.8235881376577</v>
      </c>
      <c r="AV167">
        <v>7082.4432824468731</v>
      </c>
      <c r="AW167">
        <v>7547.6694621306387</v>
      </c>
      <c r="AX167">
        <v>7990.9438253130538</v>
      </c>
      <c r="AY167">
        <v>9855.4533072063659</v>
      </c>
      <c r="AZ167">
        <v>11706.547016593489</v>
      </c>
      <c r="BA167">
        <v>12919.58193447528</v>
      </c>
      <c r="BB167">
        <v>12175.016535805091</v>
      </c>
      <c r="BC167">
        <v>12852.47054829445</v>
      </c>
      <c r="BD167">
        <v>13624.581865188969</v>
      </c>
      <c r="BE167">
        <v>13067.4275912672</v>
      </c>
      <c r="BF167">
        <v>13766.59139872621</v>
      </c>
      <c r="BG167">
        <v>14331.938254911</v>
      </c>
      <c r="BH167">
        <v>15033.06126564962</v>
      </c>
      <c r="BI167">
        <v>16815.26594231659</v>
      </c>
      <c r="BJ167">
        <v>18038.989697877299</v>
      </c>
      <c r="BK167">
        <v>19860.782737344791</v>
      </c>
      <c r="BL167">
        <v>22329.143535659459</v>
      </c>
      <c r="BM167">
        <v>19427.737408464669</v>
      </c>
      <c r="BN167">
        <v>22541.087923114552</v>
      </c>
      <c r="BO167">
        <v>26911.325102792831</v>
      </c>
      <c r="BP167">
        <v>32199.70319586301</v>
      </c>
      <c r="BQ167">
        <v>34806.948319581687</v>
      </c>
    </row>
    <row r="168" spans="1:69" x14ac:dyDescent="0.25">
      <c r="A168" t="s">
        <v>1369</v>
      </c>
      <c r="B168" t="s">
        <v>1370</v>
      </c>
      <c r="C168" t="s">
        <v>1580</v>
      </c>
      <c r="D168" t="s">
        <v>1581</v>
      </c>
      <c r="AI168">
        <v>3479.2873451754358</v>
      </c>
      <c r="AJ168">
        <v>3183.1847785402661</v>
      </c>
      <c r="AK168">
        <v>2951.0236200657419</v>
      </c>
      <c r="AL168">
        <v>2928.8379941033968</v>
      </c>
      <c r="AM168">
        <v>3021.3609426520652</v>
      </c>
      <c r="AN168">
        <v>3228.9736976925942</v>
      </c>
      <c r="AO168">
        <v>3310.1608704122168</v>
      </c>
      <c r="AP168">
        <v>3449.2343597121949</v>
      </c>
      <c r="AQ168">
        <v>3554.7688673121838</v>
      </c>
      <c r="AR168">
        <v>3663.7271123394221</v>
      </c>
      <c r="AS168">
        <v>3739.6966685105058</v>
      </c>
      <c r="AT168">
        <v>3888.8552858133221</v>
      </c>
      <c r="AU168">
        <v>4083.3842216606699</v>
      </c>
      <c r="AV168">
        <v>4399.3653792501354</v>
      </c>
      <c r="AW168">
        <v>4941.826636942621</v>
      </c>
      <c r="AX168">
        <v>5406.1434198027746</v>
      </c>
      <c r="AY168">
        <v>5977.1968872995058</v>
      </c>
      <c r="AZ168">
        <v>6678.0547435763683</v>
      </c>
      <c r="BA168">
        <v>7296.5807367162224</v>
      </c>
      <c r="BB168">
        <v>7119.3942421188376</v>
      </c>
      <c r="BC168">
        <v>7531.6255744264754</v>
      </c>
      <c r="BD168">
        <v>8861.8205286930424</v>
      </c>
      <c r="BE168">
        <v>10151.721799816531</v>
      </c>
      <c r="BF168">
        <v>10442.385050449349</v>
      </c>
      <c r="BG168">
        <v>10900.230519785749</v>
      </c>
      <c r="BH168">
        <v>10458.302724052421</v>
      </c>
      <c r="BI168">
        <v>10511.383106314081</v>
      </c>
      <c r="BJ168">
        <v>11096.037560423851</v>
      </c>
      <c r="BK168">
        <v>12317.48242776947</v>
      </c>
      <c r="BL168">
        <v>13604.97894319405</v>
      </c>
      <c r="BM168">
        <v>13693.179806943001</v>
      </c>
      <c r="BN168">
        <v>14792.250908642211</v>
      </c>
      <c r="BO168">
        <v>16401.98947515307</v>
      </c>
      <c r="BP168">
        <v>18004.851205835472</v>
      </c>
      <c r="BQ168">
        <v>19144.726136849778</v>
      </c>
    </row>
    <row r="169" spans="1:69" x14ac:dyDescent="0.25">
      <c r="A169" t="s">
        <v>1371</v>
      </c>
      <c r="B169" t="s">
        <v>1372</v>
      </c>
      <c r="C169" t="s">
        <v>1580</v>
      </c>
      <c r="D169" t="s">
        <v>1581</v>
      </c>
    </row>
    <row r="170" spans="1:69" x14ac:dyDescent="0.25">
      <c r="A170" t="s">
        <v>1373</v>
      </c>
      <c r="B170" t="s">
        <v>1374</v>
      </c>
      <c r="C170" t="s">
        <v>1580</v>
      </c>
      <c r="D170" t="s">
        <v>1581</v>
      </c>
      <c r="AI170">
        <v>296.03850872300478</v>
      </c>
      <c r="AJ170">
        <v>314.93003875830249</v>
      </c>
      <c r="AK170">
        <v>291.98933275155281</v>
      </c>
      <c r="AL170">
        <v>321.27851896221472</v>
      </c>
      <c r="AM170">
        <v>326.44168446490471</v>
      </c>
      <c r="AN170">
        <v>320.59989030494961</v>
      </c>
      <c r="AO170">
        <v>349.73193868479842</v>
      </c>
      <c r="AP170">
        <v>387.05904430548338</v>
      </c>
      <c r="AQ170">
        <v>422.26728157408729</v>
      </c>
      <c r="AR170">
        <v>468.20866853802897</v>
      </c>
      <c r="AS170">
        <v>471.96732976179078</v>
      </c>
      <c r="AT170">
        <v>532.62731016045643</v>
      </c>
      <c r="AU170">
        <v>580.04092142718525</v>
      </c>
      <c r="AV170">
        <v>619.9875106817716</v>
      </c>
      <c r="AW170">
        <v>673.34571726878096</v>
      </c>
      <c r="AX170">
        <v>721.41176194348611</v>
      </c>
      <c r="AY170">
        <v>798.38766764254149</v>
      </c>
      <c r="AZ170">
        <v>861.98768274353915</v>
      </c>
      <c r="BA170">
        <v>916.15585023395795</v>
      </c>
      <c r="BB170">
        <v>951.48545376385766</v>
      </c>
      <c r="BC170">
        <v>1000.2411486648</v>
      </c>
      <c r="BD170">
        <v>1063.655432963109</v>
      </c>
      <c r="BE170">
        <v>1075.877860853609</v>
      </c>
      <c r="BF170">
        <v>1113.752527592904</v>
      </c>
      <c r="BG170">
        <v>1165.8282660750481</v>
      </c>
      <c r="BH170">
        <v>1317.887859568217</v>
      </c>
      <c r="BI170">
        <v>1379.1074002869061</v>
      </c>
      <c r="BJ170">
        <v>1282.749659918014</v>
      </c>
      <c r="BK170">
        <v>1325.586955689527</v>
      </c>
      <c r="BL170">
        <v>1388.7970703444621</v>
      </c>
      <c r="BM170">
        <v>1411.6204022991119</v>
      </c>
      <c r="BN170">
        <v>1457.2354093092149</v>
      </c>
      <c r="BO170">
        <v>1581.944194426201</v>
      </c>
      <c r="BP170">
        <v>1678.3911824368081</v>
      </c>
      <c r="BQ170">
        <v>1705.3791952041599</v>
      </c>
    </row>
    <row r="171" spans="1:69" x14ac:dyDescent="0.25">
      <c r="A171" t="s">
        <v>1375</v>
      </c>
      <c r="B171" t="s">
        <v>1376</v>
      </c>
      <c r="C171" t="s">
        <v>1580</v>
      </c>
      <c r="D171" t="s">
        <v>1581</v>
      </c>
      <c r="AI171">
        <v>2070.2906283639331</v>
      </c>
      <c r="AJ171">
        <v>2115.8536822102942</v>
      </c>
      <c r="AK171">
        <v>2121.8576873842412</v>
      </c>
      <c r="AL171">
        <v>2208.5726114668132</v>
      </c>
      <c r="AM171">
        <v>2113.6583827724098</v>
      </c>
      <c r="AN171">
        <v>2305.7551949439098</v>
      </c>
      <c r="AO171">
        <v>2435.9464668242499</v>
      </c>
      <c r="AP171">
        <v>2325.3491061230002</v>
      </c>
      <c r="AQ171">
        <v>2354.9382897834562</v>
      </c>
      <c r="AR171">
        <v>2410.6744838688569</v>
      </c>
      <c r="AS171">
        <v>2303.6663970776949</v>
      </c>
      <c r="AT171">
        <v>2279.7271147848292</v>
      </c>
      <c r="AU171">
        <v>2295.805009953307</v>
      </c>
      <c r="AV171">
        <v>2446.69817773871</v>
      </c>
      <c r="AW171">
        <v>2570.294049119967</v>
      </c>
      <c r="AX171">
        <v>2809.0350814569078</v>
      </c>
      <c r="AY171">
        <v>3341.7071835500092</v>
      </c>
      <c r="AZ171">
        <v>3278.2766139400178</v>
      </c>
      <c r="BA171">
        <v>3235.9978216103641</v>
      </c>
      <c r="BB171">
        <v>3158.7441428670818</v>
      </c>
      <c r="BC171">
        <v>3177.844365611651</v>
      </c>
      <c r="BD171">
        <v>3270.862513418881</v>
      </c>
      <c r="BE171">
        <v>3464.976610992695</v>
      </c>
      <c r="BF171">
        <v>3831.0471101234771</v>
      </c>
      <c r="BG171">
        <v>3865.1425867687049</v>
      </c>
      <c r="BH171">
        <v>3977.6117127586322</v>
      </c>
      <c r="BI171">
        <v>4682.7025969003298</v>
      </c>
      <c r="BJ171">
        <v>5353.0660881040694</v>
      </c>
      <c r="BK171">
        <v>5429.2322305978414</v>
      </c>
      <c r="BL171">
        <v>5610.1323671389173</v>
      </c>
      <c r="BM171">
        <v>5740.7395969012896</v>
      </c>
      <c r="BN171">
        <v>5836.5658082189693</v>
      </c>
      <c r="BO171">
        <v>6484.8279213263068</v>
      </c>
      <c r="BP171">
        <v>6965.9095357471451</v>
      </c>
      <c r="BQ171">
        <v>7368.7527529021381</v>
      </c>
    </row>
    <row r="172" spans="1:69" x14ac:dyDescent="0.25">
      <c r="A172" t="s">
        <v>1377</v>
      </c>
      <c r="B172" t="s">
        <v>1378</v>
      </c>
      <c r="C172" t="s">
        <v>1580</v>
      </c>
      <c r="D172" t="s">
        <v>1581</v>
      </c>
      <c r="AI172">
        <v>5009.8797210859966</v>
      </c>
      <c r="AJ172">
        <v>5350.9551672450971</v>
      </c>
      <c r="AK172">
        <v>5753.1322212175573</v>
      </c>
      <c r="AL172">
        <v>6115.8706194751858</v>
      </c>
      <c r="AM172">
        <v>6414.3818662311724</v>
      </c>
      <c r="AN172">
        <v>6771.1910132389858</v>
      </c>
      <c r="AO172">
        <v>7206.3637788304786</v>
      </c>
      <c r="AP172">
        <v>7651.1596593107997</v>
      </c>
      <c r="AQ172">
        <v>8121.1059052772298</v>
      </c>
      <c r="AR172">
        <v>8344.3105843928715</v>
      </c>
      <c r="AS172">
        <v>9143.0073732792043</v>
      </c>
      <c r="AT172">
        <v>9585.8047303180974</v>
      </c>
      <c r="AU172">
        <v>9823.5399640531541</v>
      </c>
      <c r="AV172">
        <v>10534.557253036121</v>
      </c>
      <c r="AW172">
        <v>11215.700278435779</v>
      </c>
      <c r="AX172">
        <v>11703.476524445139</v>
      </c>
      <c r="AY172">
        <v>12592.521894660829</v>
      </c>
      <c r="AZ172">
        <v>13612.251298953301</v>
      </c>
      <c r="BA172">
        <v>14569.153120772829</v>
      </c>
      <c r="BB172">
        <v>15104.80815487459</v>
      </c>
      <c r="BC172">
        <v>15919.66227625246</v>
      </c>
      <c r="BD172">
        <v>16883.565820961008</v>
      </c>
      <c r="BE172">
        <v>17259.4018011357</v>
      </c>
      <c r="BF172">
        <v>18435.203185865241</v>
      </c>
      <c r="BG172">
        <v>19294.46828295555</v>
      </c>
      <c r="BH172">
        <v>20269.523509561051</v>
      </c>
      <c r="BI172">
        <v>21951.83074331106</v>
      </c>
      <c r="BJ172">
        <v>22897.97009221022</v>
      </c>
      <c r="BK172">
        <v>23415.523758911801</v>
      </c>
      <c r="BL172">
        <v>24374.781828656629</v>
      </c>
      <c r="BM172">
        <v>21621.597122515759</v>
      </c>
      <c r="BN172">
        <v>23010.20138269052</v>
      </c>
      <c r="BO172">
        <v>26874.489992759289</v>
      </c>
      <c r="BP172">
        <v>29560.71372300787</v>
      </c>
      <c r="BQ172">
        <v>31839.7597535524</v>
      </c>
    </row>
    <row r="173" spans="1:69" x14ac:dyDescent="0.25">
      <c r="A173" t="s">
        <v>1379</v>
      </c>
      <c r="B173" t="s">
        <v>1380</v>
      </c>
      <c r="C173" t="s">
        <v>1580</v>
      </c>
      <c r="D173" t="s">
        <v>1581</v>
      </c>
      <c r="AI173">
        <v>671.50343030820909</v>
      </c>
      <c r="AJ173">
        <v>731.94047491349193</v>
      </c>
      <c r="AK173">
        <v>673.81597720879211</v>
      </c>
      <c r="AL173">
        <v>745.6821832611372</v>
      </c>
      <c r="AM173">
        <v>691.62613437684729</v>
      </c>
      <c r="AN173">
        <v>825.45412571728423</v>
      </c>
      <c r="AO173">
        <v>884.4563469865376</v>
      </c>
      <c r="AP173">
        <v>915.27922497142424</v>
      </c>
      <c r="AQ173">
        <v>941.05149643322591</v>
      </c>
      <c r="AR173">
        <v>960.71082298941576</v>
      </c>
      <c r="AS173">
        <v>974.31013749967735</v>
      </c>
      <c r="AT173">
        <v>924.05636827923536</v>
      </c>
      <c r="AU173">
        <v>931.28350753135589</v>
      </c>
      <c r="AV173">
        <v>979.03897793203782</v>
      </c>
      <c r="AW173">
        <v>1032.802139092762</v>
      </c>
      <c r="AX173">
        <v>1070.935909577365</v>
      </c>
      <c r="AY173">
        <v>1124.438269122898</v>
      </c>
      <c r="AZ173">
        <v>1230.5638544132869</v>
      </c>
      <c r="BA173">
        <v>1311.449997919842</v>
      </c>
      <c r="BB173">
        <v>1387.789915617579</v>
      </c>
      <c r="BC173">
        <v>1457.6056830959619</v>
      </c>
      <c r="BD173">
        <v>1516.211183191502</v>
      </c>
      <c r="BE173">
        <v>1464.0432395779601</v>
      </c>
      <c r="BF173">
        <v>1558.112247452033</v>
      </c>
      <c r="BG173">
        <v>1505.5519040402439</v>
      </c>
      <c r="BH173">
        <v>1403.084512092345</v>
      </c>
      <c r="BI173">
        <v>1409.958027035326</v>
      </c>
      <c r="BJ173">
        <v>1380.232636217371</v>
      </c>
      <c r="BK173">
        <v>1363.794455950881</v>
      </c>
      <c r="BL173">
        <v>1450.0100806478349</v>
      </c>
      <c r="BM173">
        <v>1513.459908033444</v>
      </c>
      <c r="BN173">
        <v>1687.5935817965069</v>
      </c>
      <c r="BO173">
        <v>1778.305821460008</v>
      </c>
      <c r="BP173">
        <v>1830.464612874423</v>
      </c>
      <c r="BQ173">
        <v>1857.6175695030461</v>
      </c>
    </row>
    <row r="174" spans="1:69" x14ac:dyDescent="0.25">
      <c r="A174" t="s">
        <v>1381</v>
      </c>
      <c r="B174" t="s">
        <v>1382</v>
      </c>
      <c r="C174" t="s">
        <v>1580</v>
      </c>
      <c r="D174" t="s">
        <v>1581</v>
      </c>
      <c r="AI174">
        <v>6886.6331252037708</v>
      </c>
      <c r="AJ174">
        <v>7582.5694309494129</v>
      </c>
      <c r="AK174">
        <v>8223.8029593778137</v>
      </c>
      <c r="AL174">
        <v>9018.0624936918684</v>
      </c>
      <c r="AM174">
        <v>9806.4717913274508</v>
      </c>
      <c r="AN174">
        <v>10720.253469188299</v>
      </c>
      <c r="AO174">
        <v>11709.26699948667</v>
      </c>
      <c r="AP174">
        <v>12469.35900630341</v>
      </c>
      <c r="AQ174">
        <v>11398.098712214571</v>
      </c>
      <c r="AR174">
        <v>11979.67971410465</v>
      </c>
      <c r="AS174">
        <v>13027.27333866566</v>
      </c>
      <c r="AT174">
        <v>13071.581413897509</v>
      </c>
      <c r="AU174">
        <v>13656.045890437919</v>
      </c>
      <c r="AV174">
        <v>14387.24849149986</v>
      </c>
      <c r="AW174">
        <v>15415.80634026195</v>
      </c>
      <c r="AX174">
        <v>16371.426081797381</v>
      </c>
      <c r="AY174">
        <v>17426.361167892039</v>
      </c>
      <c r="AZ174">
        <v>18616.807076761688</v>
      </c>
      <c r="BA174">
        <v>19479.879959056401</v>
      </c>
      <c r="BB174">
        <v>18922.645950841768</v>
      </c>
      <c r="BC174">
        <v>20193.40929454326</v>
      </c>
      <c r="BD174">
        <v>21324.359499649821</v>
      </c>
      <c r="BE174">
        <v>22638.54069440093</v>
      </c>
      <c r="BF174">
        <v>23160.8924510627</v>
      </c>
      <c r="BG174">
        <v>24306.52123384146</v>
      </c>
      <c r="BH174">
        <v>24526.394271601159</v>
      </c>
      <c r="BI174">
        <v>25285.82135413908</v>
      </c>
      <c r="BJ174">
        <v>26415.59602032874</v>
      </c>
      <c r="BK174">
        <v>27793.567422294811</v>
      </c>
      <c r="BL174">
        <v>28933.928297233011</v>
      </c>
      <c r="BM174">
        <v>27474.73613782362</v>
      </c>
      <c r="BN174">
        <v>29822.84918316183</v>
      </c>
      <c r="BO174">
        <v>34419.86849756656</v>
      </c>
      <c r="BP174">
        <v>36466.89149383334</v>
      </c>
      <c r="BQ174">
        <v>38779.283044225267</v>
      </c>
    </row>
    <row r="175" spans="1:69" x14ac:dyDescent="0.25">
      <c r="A175" t="s">
        <v>1383</v>
      </c>
      <c r="B175" t="s">
        <v>1384</v>
      </c>
      <c r="C175" t="s">
        <v>1580</v>
      </c>
      <c r="D175" t="s">
        <v>1581</v>
      </c>
      <c r="AI175">
        <v>23525.445655755691</v>
      </c>
      <c r="AJ175">
        <v>23933.370373466569</v>
      </c>
      <c r="AK175">
        <v>24943.28657607648</v>
      </c>
      <c r="AL175">
        <v>25897.22914596615</v>
      </c>
      <c r="AM175">
        <v>27193.801354619849</v>
      </c>
      <c r="AN175">
        <v>28176.287289570049</v>
      </c>
      <c r="AO175">
        <v>29384.804474607408</v>
      </c>
      <c r="AP175">
        <v>30849.591088185211</v>
      </c>
      <c r="AQ175">
        <v>32213.09355969329</v>
      </c>
      <c r="AR175">
        <v>33862.636901857994</v>
      </c>
      <c r="AS175">
        <v>35648.767599557839</v>
      </c>
      <c r="AT175">
        <v>36461.403075988746</v>
      </c>
      <c r="AU175">
        <v>37310.44962100964</v>
      </c>
      <c r="AV175">
        <v>38792.546380702253</v>
      </c>
      <c r="AW175">
        <v>40962.553286874107</v>
      </c>
      <c r="AX175">
        <v>43361.249041525487</v>
      </c>
      <c r="AY175">
        <v>45502.334891757891</v>
      </c>
      <c r="AZ175">
        <v>47221.554774516953</v>
      </c>
      <c r="BA175">
        <v>47768.076905966736</v>
      </c>
      <c r="BB175">
        <v>46376.851766522639</v>
      </c>
      <c r="BC175">
        <v>47801.474112495773</v>
      </c>
      <c r="BD175">
        <v>49199.801662668149</v>
      </c>
      <c r="BE175">
        <v>50775.277883987459</v>
      </c>
      <c r="BF175">
        <v>52403.758067460003</v>
      </c>
      <c r="BG175">
        <v>54217.977244461938</v>
      </c>
      <c r="BH175">
        <v>55636.553846256189</v>
      </c>
      <c r="BI175">
        <v>56828.1260389573</v>
      </c>
      <c r="BJ175">
        <v>58871.959595165412</v>
      </c>
      <c r="BK175">
        <v>61572.550591872146</v>
      </c>
      <c r="BL175">
        <v>63726.413338972627</v>
      </c>
      <c r="BM175">
        <v>62778.634840329272</v>
      </c>
      <c r="BN175">
        <v>69833.49487610154</v>
      </c>
      <c r="BO175">
        <v>76412.998870328185</v>
      </c>
      <c r="BP175">
        <v>80387.021822965035</v>
      </c>
      <c r="BQ175">
        <v>83521.838579897274</v>
      </c>
    </row>
    <row r="176" spans="1:69" x14ac:dyDescent="0.25">
      <c r="A176" t="s">
        <v>1385</v>
      </c>
      <c r="B176" t="s">
        <v>1386</v>
      </c>
      <c r="C176" t="s">
        <v>1580</v>
      </c>
      <c r="D176" t="s">
        <v>1581</v>
      </c>
      <c r="AI176">
        <v>3875.470432103632</v>
      </c>
      <c r="AJ176">
        <v>4191.707934186451</v>
      </c>
      <c r="AK176">
        <v>4451.9356435536656</v>
      </c>
      <c r="AL176">
        <v>4344.6245210123316</v>
      </c>
      <c r="AM176">
        <v>4376.0654524912552</v>
      </c>
      <c r="AN176">
        <v>4509.1297291076307</v>
      </c>
      <c r="AO176">
        <v>4611.7580003230187</v>
      </c>
      <c r="AP176">
        <v>4764.3407806440746</v>
      </c>
      <c r="AQ176">
        <v>4851.5922938840076</v>
      </c>
      <c r="AR176">
        <v>4961.1243265678104</v>
      </c>
      <c r="AS176">
        <v>5128.6143364462077</v>
      </c>
      <c r="AT176">
        <v>5196.1500983619917</v>
      </c>
      <c r="AU176">
        <v>5433.2690272384343</v>
      </c>
      <c r="AV176">
        <v>5692.6337375287167</v>
      </c>
      <c r="AW176">
        <v>6479.7636896582862</v>
      </c>
      <c r="AX176">
        <v>6766.5998120604982</v>
      </c>
      <c r="AY176">
        <v>7373.7582221188823</v>
      </c>
      <c r="AZ176">
        <v>7874.9314450828779</v>
      </c>
      <c r="BA176">
        <v>8124.8151788674859</v>
      </c>
      <c r="BB176">
        <v>8079.3839228621819</v>
      </c>
      <c r="BC176">
        <v>8538.1999539594781</v>
      </c>
      <c r="BD176">
        <v>9002.2300453705739</v>
      </c>
      <c r="BE176">
        <v>9363.7663231802926</v>
      </c>
      <c r="BF176">
        <v>9699.2083777864973</v>
      </c>
      <c r="BG176">
        <v>10365.309059678069</v>
      </c>
      <c r="BH176">
        <v>10465.892055851629</v>
      </c>
      <c r="BI176">
        <v>10200.139260973319</v>
      </c>
      <c r="BJ176">
        <v>9887.9393548254957</v>
      </c>
      <c r="BK176">
        <v>9853.7353364607407</v>
      </c>
      <c r="BL176">
        <v>9609.4855567287359</v>
      </c>
      <c r="BM176">
        <v>9354.1313671307707</v>
      </c>
      <c r="BN176">
        <v>9709.0993064677059</v>
      </c>
      <c r="BO176">
        <v>10662.701706411861</v>
      </c>
      <c r="BP176">
        <v>11251.237031381879</v>
      </c>
      <c r="BQ176">
        <v>11686.602066188079</v>
      </c>
    </row>
    <row r="177" spans="1:69" x14ac:dyDescent="0.25">
      <c r="A177" t="s">
        <v>1387</v>
      </c>
      <c r="B177" t="s">
        <v>1388</v>
      </c>
      <c r="C177" t="s">
        <v>1580</v>
      </c>
      <c r="D177" t="s">
        <v>1581</v>
      </c>
    </row>
    <row r="178" spans="1:69" x14ac:dyDescent="0.25">
      <c r="A178" t="s">
        <v>1389</v>
      </c>
      <c r="B178" t="s">
        <v>1390</v>
      </c>
      <c r="C178" t="s">
        <v>1580</v>
      </c>
      <c r="D178" t="s">
        <v>1581</v>
      </c>
      <c r="AI178">
        <v>739.10885097428593</v>
      </c>
      <c r="AJ178">
        <v>737.52892132767079</v>
      </c>
      <c r="AK178">
        <v>745.80431010743916</v>
      </c>
      <c r="AL178">
        <v>742.10718079702679</v>
      </c>
      <c r="AM178">
        <v>747.57567767683747</v>
      </c>
      <c r="AN178">
        <v>756.545588583376</v>
      </c>
      <c r="AO178">
        <v>745.81084401480973</v>
      </c>
      <c r="AP178">
        <v>745.10552392562795</v>
      </c>
      <c r="AQ178">
        <v>801.04693969991638</v>
      </c>
      <c r="AR178">
        <v>783.18387709162698</v>
      </c>
      <c r="AS178">
        <v>764.28188514315957</v>
      </c>
      <c r="AT178">
        <v>809.38718690937503</v>
      </c>
      <c r="AU178">
        <v>832.46936440920501</v>
      </c>
      <c r="AV178">
        <v>836.97844059323563</v>
      </c>
      <c r="AW178">
        <v>832.12519659952272</v>
      </c>
      <c r="AX178">
        <v>888.30426254383917</v>
      </c>
      <c r="AY178">
        <v>935.17532935428608</v>
      </c>
      <c r="AZ178">
        <v>954.89228011055457</v>
      </c>
      <c r="BA178">
        <v>1010.431846211695</v>
      </c>
      <c r="BB178">
        <v>998.7925015047781</v>
      </c>
      <c r="BC178">
        <v>1057.511002573847</v>
      </c>
      <c r="BD178">
        <v>1064.419173903608</v>
      </c>
      <c r="BE178">
        <v>1161.789082897667</v>
      </c>
      <c r="BF178">
        <v>1137.7690412957079</v>
      </c>
      <c r="BG178">
        <v>1161.325157237927</v>
      </c>
      <c r="BH178">
        <v>1172.1917875895499</v>
      </c>
      <c r="BI178">
        <v>1188.55709229837</v>
      </c>
      <c r="BJ178">
        <v>1208.146099552662</v>
      </c>
      <c r="BK178">
        <v>1275.996439353275</v>
      </c>
      <c r="BL178">
        <v>1419.168050701931</v>
      </c>
      <c r="BM178">
        <v>1496.8335002302199</v>
      </c>
      <c r="BN178">
        <v>1585.5992202118821</v>
      </c>
      <c r="BO178">
        <v>1839.9690967590329</v>
      </c>
      <c r="BP178">
        <v>1875.1530677062749</v>
      </c>
      <c r="BQ178">
        <v>2049.9330525101882</v>
      </c>
    </row>
    <row r="179" spans="1:69" x14ac:dyDescent="0.25">
      <c r="A179" t="s">
        <v>1391</v>
      </c>
      <c r="B179" t="s">
        <v>1392</v>
      </c>
      <c r="C179" t="s">
        <v>1580</v>
      </c>
      <c r="D179" t="s">
        <v>1581</v>
      </c>
      <c r="AI179">
        <v>2839.8433095583782</v>
      </c>
      <c r="AJ179">
        <v>2869.6033697015218</v>
      </c>
      <c r="AK179">
        <v>2991.35134943498</v>
      </c>
      <c r="AL179">
        <v>2921.4770451700228</v>
      </c>
      <c r="AM179">
        <v>2853.330804166083</v>
      </c>
      <c r="AN179">
        <v>2835.2891225085482</v>
      </c>
      <c r="AO179">
        <v>2930.7133314587181</v>
      </c>
      <c r="AP179">
        <v>2989.9611446326512</v>
      </c>
      <c r="AQ179">
        <v>3021.6034115196062</v>
      </c>
      <c r="AR179">
        <v>3002.0770373243149</v>
      </c>
      <c r="AS179">
        <v>3138.9913891040119</v>
      </c>
      <c r="AT179">
        <v>3308.5061147954329</v>
      </c>
      <c r="AU179">
        <v>3770.179348818197</v>
      </c>
      <c r="AV179">
        <v>4014.8669535493559</v>
      </c>
      <c r="AW179">
        <v>4381.1368282511658</v>
      </c>
      <c r="AX179">
        <v>4678.0916324517329</v>
      </c>
      <c r="AY179">
        <v>4975.2697931496659</v>
      </c>
      <c r="AZ179">
        <v>5297.9702950328492</v>
      </c>
      <c r="BA179">
        <v>5607.0084015075763</v>
      </c>
      <c r="BB179">
        <v>5927.4611176863482</v>
      </c>
      <c r="BC179">
        <v>6301.1837254479087</v>
      </c>
      <c r="BD179">
        <v>6585.3619327103488</v>
      </c>
      <c r="BE179">
        <v>6670.8382624362685</v>
      </c>
      <c r="BF179">
        <v>7004.1311955447673</v>
      </c>
      <c r="BG179">
        <v>7396.1283553294716</v>
      </c>
      <c r="BH179">
        <v>7307.8378818892461</v>
      </c>
      <c r="BI179">
        <v>7072.4969337231078</v>
      </c>
      <c r="BJ179">
        <v>7036.6741437238716</v>
      </c>
      <c r="BK179">
        <v>7158.1710757178098</v>
      </c>
      <c r="BL179">
        <v>7551.3938036719182</v>
      </c>
      <c r="BM179">
        <v>7414.7749554048032</v>
      </c>
      <c r="BN179">
        <v>7588.4788559635899</v>
      </c>
      <c r="BO179">
        <v>8304.9581050352972</v>
      </c>
      <c r="BP179">
        <v>8705.4342669353882</v>
      </c>
      <c r="BQ179">
        <v>9086.8755060962667</v>
      </c>
    </row>
    <row r="180" spans="1:69" x14ac:dyDescent="0.25">
      <c r="A180" t="s">
        <v>1393</v>
      </c>
      <c r="B180" t="s">
        <v>1394</v>
      </c>
      <c r="C180" t="s">
        <v>1580</v>
      </c>
      <c r="D180" t="s">
        <v>1581</v>
      </c>
      <c r="AI180">
        <v>1978.5663418588331</v>
      </c>
      <c r="AJ180">
        <v>1995.077392445741</v>
      </c>
      <c r="AK180">
        <v>2002.6390959678349</v>
      </c>
      <c r="AL180">
        <v>1997.7124764884211</v>
      </c>
      <c r="AM180">
        <v>2064.1692095797489</v>
      </c>
      <c r="AN180">
        <v>2187.0344196101219</v>
      </c>
      <c r="AO180">
        <v>2324.781742474328</v>
      </c>
      <c r="AP180">
        <v>2417.9861829817442</v>
      </c>
      <c r="AQ180">
        <v>2497.449400171186</v>
      </c>
      <c r="AR180">
        <v>2672.4922843611198</v>
      </c>
      <c r="AS180">
        <v>2806.2593793734482</v>
      </c>
      <c r="AT180">
        <v>2916.5516832376079</v>
      </c>
      <c r="AU180">
        <v>2948.2297984788311</v>
      </c>
      <c r="AV180">
        <v>3046.1086825849002</v>
      </c>
      <c r="AW180">
        <v>3255.4851585992419</v>
      </c>
      <c r="AX180">
        <v>3455.9927366700708</v>
      </c>
      <c r="AY180">
        <v>3657.9674969149441</v>
      </c>
      <c r="AZ180">
        <v>3891.4998497234528</v>
      </c>
      <c r="BA180">
        <v>4044.3761218428299</v>
      </c>
      <c r="BB180">
        <v>3879.669881903968</v>
      </c>
      <c r="BC180">
        <v>4042.2207127651741</v>
      </c>
      <c r="BD180">
        <v>4324.7100724423753</v>
      </c>
      <c r="BE180">
        <v>4507.9430286669576</v>
      </c>
      <c r="BF180">
        <v>4710.5724315851257</v>
      </c>
      <c r="BG180">
        <v>5067.7463901868696</v>
      </c>
      <c r="BH180">
        <v>5448.8922601031718</v>
      </c>
      <c r="BI180">
        <v>5882.3664521974597</v>
      </c>
      <c r="BJ180">
        <v>6225.3470257484614</v>
      </c>
      <c r="BK180">
        <v>5935.166936313859</v>
      </c>
      <c r="BL180">
        <v>5981.1087643146648</v>
      </c>
      <c r="BM180">
        <v>6274.0945674138757</v>
      </c>
      <c r="BN180">
        <v>7119.169233600418</v>
      </c>
      <c r="BO180">
        <v>7796.6936203414434</v>
      </c>
      <c r="BP180">
        <v>8319.9794414099597</v>
      </c>
      <c r="BQ180">
        <v>8708.7998305162619</v>
      </c>
    </row>
    <row r="181" spans="1:69" x14ac:dyDescent="0.25">
      <c r="A181" t="s">
        <v>1395</v>
      </c>
      <c r="B181" t="s">
        <v>1396</v>
      </c>
      <c r="C181" t="s">
        <v>1580</v>
      </c>
      <c r="D181" t="s">
        <v>1581</v>
      </c>
      <c r="AI181">
        <v>19202.986955753571</v>
      </c>
      <c r="AJ181">
        <v>20176.977927660249</v>
      </c>
      <c r="AK181">
        <v>20830.761343733269</v>
      </c>
      <c r="AL181">
        <v>21442.726921386311</v>
      </c>
      <c r="AM181">
        <v>22413.525877414409</v>
      </c>
      <c r="AN181">
        <v>23480.245818173411</v>
      </c>
      <c r="AO181">
        <v>24564.119212684851</v>
      </c>
      <c r="AP181">
        <v>26061.629733940481</v>
      </c>
      <c r="AQ181">
        <v>27748.82489795296</v>
      </c>
      <c r="AR181">
        <v>29316.263477573779</v>
      </c>
      <c r="AS181">
        <v>31894.65909159325</v>
      </c>
      <c r="AT181">
        <v>33259.453596628809</v>
      </c>
      <c r="AU181">
        <v>34568.459326810756</v>
      </c>
      <c r="AV181">
        <v>34286.383352478268</v>
      </c>
      <c r="AW181">
        <v>35960.713836068338</v>
      </c>
      <c r="AX181">
        <v>37778.48643600654</v>
      </c>
      <c r="AY181">
        <v>41208.046220473363</v>
      </c>
      <c r="AZ181">
        <v>44203.400213580353</v>
      </c>
      <c r="BA181">
        <v>46714.345430139198</v>
      </c>
      <c r="BB181">
        <v>44959.169463743026</v>
      </c>
      <c r="BC181">
        <v>45301.269581607958</v>
      </c>
      <c r="BD181">
        <v>47004.137073906197</v>
      </c>
      <c r="BE181">
        <v>47653.340165137059</v>
      </c>
      <c r="BF181">
        <v>49622.051961479941</v>
      </c>
      <c r="BG181">
        <v>49751.309286082163</v>
      </c>
      <c r="BH181">
        <v>50956.693094218521</v>
      </c>
      <c r="BI181">
        <v>53162.279159802813</v>
      </c>
      <c r="BJ181">
        <v>56037.567993605953</v>
      </c>
      <c r="BK181">
        <v>58819.260914258382</v>
      </c>
      <c r="BL181">
        <v>62345.253846543274</v>
      </c>
      <c r="BM181">
        <v>62596.630202752407</v>
      </c>
      <c r="BN181">
        <v>68573.564878644625</v>
      </c>
      <c r="BO181">
        <v>78630.35990720983</v>
      </c>
      <c r="BP181">
        <v>81728.69046292681</v>
      </c>
      <c r="BQ181">
        <v>86173.629084173808</v>
      </c>
    </row>
    <row r="182" spans="1:69" x14ac:dyDescent="0.25">
      <c r="A182" t="s">
        <v>1397</v>
      </c>
      <c r="B182" t="s">
        <v>1398</v>
      </c>
      <c r="C182" t="s">
        <v>1580</v>
      </c>
      <c r="D182" t="s">
        <v>1581</v>
      </c>
      <c r="AI182">
        <v>18460.8142549402</v>
      </c>
      <c r="AJ182">
        <v>19580.27093994759</v>
      </c>
      <c r="AK182">
        <v>20622.939732036801</v>
      </c>
      <c r="AL182">
        <v>21583.58186204658</v>
      </c>
      <c r="AM182">
        <v>23027.35392917498</v>
      </c>
      <c r="AN182">
        <v>24360.372829442971</v>
      </c>
      <c r="AO182">
        <v>26826.301310354898</v>
      </c>
      <c r="AP182">
        <v>28610.066247373699</v>
      </c>
      <c r="AQ182">
        <v>28200.297165184718</v>
      </c>
      <c r="AR182">
        <v>30573.73422424421</v>
      </c>
      <c r="AS182">
        <v>36994.405804639013</v>
      </c>
      <c r="AT182">
        <v>37829.455968062233</v>
      </c>
      <c r="AU182">
        <v>38056.240427810633</v>
      </c>
      <c r="AV182">
        <v>38679.780595174147</v>
      </c>
      <c r="AW182">
        <v>42667.219203581953</v>
      </c>
      <c r="AX182">
        <v>47966.864011260797</v>
      </c>
      <c r="AY182">
        <v>54357.574813778687</v>
      </c>
      <c r="AZ182">
        <v>56179.257886629573</v>
      </c>
      <c r="BA182">
        <v>62072.753985490912</v>
      </c>
      <c r="BB182">
        <v>55647.614794345143</v>
      </c>
      <c r="BC182">
        <v>58213.133366585491</v>
      </c>
      <c r="BD182">
        <v>62460.090815700241</v>
      </c>
      <c r="BE182">
        <v>65774.35207462238</v>
      </c>
      <c r="BF182">
        <v>67377.926225877221</v>
      </c>
      <c r="BG182">
        <v>66332.461437419755</v>
      </c>
      <c r="BH182">
        <v>60737.886813277903</v>
      </c>
      <c r="BI182">
        <v>59280.199202882854</v>
      </c>
      <c r="BJ182">
        <v>64589.555919686303</v>
      </c>
      <c r="BK182">
        <v>70253.846369338615</v>
      </c>
      <c r="BL182">
        <v>70939.605518035984</v>
      </c>
      <c r="BM182">
        <v>67110.604570550189</v>
      </c>
      <c r="BN182">
        <v>88984.138673651498</v>
      </c>
      <c r="BO182">
        <v>125489.5489356022</v>
      </c>
      <c r="BP182">
        <v>103637.5168436785</v>
      </c>
      <c r="BQ182">
        <v>102037.5268002371</v>
      </c>
    </row>
    <row r="183" spans="1:69" x14ac:dyDescent="0.25">
      <c r="A183" t="s">
        <v>1399</v>
      </c>
      <c r="B183" t="s">
        <v>1400</v>
      </c>
      <c r="C183" t="s">
        <v>1580</v>
      </c>
      <c r="D183" t="s">
        <v>1581</v>
      </c>
      <c r="AI183">
        <v>829.55410911096158</v>
      </c>
      <c r="AJ183">
        <v>888.91482121127035</v>
      </c>
      <c r="AK183">
        <v>920.18150862328571</v>
      </c>
      <c r="AL183">
        <v>951.91037075309691</v>
      </c>
      <c r="AM183">
        <v>1026.0837007266321</v>
      </c>
      <c r="AN183">
        <v>1058.207476445079</v>
      </c>
      <c r="AO183">
        <v>1110.221926886705</v>
      </c>
      <c r="AP183">
        <v>1161.981760799885</v>
      </c>
      <c r="AQ183">
        <v>1186.924856019891</v>
      </c>
      <c r="AR183">
        <v>1233.6614109860691</v>
      </c>
      <c r="AS183">
        <v>1316.8294091377429</v>
      </c>
      <c r="AT183">
        <v>1388.4704545580951</v>
      </c>
      <c r="AU183">
        <v>1390.4370697499801</v>
      </c>
      <c r="AV183">
        <v>1453.1836578570401</v>
      </c>
      <c r="AW183">
        <v>1542.449476391487</v>
      </c>
      <c r="AX183">
        <v>1627.8391559650281</v>
      </c>
      <c r="AY183">
        <v>1717.786117794338</v>
      </c>
      <c r="AZ183">
        <v>1809.3237124739039</v>
      </c>
      <c r="BA183">
        <v>1942.152996932997</v>
      </c>
      <c r="BB183">
        <v>2028.9574075362179</v>
      </c>
      <c r="BC183">
        <v>2139.2274938401301</v>
      </c>
      <c r="BD183">
        <v>2247.9974293220521</v>
      </c>
      <c r="BE183">
        <v>2465.8346944913142</v>
      </c>
      <c r="BF183">
        <v>2658.0219688693328</v>
      </c>
      <c r="BG183">
        <v>2901.1975208616909</v>
      </c>
      <c r="BH183">
        <v>2957.3055914550432</v>
      </c>
      <c r="BI183">
        <v>2976.1251368145099</v>
      </c>
      <c r="BJ183">
        <v>3604.7082594974659</v>
      </c>
      <c r="BK183">
        <v>3956.1246109444328</v>
      </c>
      <c r="BL183">
        <v>4260.673731908505</v>
      </c>
      <c r="BM183">
        <v>4235.5746232690481</v>
      </c>
      <c r="BN183">
        <v>4546.2297000628923</v>
      </c>
      <c r="BO183">
        <v>5102.9923113294726</v>
      </c>
      <c r="BP183">
        <v>5395.2082007751287</v>
      </c>
      <c r="BQ183">
        <v>5736.6213433270359</v>
      </c>
    </row>
    <row r="184" spans="1:69" x14ac:dyDescent="0.25">
      <c r="A184" t="s">
        <v>1401</v>
      </c>
      <c r="B184" t="s">
        <v>1402</v>
      </c>
      <c r="C184" t="s">
        <v>1580</v>
      </c>
      <c r="D184" t="s">
        <v>1581</v>
      </c>
      <c r="AI184">
        <v>16215.16402394993</v>
      </c>
      <c r="AJ184">
        <v>13265.173452298241</v>
      </c>
      <c r="AK184">
        <v>11167.483803097801</v>
      </c>
      <c r="AL184">
        <v>9512.7345832185092</v>
      </c>
      <c r="AM184">
        <v>9307.974004253243</v>
      </c>
      <c r="AN184">
        <v>8726.050553834637</v>
      </c>
      <c r="AO184">
        <v>7818.1477493869452</v>
      </c>
      <c r="AP184">
        <v>7230.948333860063</v>
      </c>
      <c r="AQ184">
        <v>6449.6199282426569</v>
      </c>
      <c r="AR184">
        <v>6117.8680893245773</v>
      </c>
      <c r="AS184">
        <v>5838.3847448052438</v>
      </c>
      <c r="AT184">
        <v>5587.1005951332336</v>
      </c>
      <c r="AU184">
        <v>5132.4748540849969</v>
      </c>
      <c r="AV184">
        <v>5260.7056610642076</v>
      </c>
      <c r="AW184">
        <v>5168.5625292170007</v>
      </c>
      <c r="AX184">
        <v>5336.4555492470872</v>
      </c>
      <c r="AY184">
        <v>5974.8168440337831</v>
      </c>
      <c r="AZ184">
        <v>4788.5176317352834</v>
      </c>
      <c r="BA184">
        <v>5863.3709928898843</v>
      </c>
      <c r="BB184">
        <v>5567.8891646027996</v>
      </c>
      <c r="BC184">
        <v>5620.4041303702325</v>
      </c>
      <c r="BD184">
        <v>6544.1029976876844</v>
      </c>
      <c r="BE184">
        <v>8153.2726237438037</v>
      </c>
      <c r="BF184">
        <v>8428.732567902498</v>
      </c>
      <c r="BG184">
        <v>9725.9521482901964</v>
      </c>
      <c r="BH184">
        <v>9955.3354866317513</v>
      </c>
      <c r="BI184">
        <v>10281.267399011031</v>
      </c>
      <c r="BJ184">
        <v>9650.3189004994056</v>
      </c>
      <c r="BK184">
        <v>9657.2607356665358</v>
      </c>
      <c r="BL184">
        <v>10554.521853478711</v>
      </c>
      <c r="BM184">
        <v>10810.9461002401</v>
      </c>
      <c r="BN184">
        <v>12112.235838422819</v>
      </c>
      <c r="BO184">
        <v>13245.109456261929</v>
      </c>
      <c r="BP184">
        <v>13731.570474501579</v>
      </c>
      <c r="BQ184">
        <v>14173.00810431538</v>
      </c>
    </row>
    <row r="185" spans="1:69" x14ac:dyDescent="0.25">
      <c r="A185" t="s">
        <v>1403</v>
      </c>
      <c r="B185" t="s">
        <v>1404</v>
      </c>
      <c r="C185" t="s">
        <v>1580</v>
      </c>
      <c r="D185" t="s">
        <v>1581</v>
      </c>
      <c r="AI185">
        <v>14812.14217305409</v>
      </c>
      <c r="AJ185">
        <v>14500.95073479106</v>
      </c>
      <c r="AK185">
        <v>14876.85061443763</v>
      </c>
      <c r="AL185">
        <v>15900.1007418351</v>
      </c>
      <c r="AM185">
        <v>17107.88719711775</v>
      </c>
      <c r="AN185">
        <v>17863.889398202289</v>
      </c>
      <c r="AO185">
        <v>18392.166413778519</v>
      </c>
      <c r="AP185">
        <v>19099.886848412611</v>
      </c>
      <c r="AQ185">
        <v>19322.596603545651</v>
      </c>
      <c r="AR185">
        <v>20579.365916514042</v>
      </c>
      <c r="AS185">
        <v>21500.153107807659</v>
      </c>
      <c r="AT185">
        <v>22511.090673529419</v>
      </c>
      <c r="AU185">
        <v>23306.279537627739</v>
      </c>
      <c r="AV185">
        <v>23996.4486751857</v>
      </c>
      <c r="AW185">
        <v>25123.916236587898</v>
      </c>
      <c r="AX185">
        <v>25677.419080325199</v>
      </c>
      <c r="AY185">
        <v>27732.343912403911</v>
      </c>
      <c r="AZ185">
        <v>29331.214336785859</v>
      </c>
      <c r="BA185">
        <v>29895.64516629494</v>
      </c>
      <c r="BB185">
        <v>30746.155165608248</v>
      </c>
      <c r="BC185">
        <v>31305.32995041239</v>
      </c>
      <c r="BD185">
        <v>32738.988444560109</v>
      </c>
      <c r="BE185">
        <v>33054.893675108833</v>
      </c>
      <c r="BF185">
        <v>36262.704728265038</v>
      </c>
      <c r="BG185">
        <v>37331.315573244683</v>
      </c>
      <c r="BH185">
        <v>37513.296387244161</v>
      </c>
      <c r="BI185">
        <v>39988.925085547176</v>
      </c>
      <c r="BJ185">
        <v>42243.508445939748</v>
      </c>
      <c r="BK185">
        <v>42527.278410330073</v>
      </c>
      <c r="BL185">
        <v>45278.458722673357</v>
      </c>
      <c r="BM185">
        <v>45513.312376834343</v>
      </c>
      <c r="BN185">
        <v>48248.717672989238</v>
      </c>
      <c r="BO185">
        <v>54033.913012565063</v>
      </c>
      <c r="BP185">
        <v>54697.382252317999</v>
      </c>
      <c r="BQ185">
        <v>55551.143658637033</v>
      </c>
    </row>
    <row r="186" spans="1:69" x14ac:dyDescent="0.25">
      <c r="A186" t="s">
        <v>1405</v>
      </c>
      <c r="B186" t="s">
        <v>1406</v>
      </c>
      <c r="C186" t="s">
        <v>1580</v>
      </c>
      <c r="D186" t="s">
        <v>1581</v>
      </c>
      <c r="AI186">
        <v>16654.822003534489</v>
      </c>
      <c r="AJ186">
        <v>17267.8021246383</v>
      </c>
      <c r="AK186">
        <v>17889.15133400726</v>
      </c>
      <c r="AL186">
        <v>18376.475776137439</v>
      </c>
      <c r="AM186">
        <v>19202.94499519483</v>
      </c>
      <c r="AN186">
        <v>19985.113190841221</v>
      </c>
      <c r="AO186">
        <v>20862.508207725521</v>
      </c>
      <c r="AP186">
        <v>21814.473004385309</v>
      </c>
      <c r="AQ186">
        <v>22397.06832562789</v>
      </c>
      <c r="AR186">
        <v>23275.895904691621</v>
      </c>
      <c r="AS186">
        <v>24716.369786227729</v>
      </c>
      <c r="AT186">
        <v>25488.895129648739</v>
      </c>
      <c r="AU186">
        <v>26275.910775154611</v>
      </c>
      <c r="AV186">
        <v>27058.479662088539</v>
      </c>
      <c r="AW186">
        <v>28497.336141772441</v>
      </c>
      <c r="AX186">
        <v>29851.08305385269</v>
      </c>
      <c r="AY186">
        <v>31843.886321774269</v>
      </c>
      <c r="AZ186">
        <v>33414.615946597412</v>
      </c>
      <c r="BA186">
        <v>34288.693106009232</v>
      </c>
      <c r="BB186">
        <v>33358.356388404427</v>
      </c>
      <c r="BC186">
        <v>34625.798797914707</v>
      </c>
      <c r="BD186">
        <v>36077.937916591312</v>
      </c>
      <c r="BE186">
        <v>37052.219973985062</v>
      </c>
      <c r="BF186">
        <v>38400.616703211839</v>
      </c>
      <c r="BG186">
        <v>39552.36946978826</v>
      </c>
      <c r="BH186">
        <v>40696.125798692272</v>
      </c>
      <c r="BI186">
        <v>42086.578445321997</v>
      </c>
      <c r="BJ186">
        <v>43720.654859541333</v>
      </c>
      <c r="BK186">
        <v>45413.544831541993</v>
      </c>
      <c r="BL186">
        <v>47429.292030293771</v>
      </c>
      <c r="BM186">
        <v>46576.453919917563</v>
      </c>
      <c r="BN186">
        <v>50955.60183822448</v>
      </c>
      <c r="BO186">
        <v>56824.619317316647</v>
      </c>
      <c r="BP186">
        <v>59701.293748583863</v>
      </c>
      <c r="BQ186">
        <v>61972.888127538579</v>
      </c>
    </row>
    <row r="187" spans="1:69" x14ac:dyDescent="0.25">
      <c r="A187" t="s">
        <v>1407</v>
      </c>
      <c r="B187" t="s">
        <v>1408</v>
      </c>
      <c r="C187" t="s">
        <v>1580</v>
      </c>
      <c r="D187" t="s">
        <v>1581</v>
      </c>
      <c r="AI187">
        <v>26904.002210997351</v>
      </c>
      <c r="AJ187">
        <v>28108.66144178851</v>
      </c>
      <c r="AK187">
        <v>29772.904425570159</v>
      </c>
      <c r="AL187">
        <v>30986.526256040779</v>
      </c>
      <c r="AM187">
        <v>31924.775098770941</v>
      </c>
      <c r="AN187">
        <v>33598.33314670292</v>
      </c>
      <c r="AO187">
        <v>34660.62481256359</v>
      </c>
      <c r="AP187">
        <v>36808.93479239758</v>
      </c>
      <c r="AQ187">
        <v>36665.641851936038</v>
      </c>
      <c r="AR187">
        <v>36791.576683777843</v>
      </c>
      <c r="AS187">
        <v>39443.260739825673</v>
      </c>
      <c r="AT187">
        <v>41679.015090505789</v>
      </c>
      <c r="AU187">
        <v>41511.02852580796</v>
      </c>
      <c r="AV187">
        <v>40934.695715824513</v>
      </c>
      <c r="AW187">
        <v>42141.636896515593</v>
      </c>
      <c r="AX187">
        <v>43672.520318306713</v>
      </c>
      <c r="AY187">
        <v>46091.182235184613</v>
      </c>
      <c r="AZ187">
        <v>48626.922041985432</v>
      </c>
      <c r="BA187">
        <v>52841.188952314311</v>
      </c>
      <c r="BB187">
        <v>55127.467772176373</v>
      </c>
      <c r="BC187">
        <v>55667.468777864357</v>
      </c>
      <c r="BD187">
        <v>52393.313582029317</v>
      </c>
      <c r="BE187">
        <v>49989.442509399392</v>
      </c>
      <c r="BF187">
        <v>47013.473093438508</v>
      </c>
      <c r="BG187">
        <v>44235.833632933412</v>
      </c>
      <c r="BH187">
        <v>36058.166608478787</v>
      </c>
      <c r="BI187">
        <v>33333.863589372202</v>
      </c>
      <c r="BJ187">
        <v>33619.498898260703</v>
      </c>
      <c r="BK187">
        <v>37780.330832727057</v>
      </c>
      <c r="BL187">
        <v>37250.611078835878</v>
      </c>
      <c r="BM187">
        <v>35163.32817814155</v>
      </c>
      <c r="BN187">
        <v>38719.45876820488</v>
      </c>
      <c r="BO187">
        <v>42616.33489558685</v>
      </c>
      <c r="BP187">
        <v>41945.025564088253</v>
      </c>
      <c r="BQ187">
        <v>41740.16585300117</v>
      </c>
    </row>
    <row r="188" spans="1:69" x14ac:dyDescent="0.25">
      <c r="A188" t="s">
        <v>1409</v>
      </c>
      <c r="B188" t="s">
        <v>1410</v>
      </c>
      <c r="C188" t="s">
        <v>1580</v>
      </c>
      <c r="D188" t="s">
        <v>1581</v>
      </c>
      <c r="AI188">
        <v>7137.4544789117681</v>
      </c>
      <c r="AJ188">
        <v>7254.7534776059592</v>
      </c>
      <c r="AK188">
        <v>7193.6558671642206</v>
      </c>
      <c r="AL188">
        <v>7371.0111124722534</v>
      </c>
      <c r="AM188">
        <v>7664.149384916077</v>
      </c>
      <c r="AN188">
        <v>8096.9111418641269</v>
      </c>
      <c r="AO188">
        <v>8356.5178393445713</v>
      </c>
      <c r="AP188">
        <v>8921.6860774635279</v>
      </c>
      <c r="AQ188">
        <v>9069.1970427214801</v>
      </c>
      <c r="AR188">
        <v>9392.3768946826185</v>
      </c>
      <c r="AS188">
        <v>10102.03986521944</v>
      </c>
      <c r="AT188">
        <v>10524.302536933499</v>
      </c>
      <c r="AU188">
        <v>10917.676428524221</v>
      </c>
      <c r="AV188">
        <v>11425.66073215414</v>
      </c>
      <c r="AW188">
        <v>12067.35642509778</v>
      </c>
      <c r="AX188">
        <v>12747.79520490351</v>
      </c>
      <c r="AY188">
        <v>13858.098839801491</v>
      </c>
      <c r="AZ188">
        <v>14867.30513989919</v>
      </c>
      <c r="BA188">
        <v>15362.025384815041</v>
      </c>
      <c r="BB188">
        <v>14861.849449755389</v>
      </c>
      <c r="BC188">
        <v>15307.275035477831</v>
      </c>
      <c r="BD188">
        <v>16144.808824253299</v>
      </c>
      <c r="BE188">
        <v>16531.150304626379</v>
      </c>
      <c r="BF188">
        <v>16807.60212017957</v>
      </c>
      <c r="BG188">
        <v>17248.971383072661</v>
      </c>
      <c r="BH188">
        <v>17170.033848412379</v>
      </c>
      <c r="BI188">
        <v>18128.991717601191</v>
      </c>
      <c r="BJ188">
        <v>19292.36087244227</v>
      </c>
      <c r="BK188">
        <v>20368.789493309399</v>
      </c>
      <c r="BL188">
        <v>22008.886140079121</v>
      </c>
      <c r="BM188">
        <v>20932.372448085451</v>
      </c>
      <c r="BN188">
        <v>23255.370391231099</v>
      </c>
      <c r="BO188">
        <v>25998.121473004481</v>
      </c>
      <c r="BP188">
        <v>27998.671690859381</v>
      </c>
      <c r="BQ188">
        <v>29390.284967005111</v>
      </c>
    </row>
    <row r="189" spans="1:69" x14ac:dyDescent="0.25">
      <c r="A189" t="s">
        <v>1411</v>
      </c>
      <c r="B189" t="s">
        <v>1412</v>
      </c>
      <c r="C189" t="s">
        <v>1580</v>
      </c>
      <c r="D189" t="s">
        <v>1581</v>
      </c>
      <c r="AI189">
        <v>1895.262669678066</v>
      </c>
      <c r="AJ189">
        <v>1991.5796404563821</v>
      </c>
      <c r="AK189">
        <v>2132.0194172942088</v>
      </c>
      <c r="AL189">
        <v>2160.1896665616218</v>
      </c>
      <c r="AM189">
        <v>2223.514283738888</v>
      </c>
      <c r="AN189">
        <v>2314.9079854652091</v>
      </c>
      <c r="AO189">
        <v>2400.6345166004521</v>
      </c>
      <c r="AP189">
        <v>2398.013574573964</v>
      </c>
      <c r="AQ189">
        <v>2419.0778543623701</v>
      </c>
      <c r="AR189">
        <v>2474.8164771705719</v>
      </c>
      <c r="AS189">
        <v>2565.199588151414</v>
      </c>
      <c r="AT189">
        <v>2643.7662750718669</v>
      </c>
      <c r="AU189">
        <v>2687.829936199274</v>
      </c>
      <c r="AV189">
        <v>2821.7313702304491</v>
      </c>
      <c r="AW189">
        <v>3048.3570912287619</v>
      </c>
      <c r="AX189">
        <v>3292.6022326953771</v>
      </c>
      <c r="AY189">
        <v>3514.813652411372</v>
      </c>
      <c r="AZ189">
        <v>3672.185274588609</v>
      </c>
      <c r="BA189">
        <v>3721.3329356162189</v>
      </c>
      <c r="BB189">
        <v>3777.0909862905091</v>
      </c>
      <c r="BC189">
        <v>3785.7011353059479</v>
      </c>
      <c r="BD189">
        <v>3879.5977693448981</v>
      </c>
      <c r="BE189">
        <v>4046.598487663111</v>
      </c>
      <c r="BF189">
        <v>4173.9385856875751</v>
      </c>
      <c r="BG189">
        <v>4312.9907004077631</v>
      </c>
      <c r="BH189">
        <v>4480.2631346098487</v>
      </c>
      <c r="BI189">
        <v>4630.7315068373982</v>
      </c>
      <c r="BJ189">
        <v>4789.5364655755257</v>
      </c>
      <c r="BK189">
        <v>4979.3734961655018</v>
      </c>
      <c r="BL189">
        <v>5037.5340155974536</v>
      </c>
      <c r="BM189">
        <v>5048.0213062962994</v>
      </c>
      <c r="BN189">
        <v>5367.273647147621</v>
      </c>
      <c r="BO189">
        <v>5920.2743065410741</v>
      </c>
      <c r="BP189">
        <v>6013.9896363860034</v>
      </c>
      <c r="BQ189">
        <v>6252.1154319955858</v>
      </c>
    </row>
    <row r="190" spans="1:69" x14ac:dyDescent="0.25">
      <c r="A190" t="s">
        <v>1413</v>
      </c>
      <c r="B190" t="s">
        <v>1414</v>
      </c>
      <c r="C190" t="s">
        <v>1580</v>
      </c>
      <c r="D190" t="s">
        <v>1581</v>
      </c>
      <c r="AI190">
        <v>4650.670953591226</v>
      </c>
      <c r="AJ190">
        <v>5150.3140830799794</v>
      </c>
      <c r="AK190">
        <v>5581.6222135117478</v>
      </c>
      <c r="AL190">
        <v>5901.782226990772</v>
      </c>
      <c r="AM190">
        <v>6073.1535289688227</v>
      </c>
      <c r="AN190">
        <v>6181.7154486247646</v>
      </c>
      <c r="AO190">
        <v>6420.5125527084647</v>
      </c>
      <c r="AP190">
        <v>6894.6910432205368</v>
      </c>
      <c r="AQ190">
        <v>7407.5498406516363</v>
      </c>
      <c r="AR190">
        <v>7748.8359683530207</v>
      </c>
      <c r="AS190">
        <v>8097.2957800796521</v>
      </c>
      <c r="AT190">
        <v>8197.1576052835298</v>
      </c>
      <c r="AU190">
        <v>8370.3033753191739</v>
      </c>
      <c r="AV190">
        <v>8800.5666313156689</v>
      </c>
      <c r="AW190">
        <v>9591.6028871075214</v>
      </c>
      <c r="AX190">
        <v>10511.02202415907</v>
      </c>
      <c r="AY190">
        <v>11684.5550230964</v>
      </c>
      <c r="AZ190">
        <v>13332.86609350168</v>
      </c>
      <c r="BA190">
        <v>14705.37143149547</v>
      </c>
      <c r="BB190">
        <v>14765.73801885717</v>
      </c>
      <c r="BC190">
        <v>15572.578698532259</v>
      </c>
      <c r="BD190">
        <v>17473.765116548861</v>
      </c>
      <c r="BE190">
        <v>19473.251491839012</v>
      </c>
      <c r="BF190">
        <v>21923.67508433406</v>
      </c>
      <c r="BG190">
        <v>24376.08085996041</v>
      </c>
      <c r="BH190">
        <v>27245.27884026313</v>
      </c>
      <c r="BI190">
        <v>30276.70884961947</v>
      </c>
      <c r="BJ190">
        <v>33533.326021649969</v>
      </c>
      <c r="BK190">
        <v>32463.5403500842</v>
      </c>
      <c r="BL190">
        <v>33239.733227618563</v>
      </c>
      <c r="BM190">
        <v>27017.003379090609</v>
      </c>
      <c r="BN190">
        <v>30932.762780914451</v>
      </c>
      <c r="BO190">
        <v>36333.126918435861</v>
      </c>
      <c r="BP190">
        <v>39813.385793997208</v>
      </c>
      <c r="BQ190">
        <v>41369.422541498963</v>
      </c>
    </row>
    <row r="191" spans="1:69" x14ac:dyDescent="0.25">
      <c r="A191" t="s">
        <v>1415</v>
      </c>
      <c r="B191" t="s">
        <v>1416</v>
      </c>
      <c r="C191" t="s">
        <v>1580</v>
      </c>
      <c r="D191" t="s">
        <v>1581</v>
      </c>
      <c r="AI191">
        <v>3366.6569613939441</v>
      </c>
      <c r="AJ191">
        <v>3483.538980850833</v>
      </c>
      <c r="AK191">
        <v>3472.230658726357</v>
      </c>
      <c r="AL191">
        <v>3666.2331887032351</v>
      </c>
      <c r="AM191">
        <v>4123.0418757032703</v>
      </c>
      <c r="AN191">
        <v>4434.6724518097863</v>
      </c>
      <c r="AO191">
        <v>4555.7695949850631</v>
      </c>
      <c r="AP191">
        <v>4844.098198775212</v>
      </c>
      <c r="AQ191">
        <v>4791.4057014512491</v>
      </c>
      <c r="AR191">
        <v>4847.3982674514391</v>
      </c>
      <c r="AS191">
        <v>5011.9454071916434</v>
      </c>
      <c r="AT191">
        <v>5086.422478067786</v>
      </c>
      <c r="AU191">
        <v>5382.5664127397677</v>
      </c>
      <c r="AV191">
        <v>5656.8581611796671</v>
      </c>
      <c r="AW191">
        <v>6037.5202510639601</v>
      </c>
      <c r="AX191">
        <v>6559.5433002175396</v>
      </c>
      <c r="AY191">
        <v>7213.5960603159056</v>
      </c>
      <c r="AZ191">
        <v>7982.0500837722439</v>
      </c>
      <c r="BA191">
        <v>8820.1390105684877</v>
      </c>
      <c r="BB191">
        <v>8916.5957753535913</v>
      </c>
      <c r="BC191">
        <v>9713.3586330936214</v>
      </c>
      <c r="BD191">
        <v>10462.577043466261</v>
      </c>
      <c r="BE191">
        <v>10757.15222343512</v>
      </c>
      <c r="BF191">
        <v>11290.554740387361</v>
      </c>
      <c r="BG191">
        <v>11517.73717102469</v>
      </c>
      <c r="BH191">
        <v>11600.38739928673</v>
      </c>
      <c r="BI191">
        <v>12066.546068331711</v>
      </c>
      <c r="BJ191">
        <v>12591.85628792344</v>
      </c>
      <c r="BK191">
        <v>13078.23235034051</v>
      </c>
      <c r="BL191">
        <v>13563.537293355061</v>
      </c>
      <c r="BM191">
        <v>12563.3038060893</v>
      </c>
      <c r="BN191">
        <v>15280.55121064864</v>
      </c>
      <c r="BO191">
        <v>16669.156148676899</v>
      </c>
      <c r="BP191">
        <v>17011.227802882469</v>
      </c>
      <c r="BQ191">
        <v>17802.41824989724</v>
      </c>
    </row>
    <row r="192" spans="1:69" x14ac:dyDescent="0.25">
      <c r="A192" t="s">
        <v>1417</v>
      </c>
      <c r="B192" t="s">
        <v>1418</v>
      </c>
      <c r="C192" t="s">
        <v>1580</v>
      </c>
      <c r="D192" t="s">
        <v>1581</v>
      </c>
      <c r="AI192">
        <v>2607.9657450163049</v>
      </c>
      <c r="AJ192">
        <v>2620.7043768157318</v>
      </c>
      <c r="AK192">
        <v>2628.5875448465722</v>
      </c>
      <c r="AL192">
        <v>2684.2765938335042</v>
      </c>
      <c r="AM192">
        <v>2799.7798824904689</v>
      </c>
      <c r="AN192">
        <v>2925.9610144351068</v>
      </c>
      <c r="AO192">
        <v>3082.3096599159808</v>
      </c>
      <c r="AP192">
        <v>3221.3917104471061</v>
      </c>
      <c r="AQ192">
        <v>3160.364747819357</v>
      </c>
      <c r="AR192">
        <v>3228.751170015867</v>
      </c>
      <c r="AS192">
        <v>3365.5583353779921</v>
      </c>
      <c r="AT192">
        <v>3468.898883231001</v>
      </c>
      <c r="AU192">
        <v>3580.3824547474369</v>
      </c>
      <c r="AV192">
        <v>3761.4962459507128</v>
      </c>
      <c r="AW192">
        <v>4037.1719379228871</v>
      </c>
      <c r="AX192">
        <v>4289.0522369199598</v>
      </c>
      <c r="AY192">
        <v>4578.7063089816102</v>
      </c>
      <c r="AZ192">
        <v>4923.1971857257686</v>
      </c>
      <c r="BA192">
        <v>5144.3357818823033</v>
      </c>
      <c r="BB192">
        <v>5157.2782508843993</v>
      </c>
      <c r="BC192">
        <v>5489.2354345760059</v>
      </c>
      <c r="BD192">
        <v>5705.435911749043</v>
      </c>
      <c r="BE192">
        <v>6094.2683733865761</v>
      </c>
      <c r="BF192">
        <v>6372.833821125455</v>
      </c>
      <c r="BG192">
        <v>6688.7396123255321</v>
      </c>
      <c r="BH192">
        <v>6894.2670221793451</v>
      </c>
      <c r="BI192">
        <v>7382.6675843179191</v>
      </c>
      <c r="BJ192">
        <v>7773.798535990245</v>
      </c>
      <c r="BK192">
        <v>8357.7435793421864</v>
      </c>
      <c r="BL192">
        <v>8924.1011640288743</v>
      </c>
      <c r="BM192">
        <v>8238.368020374568</v>
      </c>
      <c r="BN192">
        <v>8857.7899511551386</v>
      </c>
      <c r="BO192">
        <v>10131.346369794041</v>
      </c>
      <c r="BP192">
        <v>10985.82926275052</v>
      </c>
      <c r="BQ192">
        <v>11794.137548849179</v>
      </c>
    </row>
    <row r="193" spans="1:69" x14ac:dyDescent="0.25">
      <c r="A193" t="s">
        <v>1419</v>
      </c>
      <c r="B193" t="s">
        <v>1420</v>
      </c>
      <c r="C193" t="s">
        <v>1580</v>
      </c>
      <c r="D193" t="s">
        <v>1581</v>
      </c>
      <c r="AI193">
        <v>9609.147404602134</v>
      </c>
      <c r="AJ193">
        <v>10184.46007140148</v>
      </c>
      <c r="AK193">
        <v>9521.2156559178711</v>
      </c>
      <c r="AL193">
        <v>8348.0578464481951</v>
      </c>
      <c r="AM193">
        <v>8931.6029081817887</v>
      </c>
      <c r="AN193">
        <v>9862.8731240123616</v>
      </c>
      <c r="AO193">
        <v>10799.67665328725</v>
      </c>
      <c r="AP193">
        <v>10956.81495879262</v>
      </c>
      <c r="AQ193">
        <v>11047.74935753072</v>
      </c>
      <c r="AR193">
        <v>10387.654968855941</v>
      </c>
      <c r="AS193">
        <v>10196.90542221477</v>
      </c>
      <c r="AT193">
        <v>11091.793631576549</v>
      </c>
      <c r="AU193">
        <v>11703.938498860451</v>
      </c>
      <c r="AV193">
        <v>11588.369621497281</v>
      </c>
      <c r="AW193">
        <v>12213.19785483683</v>
      </c>
      <c r="AX193">
        <v>12960.16781508528</v>
      </c>
      <c r="AY193">
        <v>13544.765127548129</v>
      </c>
      <c r="AZ193">
        <v>14308.232812147549</v>
      </c>
      <c r="BA193">
        <v>14039.405618071391</v>
      </c>
      <c r="BB193">
        <v>13414.35449010817</v>
      </c>
      <c r="BC193">
        <v>13443.398684495611</v>
      </c>
      <c r="BD193">
        <v>14673.0560248903</v>
      </c>
      <c r="BE193">
        <v>15461.37196765296</v>
      </c>
      <c r="BF193">
        <v>15424.759650348529</v>
      </c>
      <c r="BG193">
        <v>16442.038929122689</v>
      </c>
      <c r="BH193">
        <v>17853.510392706139</v>
      </c>
      <c r="BI193">
        <v>18234.611877039719</v>
      </c>
      <c r="BJ193">
        <v>17991.10801551539</v>
      </c>
      <c r="BK193">
        <v>18172.304582129949</v>
      </c>
      <c r="BL193">
        <v>18421.90345824213</v>
      </c>
      <c r="BM193">
        <v>17389.724615316602</v>
      </c>
      <c r="BN193">
        <v>15780.55011588655</v>
      </c>
      <c r="BO193">
        <v>17184.541525195509</v>
      </c>
      <c r="BP193">
        <v>18230.269862741381</v>
      </c>
    </row>
    <row r="194" spans="1:69" x14ac:dyDescent="0.25">
      <c r="A194" t="s">
        <v>1421</v>
      </c>
      <c r="B194" t="s">
        <v>1422</v>
      </c>
      <c r="C194" t="s">
        <v>1580</v>
      </c>
      <c r="D194" t="s">
        <v>1581</v>
      </c>
      <c r="AI194">
        <v>1703.2357083967761</v>
      </c>
      <c r="AJ194">
        <v>1868.818270906406</v>
      </c>
      <c r="AK194">
        <v>2100.4619011706031</v>
      </c>
      <c r="AL194">
        <v>2450.9558759297211</v>
      </c>
      <c r="AM194">
        <v>2557.7186377859439</v>
      </c>
      <c r="AN194">
        <v>2435.650411989292</v>
      </c>
      <c r="AO194">
        <v>2578.1922029420089</v>
      </c>
      <c r="AP194">
        <v>2432.071614107695</v>
      </c>
      <c r="AQ194">
        <v>2284.9335806564709</v>
      </c>
      <c r="AR194">
        <v>2279.5465432054648</v>
      </c>
      <c r="AS194">
        <v>2195.9578329320561</v>
      </c>
      <c r="AT194">
        <v>2167.758886136055</v>
      </c>
      <c r="AU194">
        <v>2125.387201316435</v>
      </c>
      <c r="AV194">
        <v>2141.9408870908501</v>
      </c>
      <c r="AW194">
        <v>2186.5400815566918</v>
      </c>
      <c r="AX194">
        <v>2321.909162494333</v>
      </c>
      <c r="AY194">
        <v>2443.8022524234138</v>
      </c>
      <c r="AZ194">
        <v>2622.3746872807742</v>
      </c>
      <c r="BA194">
        <v>2583.4809433188188</v>
      </c>
      <c r="BB194">
        <v>2692.435092619688</v>
      </c>
      <c r="BC194">
        <v>2911.8920318969031</v>
      </c>
      <c r="BD194">
        <v>2918.5439177754361</v>
      </c>
      <c r="BE194">
        <v>3025.855995907953</v>
      </c>
      <c r="BF194">
        <v>3109.895372381131</v>
      </c>
      <c r="BG194">
        <v>3499.5484675555049</v>
      </c>
      <c r="BH194">
        <v>3669.738715926947</v>
      </c>
      <c r="BI194">
        <v>3812.7103510079828</v>
      </c>
      <c r="BJ194">
        <v>3923.1719768046669</v>
      </c>
      <c r="BK194">
        <v>3909.9157297553788</v>
      </c>
      <c r="BL194">
        <v>4059.828602074866</v>
      </c>
      <c r="BM194">
        <v>3899.5771923685088</v>
      </c>
      <c r="BN194">
        <v>3976.9038011695561</v>
      </c>
      <c r="BO194">
        <v>4419.6192696280305</v>
      </c>
      <c r="BP194">
        <v>4667.835670929906</v>
      </c>
      <c r="BQ194">
        <v>4874.6899553588992</v>
      </c>
    </row>
    <row r="195" spans="1:69" x14ac:dyDescent="0.25">
      <c r="A195" t="s">
        <v>1423</v>
      </c>
      <c r="B195" t="s">
        <v>1424</v>
      </c>
      <c r="C195" t="s">
        <v>1580</v>
      </c>
      <c r="D195" t="s">
        <v>1581</v>
      </c>
      <c r="AI195">
        <v>6185.1000694469494</v>
      </c>
      <c r="AJ195">
        <v>5924.6213876078682</v>
      </c>
      <c r="AK195">
        <v>6193.0076884674772</v>
      </c>
      <c r="AL195">
        <v>6560.0923752994213</v>
      </c>
      <c r="AM195">
        <v>7039.919450950807</v>
      </c>
      <c r="AN195">
        <v>7714.5797231313663</v>
      </c>
      <c r="AO195">
        <v>8310.2991272644031</v>
      </c>
      <c r="AP195">
        <v>8967.1165817376386</v>
      </c>
      <c r="AQ195">
        <v>9520.7147106027787</v>
      </c>
      <c r="AR195">
        <v>10080.688038193541</v>
      </c>
      <c r="AS195">
        <v>10721.203429333191</v>
      </c>
      <c r="AT195">
        <v>11175.28536564211</v>
      </c>
      <c r="AU195">
        <v>11841.26840877211</v>
      </c>
      <c r="AV195">
        <v>12328.90116158534</v>
      </c>
      <c r="AW195">
        <v>13413.054320227409</v>
      </c>
      <c r="AX195">
        <v>13935.557314821381</v>
      </c>
      <c r="AY195">
        <v>15204.880989054491</v>
      </c>
      <c r="AZ195">
        <v>16833.234694692401</v>
      </c>
      <c r="BA195">
        <v>18372.37645483001</v>
      </c>
      <c r="BB195">
        <v>19300.166990063179</v>
      </c>
      <c r="BC195">
        <v>20990.912232546842</v>
      </c>
      <c r="BD195">
        <v>22808.50552688992</v>
      </c>
      <c r="BE195">
        <v>23728.14568214348</v>
      </c>
      <c r="BF195">
        <v>24433.89143448769</v>
      </c>
      <c r="BG195">
        <v>25459.73922737614</v>
      </c>
      <c r="BH195">
        <v>26988.1069013509</v>
      </c>
      <c r="BI195">
        <v>28359.692734626551</v>
      </c>
      <c r="BJ195">
        <v>30170.281897408739</v>
      </c>
      <c r="BK195">
        <v>32345.106607622482</v>
      </c>
      <c r="BL195">
        <v>35882.365506555267</v>
      </c>
      <c r="BM195">
        <v>37089.300425681176</v>
      </c>
      <c r="BN195">
        <v>41059.584782968202</v>
      </c>
      <c r="BO195">
        <v>46777.552451916163</v>
      </c>
      <c r="BP195">
        <v>48473.094028641914</v>
      </c>
      <c r="BQ195">
        <v>51262.510575688393</v>
      </c>
    </row>
    <row r="196" spans="1:69" x14ac:dyDescent="0.25">
      <c r="A196" t="s">
        <v>1425</v>
      </c>
      <c r="B196" t="s">
        <v>1426</v>
      </c>
      <c r="C196" t="s">
        <v>1580</v>
      </c>
      <c r="D196" t="s">
        <v>1581</v>
      </c>
      <c r="AI196">
        <v>1668.933402195225</v>
      </c>
      <c r="AJ196">
        <v>1697.8811884468209</v>
      </c>
      <c r="AK196">
        <v>1744.3679273410589</v>
      </c>
      <c r="AL196">
        <v>1739.0686460848169</v>
      </c>
      <c r="AM196">
        <v>1720.1094572580701</v>
      </c>
      <c r="AN196">
        <v>1752.3308942519541</v>
      </c>
      <c r="AO196">
        <v>1838.09138042164</v>
      </c>
      <c r="AP196">
        <v>1946.547944654129</v>
      </c>
      <c r="AQ196">
        <v>2062.5235316692751</v>
      </c>
      <c r="AR196">
        <v>2129.441804995934</v>
      </c>
      <c r="AS196">
        <v>2248.2665665023169</v>
      </c>
      <c r="AT196">
        <v>2332.1974472190918</v>
      </c>
      <c r="AU196">
        <v>2430.636888673303</v>
      </c>
      <c r="AV196">
        <v>2366.5372188859128</v>
      </c>
      <c r="AW196">
        <v>2666.778106424008</v>
      </c>
      <c r="AX196">
        <v>2825.7711803423222</v>
      </c>
      <c r="AY196">
        <v>3005.32731043695</v>
      </c>
      <c r="AZ196">
        <v>3181.7100924650781</v>
      </c>
      <c r="BA196">
        <v>3354.611871155379</v>
      </c>
      <c r="BB196">
        <v>3438.8243521637301</v>
      </c>
      <c r="BC196">
        <v>3606.4110428415001</v>
      </c>
      <c r="BD196">
        <v>3734.4654990187182</v>
      </c>
      <c r="BE196">
        <v>3807.4018083850842</v>
      </c>
      <c r="BF196">
        <v>3971.2273617044411</v>
      </c>
      <c r="BG196">
        <v>4091.0417024867788</v>
      </c>
      <c r="BH196">
        <v>3910.5912778382772</v>
      </c>
      <c r="BI196">
        <v>3889.733155184435</v>
      </c>
      <c r="BJ196">
        <v>3981.6856326393731</v>
      </c>
      <c r="BK196">
        <v>4170.3421611023359</v>
      </c>
      <c r="BL196">
        <v>4348.6298776080839</v>
      </c>
      <c r="BM196">
        <v>4216.2366285001972</v>
      </c>
      <c r="BN196">
        <v>4514.3999356161967</v>
      </c>
      <c r="BO196">
        <v>4931.9253632397485</v>
      </c>
      <c r="BP196">
        <v>5102.9009271315817</v>
      </c>
      <c r="BQ196">
        <v>5268.7492489194674</v>
      </c>
    </row>
    <row r="197" spans="1:69" x14ac:dyDescent="0.25">
      <c r="A197" t="s">
        <v>1427</v>
      </c>
      <c r="B197" t="s">
        <v>1428</v>
      </c>
      <c r="C197" t="s">
        <v>1580</v>
      </c>
      <c r="D197" t="s">
        <v>1581</v>
      </c>
      <c r="AI197">
        <v>13409.936928148711</v>
      </c>
      <c r="AJ197">
        <v>14082.925464353289</v>
      </c>
      <c r="AK197">
        <v>14964.35440712633</v>
      </c>
      <c r="AL197">
        <v>15896.11738216909</v>
      </c>
      <c r="AM197">
        <v>16758.75013458823</v>
      </c>
      <c r="AN197">
        <v>17723.982826153639</v>
      </c>
      <c r="AO197">
        <v>18260.04989123729</v>
      </c>
      <c r="AP197">
        <v>19301.203537166079</v>
      </c>
      <c r="AQ197">
        <v>20479.56379815951</v>
      </c>
      <c r="AR197">
        <v>21779.45007227681</v>
      </c>
      <c r="AS197">
        <v>22938.030226717339</v>
      </c>
      <c r="AT197">
        <v>24881.977378180229</v>
      </c>
      <c r="AU197">
        <v>25467.36071995394</v>
      </c>
      <c r="AV197">
        <v>25967.781481598151</v>
      </c>
      <c r="AW197">
        <v>28993.073514850181</v>
      </c>
      <c r="AX197">
        <v>29350.306055728459</v>
      </c>
      <c r="AY197">
        <v>29955.581264139619</v>
      </c>
      <c r="AZ197">
        <v>30587.999044537431</v>
      </c>
      <c r="BA197">
        <v>30782.453956562829</v>
      </c>
      <c r="BB197">
        <v>30533.680899416489</v>
      </c>
      <c r="BC197">
        <v>30908.79866308533</v>
      </c>
      <c r="BD197">
        <v>31697.218864708972</v>
      </c>
      <c r="BE197">
        <v>32077.617853912299</v>
      </c>
      <c r="BF197">
        <v>32279.40002909187</v>
      </c>
      <c r="BG197">
        <v>32391.06703115331</v>
      </c>
      <c r="BH197">
        <v>32323.545645998511</v>
      </c>
      <c r="BI197">
        <v>32245.84842766506</v>
      </c>
      <c r="BJ197">
        <v>31866.616057176871</v>
      </c>
      <c r="BK197">
        <v>33706.591515795852</v>
      </c>
      <c r="BL197">
        <v>36217.720439028701</v>
      </c>
      <c r="BM197">
        <v>36858.60852179076</v>
      </c>
      <c r="BN197">
        <v>40559.474811811961</v>
      </c>
      <c r="BO197">
        <v>45327.510192422022</v>
      </c>
      <c r="BP197">
        <v>47543.393776152807</v>
      </c>
      <c r="BQ197">
        <v>50247.849246167578</v>
      </c>
    </row>
    <row r="198" spans="1:69" x14ac:dyDescent="0.25">
      <c r="A198" t="s">
        <v>1429</v>
      </c>
      <c r="B198" t="s">
        <v>1430</v>
      </c>
      <c r="C198" t="s">
        <v>1580</v>
      </c>
      <c r="D198" t="s">
        <v>1581</v>
      </c>
    </row>
    <row r="199" spans="1:69" x14ac:dyDescent="0.25">
      <c r="A199" t="s">
        <v>1431</v>
      </c>
      <c r="B199" t="s">
        <v>1432</v>
      </c>
      <c r="C199" t="s">
        <v>1580</v>
      </c>
      <c r="D199" t="s">
        <v>1581</v>
      </c>
      <c r="AI199">
        <v>11779.756601759111</v>
      </c>
      <c r="AJ199">
        <v>12739.41015861449</v>
      </c>
      <c r="AK199">
        <v>13181.92276895802</v>
      </c>
      <c r="AL199">
        <v>13202.48015479672</v>
      </c>
      <c r="AM199">
        <v>13577.909220108409</v>
      </c>
      <c r="AN199">
        <v>14406.32547469513</v>
      </c>
      <c r="AO199">
        <v>14922.00038514267</v>
      </c>
      <c r="AP199">
        <v>15789.48504829153</v>
      </c>
      <c r="AQ199">
        <v>16688.035240985209</v>
      </c>
      <c r="AR199">
        <v>17718.15157244185</v>
      </c>
      <c r="AS199">
        <v>18883.11459694519</v>
      </c>
      <c r="AT199">
        <v>19528.58261208269</v>
      </c>
      <c r="AU199">
        <v>20356.647299736022</v>
      </c>
      <c r="AV199">
        <v>20849.594383337491</v>
      </c>
      <c r="AW199">
        <v>21475.571102126749</v>
      </c>
      <c r="AX199">
        <v>22725.277494608359</v>
      </c>
      <c r="AY199">
        <v>24677.2834629922</v>
      </c>
      <c r="AZ199">
        <v>25738.021489596129</v>
      </c>
      <c r="BA199">
        <v>26665.837295293899</v>
      </c>
      <c r="BB199">
        <v>26471.907960715918</v>
      </c>
      <c r="BC199">
        <v>27292.081953152781</v>
      </c>
      <c r="BD199">
        <v>26803.233690464549</v>
      </c>
      <c r="BE199">
        <v>26476.218277726941</v>
      </c>
      <c r="BF199">
        <v>27966.087425470461</v>
      </c>
      <c r="BG199">
        <v>28764.52549550424</v>
      </c>
      <c r="BH199">
        <v>29608.007151395599</v>
      </c>
      <c r="BI199">
        <v>31589.26956095525</v>
      </c>
      <c r="BJ199">
        <v>32970.839538656241</v>
      </c>
      <c r="BK199">
        <v>34896.799338297351</v>
      </c>
      <c r="BL199">
        <v>37865.56035642948</v>
      </c>
      <c r="BM199">
        <v>35966.712796561013</v>
      </c>
      <c r="BN199">
        <v>38657.667722342499</v>
      </c>
      <c r="BO199">
        <v>45250.014875986468</v>
      </c>
      <c r="BP199">
        <v>49352.838861303208</v>
      </c>
      <c r="BQ199">
        <v>51679.888380752687</v>
      </c>
    </row>
    <row r="200" spans="1:69" x14ac:dyDescent="0.25">
      <c r="A200" t="s">
        <v>1433</v>
      </c>
      <c r="B200" t="s">
        <v>1434</v>
      </c>
      <c r="C200" t="s">
        <v>1580</v>
      </c>
      <c r="D200" t="s">
        <v>1581</v>
      </c>
      <c r="AI200">
        <v>5636.7880701291124</v>
      </c>
      <c r="AJ200">
        <v>5872.9403292997422</v>
      </c>
      <c r="AK200">
        <v>5951.800798522574</v>
      </c>
      <c r="AL200">
        <v>6233.7611402455132</v>
      </c>
      <c r="AM200">
        <v>6542.4081769066788</v>
      </c>
      <c r="AN200">
        <v>6966.4477331621147</v>
      </c>
      <c r="AO200">
        <v>7040.0191639880613</v>
      </c>
      <c r="AP200">
        <v>7298.8423182210236</v>
      </c>
      <c r="AQ200">
        <v>7226.7009572942898</v>
      </c>
      <c r="AR200">
        <v>7079.8664918190934</v>
      </c>
      <c r="AS200">
        <v>6937.1767197552954</v>
      </c>
      <c r="AT200">
        <v>6916.4933075015952</v>
      </c>
      <c r="AU200">
        <v>6924.183349276439</v>
      </c>
      <c r="AV200">
        <v>7275.9331600899059</v>
      </c>
      <c r="AW200">
        <v>7685.6581478997168</v>
      </c>
      <c r="AX200">
        <v>8006.7097816731011</v>
      </c>
      <c r="AY200">
        <v>8560.7392513546365</v>
      </c>
      <c r="AZ200">
        <v>9178.9442158902439</v>
      </c>
      <c r="BA200">
        <v>9867.3969534374155</v>
      </c>
      <c r="BB200">
        <v>9801.6493310690003</v>
      </c>
      <c r="BC200">
        <v>10893.31491994783</v>
      </c>
      <c r="BD200">
        <v>11441.76367722549</v>
      </c>
      <c r="BE200">
        <v>10954.325157013731</v>
      </c>
      <c r="BF200">
        <v>12137.008194756159</v>
      </c>
      <c r="BG200">
        <v>12607.07216366709</v>
      </c>
      <c r="BH200">
        <v>12679.05747532335</v>
      </c>
      <c r="BI200">
        <v>13329.13733663536</v>
      </c>
      <c r="BJ200">
        <v>13977.342778867131</v>
      </c>
      <c r="BK200">
        <v>14139.093126756799</v>
      </c>
      <c r="BL200">
        <v>14149.59852275298</v>
      </c>
      <c r="BM200">
        <v>14308.878773830451</v>
      </c>
      <c r="BN200">
        <v>15406.167064657569</v>
      </c>
      <c r="BO200">
        <v>16347.043497477651</v>
      </c>
      <c r="BP200">
        <v>17564.491236937421</v>
      </c>
      <c r="BQ200">
        <v>18523.681015300041</v>
      </c>
    </row>
    <row r="201" spans="1:69" x14ac:dyDescent="0.25">
      <c r="A201" t="s">
        <v>1435</v>
      </c>
      <c r="B201" t="s">
        <v>1436</v>
      </c>
      <c r="C201" t="s">
        <v>1580</v>
      </c>
      <c r="D201" t="s">
        <v>1581</v>
      </c>
      <c r="AM201">
        <v>2201.1082421133619</v>
      </c>
      <c r="AN201">
        <v>2301.8010746146142</v>
      </c>
      <c r="AO201">
        <v>2268.519469819616</v>
      </c>
      <c r="AP201">
        <v>2530.2391606677129</v>
      </c>
      <c r="AQ201">
        <v>2851.633098465853</v>
      </c>
      <c r="AR201">
        <v>3052.4565576974569</v>
      </c>
      <c r="AS201">
        <v>2782.513884823612</v>
      </c>
      <c r="AT201">
        <v>2515.154529382165</v>
      </c>
      <c r="AU201">
        <v>2178.8630647883642</v>
      </c>
      <c r="AV201">
        <v>2469.3798039462522</v>
      </c>
      <c r="AW201">
        <v>3013.7394194689282</v>
      </c>
      <c r="AX201">
        <v>3371.902480334018</v>
      </c>
      <c r="AY201">
        <v>3354.4284658708111</v>
      </c>
      <c r="AZ201">
        <v>3485.6127182597679</v>
      </c>
      <c r="BA201">
        <v>3713.132158576499</v>
      </c>
      <c r="BB201">
        <v>3950.279783460549</v>
      </c>
      <c r="BC201">
        <v>4120.86066344952</v>
      </c>
      <c r="BD201">
        <v>4494.7313227254999</v>
      </c>
      <c r="BE201">
        <v>5214.648653991273</v>
      </c>
      <c r="BF201">
        <v>5287.8474611962902</v>
      </c>
      <c r="BG201">
        <v>5381.6369098747446</v>
      </c>
      <c r="BH201">
        <v>5769.9823663320321</v>
      </c>
      <c r="BI201">
        <v>6062.2327484457737</v>
      </c>
      <c r="BJ201">
        <v>6106.6457403712211</v>
      </c>
      <c r="BK201">
        <v>6215.8164731739625</v>
      </c>
      <c r="BL201">
        <v>6508.4483508031844</v>
      </c>
      <c r="BM201">
        <v>5956.2862006481864</v>
      </c>
      <c r="BN201">
        <v>5663.1216074358426</v>
      </c>
      <c r="BO201">
        <v>6163.2489783761312</v>
      </c>
      <c r="BP201">
        <v>5950.0200618439312</v>
      </c>
      <c r="BQ201">
        <v>4371.1113585726471</v>
      </c>
    </row>
    <row r="202" spans="1:69" x14ac:dyDescent="0.25">
      <c r="A202" t="s">
        <v>1437</v>
      </c>
      <c r="B202" t="s">
        <v>1438</v>
      </c>
      <c r="C202" t="s">
        <v>1580</v>
      </c>
      <c r="D202" t="s">
        <v>1581</v>
      </c>
      <c r="AI202">
        <v>2783.280360820806</v>
      </c>
      <c r="AJ202">
        <v>2804.2677154916091</v>
      </c>
      <c r="AK202">
        <v>2969.5513757166968</v>
      </c>
      <c r="AL202">
        <v>3055.692169319841</v>
      </c>
      <c r="AM202">
        <v>3224.5452353088931</v>
      </c>
      <c r="AN202">
        <v>3380.298614504793</v>
      </c>
      <c r="AO202">
        <v>3513.790712473522</v>
      </c>
      <c r="AP202">
        <v>3469.6689375116839</v>
      </c>
      <c r="AQ202">
        <v>3503.8143510460081</v>
      </c>
      <c r="AR202">
        <v>3685.2941150790271</v>
      </c>
      <c r="AS202">
        <v>3662.2694267654738</v>
      </c>
      <c r="AT202">
        <v>3741.6882841303432</v>
      </c>
      <c r="AU202">
        <v>3841.8080539322841</v>
      </c>
      <c r="AV202">
        <v>3936.2354833727359</v>
      </c>
      <c r="AW202">
        <v>4163.8002011471699</v>
      </c>
      <c r="AX202">
        <v>4332.0341499462302</v>
      </c>
      <c r="AY202">
        <v>4512.5878151464258</v>
      </c>
      <c r="AZ202">
        <v>4578.3242585332446</v>
      </c>
      <c r="BA202">
        <v>4701.522004397636</v>
      </c>
      <c r="BB202">
        <v>4647.5007892833928</v>
      </c>
      <c r="BC202">
        <v>4812.5481761382161</v>
      </c>
      <c r="BD202">
        <v>5020.8428877042552</v>
      </c>
      <c r="BE202">
        <v>5216.4596040091583</v>
      </c>
      <c r="BF202">
        <v>5468.6433751142013</v>
      </c>
      <c r="BG202">
        <v>6105.0465153049863</v>
      </c>
      <c r="BH202">
        <v>6500.0804396445519</v>
      </c>
      <c r="BI202">
        <v>6644.9320160518491</v>
      </c>
      <c r="BJ202">
        <v>6952.3376006267154</v>
      </c>
      <c r="BK202">
        <v>7088.4600750032196</v>
      </c>
      <c r="BL202">
        <v>7113.0603000240226</v>
      </c>
      <c r="BM202">
        <v>6203.533828720826</v>
      </c>
      <c r="BN202">
        <v>6080.3159406442746</v>
      </c>
      <c r="BO202">
        <v>7126.710495643295</v>
      </c>
      <c r="BP202">
        <v>7855.0194762467272</v>
      </c>
      <c r="BQ202">
        <v>8214.9707295775515</v>
      </c>
    </row>
    <row r="203" spans="1:69" x14ac:dyDescent="0.25">
      <c r="A203" t="s">
        <v>1439</v>
      </c>
      <c r="B203" t="s">
        <v>1440</v>
      </c>
      <c r="C203" t="s">
        <v>1580</v>
      </c>
      <c r="D203" t="s">
        <v>1581</v>
      </c>
      <c r="AI203">
        <v>18028.44664426901</v>
      </c>
      <c r="AJ203">
        <v>18685.42168912994</v>
      </c>
      <c r="AK203">
        <v>19312.23501876746</v>
      </c>
      <c r="AL203">
        <v>19832.81826444461</v>
      </c>
      <c r="AM203">
        <v>20725.208022392559</v>
      </c>
      <c r="AN203">
        <v>21605.54379014076</v>
      </c>
      <c r="AO203">
        <v>22516.48750266615</v>
      </c>
      <c r="AP203">
        <v>23509.84855759393</v>
      </c>
      <c r="AQ203">
        <v>24303.857717753919</v>
      </c>
      <c r="AR203">
        <v>25370.060863284409</v>
      </c>
      <c r="AS203">
        <v>26975.111509836948</v>
      </c>
      <c r="AT203">
        <v>27945.299732534579</v>
      </c>
      <c r="AU203">
        <v>28902.096000780799</v>
      </c>
      <c r="AV203">
        <v>29849.81124563206</v>
      </c>
      <c r="AW203">
        <v>31470.213614190539</v>
      </c>
      <c r="AX203">
        <v>33015.381779859177</v>
      </c>
      <c r="AY203">
        <v>35146.582086932001</v>
      </c>
      <c r="AZ203">
        <v>36883.200470917269</v>
      </c>
      <c r="BA203">
        <v>37823.493475171723</v>
      </c>
      <c r="BB203">
        <v>36773.822843032744</v>
      </c>
      <c r="BC203">
        <v>38115.731815585314</v>
      </c>
      <c r="BD203">
        <v>39561.450863471582</v>
      </c>
      <c r="BE203">
        <v>40599.893534911891</v>
      </c>
      <c r="BF203">
        <v>42134.934318086358</v>
      </c>
      <c r="BG203">
        <v>43277.995027579353</v>
      </c>
      <c r="BH203">
        <v>44398.453410387447</v>
      </c>
      <c r="BI203">
        <v>45910.830800128082</v>
      </c>
      <c r="BJ203">
        <v>47750.961994099227</v>
      </c>
      <c r="BK203">
        <v>49772.178245030438</v>
      </c>
      <c r="BL203">
        <v>52175.540012299658</v>
      </c>
      <c r="BM203">
        <v>51313.22960438241</v>
      </c>
      <c r="BN203">
        <v>56292.815192295377</v>
      </c>
      <c r="BO203">
        <v>62310.130943880024</v>
      </c>
      <c r="BP203">
        <v>65676.561265342534</v>
      </c>
      <c r="BQ203">
        <v>68078.194617552319</v>
      </c>
    </row>
    <row r="204" spans="1:69" x14ac:dyDescent="0.25">
      <c r="A204" t="s">
        <v>1441</v>
      </c>
      <c r="B204" t="s">
        <v>1442</v>
      </c>
      <c r="C204" t="s">
        <v>1580</v>
      </c>
      <c r="D204" t="s">
        <v>1581</v>
      </c>
    </row>
    <row r="205" spans="1:69" x14ac:dyDescent="0.25">
      <c r="A205" t="s">
        <v>1443</v>
      </c>
      <c r="B205" t="s">
        <v>1444</v>
      </c>
      <c r="C205" t="s">
        <v>1580</v>
      </c>
      <c r="D205" t="s">
        <v>1581</v>
      </c>
      <c r="AI205">
        <v>55658.883619292763</v>
      </c>
      <c r="AJ205">
        <v>54758.719287342014</v>
      </c>
      <c r="AK205">
        <v>60387.029728227848</v>
      </c>
      <c r="AL205">
        <v>59124.974842208598</v>
      </c>
      <c r="AM205">
        <v>59415.362959717197</v>
      </c>
      <c r="AN205">
        <v>60321.11162521103</v>
      </c>
      <c r="AO205">
        <v>62331.368321699338</v>
      </c>
      <c r="AP205">
        <v>79219.030227852403</v>
      </c>
      <c r="AQ205">
        <v>84486.241041522793</v>
      </c>
      <c r="AR205">
        <v>84690.09261503056</v>
      </c>
      <c r="AS205">
        <v>88848.701376488316</v>
      </c>
      <c r="AT205">
        <v>89804.935426346012</v>
      </c>
      <c r="AU205">
        <v>93176.530673522328</v>
      </c>
      <c r="AV205">
        <v>94120.366831777064</v>
      </c>
      <c r="AW205">
        <v>110957.8282110992</v>
      </c>
      <c r="AX205">
        <v>115250.40233413241</v>
      </c>
      <c r="AY205">
        <v>127180.71019978249</v>
      </c>
      <c r="AZ205">
        <v>124055.68246708441</v>
      </c>
      <c r="BA205">
        <v>126015.0243279284</v>
      </c>
      <c r="BB205">
        <v>125897.6250471502</v>
      </c>
      <c r="BC205">
        <v>151646.14516385089</v>
      </c>
      <c r="BD205">
        <v>174619.9177068148</v>
      </c>
      <c r="BE205">
        <v>180939.43945030501</v>
      </c>
      <c r="BF205">
        <v>169203.34985034089</v>
      </c>
      <c r="BG205">
        <v>148389.20013349989</v>
      </c>
      <c r="BH205">
        <v>102545.86329127901</v>
      </c>
      <c r="BI205">
        <v>89934.668882480022</v>
      </c>
      <c r="BJ205">
        <v>99358.373388043488</v>
      </c>
      <c r="BK205">
        <v>110032.8398827465</v>
      </c>
      <c r="BL205">
        <v>107502.5678536265</v>
      </c>
      <c r="BM205">
        <v>82149.456987588303</v>
      </c>
      <c r="BN205">
        <v>116832.65694197149</v>
      </c>
      <c r="BO205">
        <v>122920.54329029001</v>
      </c>
      <c r="BP205">
        <v>129367.8696709272</v>
      </c>
      <c r="BQ205">
        <v>126046.3548556116</v>
      </c>
    </row>
    <row r="206" spans="1:69" x14ac:dyDescent="0.25">
      <c r="A206" t="s">
        <v>1445</v>
      </c>
      <c r="B206" t="s">
        <v>1446</v>
      </c>
      <c r="C206" t="s">
        <v>1580</v>
      </c>
      <c r="D206" t="s">
        <v>1581</v>
      </c>
      <c r="AI206">
        <v>5325.6434918617106</v>
      </c>
      <c r="AJ206">
        <v>4836.333723057357</v>
      </c>
      <c r="AK206">
        <v>4553.8285317821546</v>
      </c>
      <c r="AL206">
        <v>4739.4862798216818</v>
      </c>
      <c r="AM206">
        <v>5038.3359915056262</v>
      </c>
      <c r="AN206">
        <v>5475.6915789153172</v>
      </c>
      <c r="AO206">
        <v>5796.7752223513817</v>
      </c>
      <c r="AP206">
        <v>5613.110604885188</v>
      </c>
      <c r="AQ206">
        <v>5579.5025317604068</v>
      </c>
      <c r="AR206">
        <v>5640.4005671292553</v>
      </c>
      <c r="AS206">
        <v>5854.8118557725466</v>
      </c>
      <c r="AT206">
        <v>6480.954490005417</v>
      </c>
      <c r="AU206">
        <v>7024.6425701500712</v>
      </c>
      <c r="AV206">
        <v>7293.8124366350312</v>
      </c>
      <c r="AW206">
        <v>8652.5391768691934</v>
      </c>
      <c r="AX206">
        <v>9229.4147565970616</v>
      </c>
      <c r="AY206">
        <v>10906.8683404818</v>
      </c>
      <c r="AZ206">
        <v>12882.0826701722</v>
      </c>
      <c r="BA206">
        <v>15709.230851562241</v>
      </c>
      <c r="BB206">
        <v>15613.274559167059</v>
      </c>
      <c r="BC206">
        <v>16386.019459076731</v>
      </c>
      <c r="BD206">
        <v>17856.45332584823</v>
      </c>
      <c r="BE206">
        <v>18766.15117275462</v>
      </c>
      <c r="BF206">
        <v>18438.50542864102</v>
      </c>
      <c r="BG206">
        <v>19357.794648383358</v>
      </c>
      <c r="BH206">
        <v>20201.85845616617</v>
      </c>
      <c r="BI206">
        <v>22294.516816926789</v>
      </c>
      <c r="BJ206">
        <v>25109.242369102121</v>
      </c>
      <c r="BK206">
        <v>27678.629954709839</v>
      </c>
      <c r="BL206">
        <v>31484.696768049529</v>
      </c>
      <c r="BM206">
        <v>32209.33715297938</v>
      </c>
      <c r="BN206">
        <v>35713.768600350159</v>
      </c>
      <c r="BO206">
        <v>40884.594590081928</v>
      </c>
      <c r="BP206">
        <v>47038.528862611289</v>
      </c>
      <c r="BQ206">
        <v>49558.668912013651</v>
      </c>
    </row>
    <row r="207" spans="1:69" x14ac:dyDescent="0.25">
      <c r="A207" t="s">
        <v>1447</v>
      </c>
      <c r="B207" t="s">
        <v>1448</v>
      </c>
      <c r="C207" t="s">
        <v>1580</v>
      </c>
      <c r="D207" t="s">
        <v>1581</v>
      </c>
      <c r="AI207">
        <v>8027.7890625</v>
      </c>
      <c r="AJ207">
        <v>7857.85498046875</v>
      </c>
      <c r="AK207">
        <v>6862.41455078125</v>
      </c>
      <c r="AL207">
        <v>6419.53662109375</v>
      </c>
      <c r="AM207">
        <v>5734.421875</v>
      </c>
      <c r="AN207">
        <v>5613.28076171875</v>
      </c>
      <c r="AO207">
        <v>5517.85888671875</v>
      </c>
      <c r="AP207">
        <v>5699.94775390625</v>
      </c>
      <c r="AQ207">
        <v>5465.05615234375</v>
      </c>
      <c r="AR207">
        <v>5914.326171875</v>
      </c>
      <c r="AS207">
        <v>6825.3916015625</v>
      </c>
      <c r="AT207">
        <v>7361.36376953125</v>
      </c>
      <c r="AU207">
        <v>8037.474609375</v>
      </c>
      <c r="AV207">
        <v>9254.537109375</v>
      </c>
      <c r="AW207">
        <v>10226.7666015625</v>
      </c>
      <c r="AX207">
        <v>11822.3466796875</v>
      </c>
      <c r="AY207">
        <v>14912.234375</v>
      </c>
      <c r="AZ207">
        <v>16648.2421875</v>
      </c>
      <c r="BA207">
        <v>20163.609375</v>
      </c>
      <c r="BB207">
        <v>19389.94140625</v>
      </c>
      <c r="BC207">
        <v>20490.126953125</v>
      </c>
      <c r="BD207">
        <v>22789.54296875</v>
      </c>
      <c r="BE207">
        <v>24273.517578125</v>
      </c>
      <c r="BF207">
        <v>26019.7265625</v>
      </c>
      <c r="BG207">
        <v>25688.2265625</v>
      </c>
      <c r="BH207">
        <v>23994.013671875</v>
      </c>
      <c r="BI207">
        <v>24012.40234375</v>
      </c>
      <c r="BJ207">
        <v>25777.904296875</v>
      </c>
      <c r="BK207">
        <v>28628.5625</v>
      </c>
      <c r="BL207">
        <v>30963.853515625</v>
      </c>
      <c r="BM207">
        <v>31490.8046875</v>
      </c>
      <c r="BN207">
        <v>38638.4296875</v>
      </c>
      <c r="BO207">
        <v>40938.98828125</v>
      </c>
      <c r="BP207">
        <v>44268.73046875</v>
      </c>
      <c r="BQ207">
        <v>47404.96484375</v>
      </c>
    </row>
    <row r="208" spans="1:69" x14ac:dyDescent="0.25">
      <c r="A208" t="s">
        <v>1449</v>
      </c>
      <c r="B208" t="s">
        <v>1450</v>
      </c>
      <c r="C208" t="s">
        <v>1580</v>
      </c>
      <c r="D208" t="s">
        <v>1581</v>
      </c>
      <c r="AI208">
        <v>548.81631326347315</v>
      </c>
      <c r="AJ208">
        <v>541.96576922008614</v>
      </c>
      <c r="AK208">
        <v>574.93121613772564</v>
      </c>
      <c r="AL208">
        <v>520.64988904071629</v>
      </c>
      <c r="AM208">
        <v>310.8676173725807</v>
      </c>
      <c r="AN208">
        <v>513.76319795009726</v>
      </c>
      <c r="AO208">
        <v>498.88197828300758</v>
      </c>
      <c r="AP208">
        <v>499.80734299532082</v>
      </c>
      <c r="AQ208">
        <v>527.97425193625429</v>
      </c>
      <c r="AR208">
        <v>554.20577273385186</v>
      </c>
      <c r="AS208">
        <v>609.26585554555277</v>
      </c>
      <c r="AT208">
        <v>669.87543635014549</v>
      </c>
      <c r="AU208">
        <v>759.66261291149192</v>
      </c>
      <c r="AV208">
        <v>774.50823733233494</v>
      </c>
      <c r="AW208">
        <v>832.2797193040534</v>
      </c>
      <c r="AX208">
        <v>914.22736640810376</v>
      </c>
      <c r="AY208">
        <v>1002.289493884278</v>
      </c>
      <c r="AZ208">
        <v>1078.9388524636779</v>
      </c>
      <c r="BA208">
        <v>1190.757579833205</v>
      </c>
      <c r="BB208">
        <v>1240.5497263138541</v>
      </c>
      <c r="BC208">
        <v>1314.135594943242</v>
      </c>
      <c r="BD208">
        <v>1412.907521553185</v>
      </c>
      <c r="BE208">
        <v>1454.52507891388</v>
      </c>
      <c r="BF208">
        <v>1512.2417125384841</v>
      </c>
      <c r="BG208">
        <v>1677.568696841822</v>
      </c>
      <c r="BH208">
        <v>1780.7417163686321</v>
      </c>
      <c r="BI208">
        <v>1866.3896853028559</v>
      </c>
      <c r="BJ208">
        <v>1967.9428660249889</v>
      </c>
      <c r="BK208">
        <v>2125.495227128391</v>
      </c>
      <c r="BL208">
        <v>2336.0396730273192</v>
      </c>
      <c r="BM208">
        <v>2284.898897953281</v>
      </c>
      <c r="BN208">
        <v>2733.435667624472</v>
      </c>
      <c r="BO208">
        <v>3098.677006349943</v>
      </c>
      <c r="BP208">
        <v>3399.451746031431</v>
      </c>
      <c r="BQ208">
        <v>3710.8604043459568</v>
      </c>
    </row>
    <row r="209" spans="1:69" x14ac:dyDescent="0.25">
      <c r="A209" t="s">
        <v>1451</v>
      </c>
      <c r="B209" t="s">
        <v>1452</v>
      </c>
      <c r="C209" t="s">
        <v>1580</v>
      </c>
      <c r="D209" t="s">
        <v>1581</v>
      </c>
      <c r="AI209">
        <v>1196.933725135887</v>
      </c>
      <c r="AJ209">
        <v>1229.057387397625</v>
      </c>
      <c r="AK209">
        <v>1297.6214127827191</v>
      </c>
      <c r="AL209">
        <v>1363.6353247777561</v>
      </c>
      <c r="AM209">
        <v>1452.1914971408651</v>
      </c>
      <c r="AN209">
        <v>1558.5097653664891</v>
      </c>
      <c r="AO209">
        <v>1666.887901940046</v>
      </c>
      <c r="AP209">
        <v>1732.361687837172</v>
      </c>
      <c r="AQ209">
        <v>1821.5909598353851</v>
      </c>
      <c r="AR209">
        <v>1962.8345596915369</v>
      </c>
      <c r="AS209">
        <v>2050.007051560799</v>
      </c>
      <c r="AT209">
        <v>2153.1676123374359</v>
      </c>
      <c r="AU209">
        <v>2229.421738939735</v>
      </c>
      <c r="AV209">
        <v>2403.2961256675262</v>
      </c>
      <c r="AW209">
        <v>2612.0518139398559</v>
      </c>
      <c r="AX209">
        <v>2856.176194582531</v>
      </c>
      <c r="AY209">
        <v>3129.7198076410009</v>
      </c>
      <c r="AZ209">
        <v>3407.963134420263</v>
      </c>
      <c r="BA209">
        <v>3543.8873217504679</v>
      </c>
      <c r="BB209">
        <v>3779.974474773695</v>
      </c>
      <c r="BC209">
        <v>4084.5580716955978</v>
      </c>
      <c r="BD209">
        <v>4336.4615973471527</v>
      </c>
      <c r="BE209">
        <v>4712.8328234322335</v>
      </c>
      <c r="BF209">
        <v>4923.1336714330082</v>
      </c>
      <c r="BG209">
        <v>5117.5737763736524</v>
      </c>
      <c r="BH209">
        <v>5353.196952980793</v>
      </c>
      <c r="BI209">
        <v>5729.0006291087384</v>
      </c>
      <c r="BJ209">
        <v>6077.7762256978776</v>
      </c>
      <c r="BK209">
        <v>6648.9874930494807</v>
      </c>
      <c r="BL209">
        <v>7088.516622333028</v>
      </c>
      <c r="BM209">
        <v>6969.472124202548</v>
      </c>
      <c r="BN209">
        <v>8015.3567446281122</v>
      </c>
      <c r="BO209">
        <v>9129.6017328317175</v>
      </c>
      <c r="BP209">
        <v>10176.35476358226</v>
      </c>
      <c r="BQ209">
        <v>10973.710171580449</v>
      </c>
    </row>
    <row r="210" spans="1:69" x14ac:dyDescent="0.25">
      <c r="A210" t="s">
        <v>1453</v>
      </c>
      <c r="B210" t="s">
        <v>1454</v>
      </c>
      <c r="C210" t="s">
        <v>1580</v>
      </c>
      <c r="D210" t="s">
        <v>1581</v>
      </c>
      <c r="AI210">
        <v>46214.21806846025</v>
      </c>
      <c r="AJ210">
        <v>49295.474814503657</v>
      </c>
      <c r="AK210">
        <v>50355.406501270452</v>
      </c>
      <c r="AL210">
        <v>49503.232071536622</v>
      </c>
      <c r="AM210">
        <v>48903.579169677672</v>
      </c>
      <c r="AN210">
        <v>48052.409111074237</v>
      </c>
      <c r="AO210">
        <v>48569.163315143996</v>
      </c>
      <c r="AP210">
        <v>48795.672612600749</v>
      </c>
      <c r="AQ210">
        <v>48867.250142435259</v>
      </c>
      <c r="AR210">
        <v>47494.665350724557</v>
      </c>
      <c r="AS210">
        <v>48643.607217764649</v>
      </c>
      <c r="AT210">
        <v>47380.803155503643</v>
      </c>
      <c r="AU210">
        <v>45466.025767305138</v>
      </c>
      <c r="AV210">
        <v>48078.118611716709</v>
      </c>
      <c r="AW210">
        <v>51225.325820255093</v>
      </c>
      <c r="AX210">
        <v>53548.196492553659</v>
      </c>
      <c r="AY210">
        <v>54638.758892512917</v>
      </c>
      <c r="AZ210">
        <v>55029.871213820043</v>
      </c>
      <c r="BA210">
        <v>57236.051956828473</v>
      </c>
      <c r="BB210">
        <v>54787.355211477457</v>
      </c>
      <c r="BC210">
        <v>58828.726534911002</v>
      </c>
      <c r="BD210">
        <v>64125.217722583788</v>
      </c>
      <c r="BE210">
        <v>65033.616181807709</v>
      </c>
      <c r="BF210">
        <v>62202.885920257198</v>
      </c>
      <c r="BG210">
        <v>62578.070841515597</v>
      </c>
      <c r="BH210">
        <v>53930.827387262187</v>
      </c>
      <c r="BI210">
        <v>49937.066810380798</v>
      </c>
      <c r="BJ210">
        <v>53120.457245626923</v>
      </c>
      <c r="BK210">
        <v>59377.802536876778</v>
      </c>
      <c r="BL210">
        <v>59560.25379045459</v>
      </c>
      <c r="BM210">
        <v>47518.48774851529</v>
      </c>
      <c r="BN210">
        <v>62690.496664592858</v>
      </c>
      <c r="BO210">
        <v>71968.074955888034</v>
      </c>
      <c r="BP210">
        <v>71564.80002856499</v>
      </c>
      <c r="BQ210">
        <v>71375.372789028523</v>
      </c>
    </row>
    <row r="211" spans="1:69" x14ac:dyDescent="0.25">
      <c r="A211" t="s">
        <v>1455</v>
      </c>
      <c r="B211" t="s">
        <v>1456</v>
      </c>
      <c r="C211" t="s">
        <v>1580</v>
      </c>
      <c r="D211" t="s">
        <v>1581</v>
      </c>
      <c r="AI211">
        <v>1467.99328613281</v>
      </c>
      <c r="AJ211">
        <v>1598.86901855469</v>
      </c>
      <c r="AK211">
        <v>1709.70544433594</v>
      </c>
      <c r="AL211">
        <v>1793.81896972656</v>
      </c>
      <c r="AM211">
        <v>1805.20349121094</v>
      </c>
      <c r="AN211">
        <v>1902.43005371094</v>
      </c>
      <c r="AO211">
        <v>2005.60961914063</v>
      </c>
      <c r="AP211">
        <v>2358.26098632813</v>
      </c>
      <c r="AQ211">
        <v>2427.79565429688</v>
      </c>
      <c r="AR211">
        <v>2475.06665039063</v>
      </c>
      <c r="AS211">
        <v>2616.46459960938</v>
      </c>
      <c r="AT211">
        <v>2769.4228515625</v>
      </c>
      <c r="AU211">
        <v>2898.138671875</v>
      </c>
      <c r="AV211">
        <v>3058.10375976563</v>
      </c>
      <c r="AW211">
        <v>3215.236328125</v>
      </c>
      <c r="AX211">
        <v>3407.35180664063</v>
      </c>
      <c r="AY211">
        <v>3637.32666015625</v>
      </c>
      <c r="AZ211">
        <v>3836.48901367188</v>
      </c>
      <c r="BA211">
        <v>3937.52685546875</v>
      </c>
      <c r="BB211">
        <v>3731.61474609375</v>
      </c>
      <c r="BC211">
        <v>3805.62744140625</v>
      </c>
      <c r="BD211">
        <v>4112.21875</v>
      </c>
      <c r="BE211">
        <v>3710.376953125</v>
      </c>
      <c r="BF211">
        <v>3724.9599609375</v>
      </c>
      <c r="BG211">
        <v>4260.57177734375</v>
      </c>
      <c r="BH211">
        <v>4217.01025390625</v>
      </c>
      <c r="BI211">
        <v>4470.35498046875</v>
      </c>
      <c r="BJ211">
        <v>4252.42138671875</v>
      </c>
      <c r="BK211">
        <v>4199.25048828125</v>
      </c>
      <c r="BL211">
        <v>3914.2255859375</v>
      </c>
      <c r="BM211">
        <v>3348.57836914063</v>
      </c>
      <c r="BN211">
        <v>3248.9755859375</v>
      </c>
      <c r="BO211">
        <v>3355.37817382813</v>
      </c>
      <c r="BP211">
        <v>2420.65795898438</v>
      </c>
      <c r="BQ211">
        <v>2115.81616210938</v>
      </c>
    </row>
    <row r="212" spans="1:69" x14ac:dyDescent="0.25">
      <c r="A212" t="s">
        <v>1457</v>
      </c>
      <c r="B212" t="s">
        <v>1458</v>
      </c>
      <c r="C212" t="s">
        <v>1580</v>
      </c>
      <c r="D212" t="s">
        <v>1581</v>
      </c>
      <c r="AI212">
        <v>1513.0772910107501</v>
      </c>
      <c r="AJ212">
        <v>1560.8596844062581</v>
      </c>
      <c r="AK212">
        <v>1572.8900940431261</v>
      </c>
      <c r="AL212">
        <v>1587.776526664165</v>
      </c>
      <c r="AM212">
        <v>1578.094605347369</v>
      </c>
      <c r="AN212">
        <v>1656.2672497306071</v>
      </c>
      <c r="AO212">
        <v>1679.1149414693309</v>
      </c>
      <c r="AP212">
        <v>1719.0479984510439</v>
      </c>
      <c r="AQ212">
        <v>1798.391999548367</v>
      </c>
      <c r="AR212">
        <v>1893.032837120702</v>
      </c>
      <c r="AS212">
        <v>1963.275098787386</v>
      </c>
      <c r="AT212">
        <v>2043.852895409334</v>
      </c>
      <c r="AU212">
        <v>2026.7778244696899</v>
      </c>
      <c r="AV212">
        <v>2130.5079747448649</v>
      </c>
      <c r="AW212">
        <v>2236.294009498371</v>
      </c>
      <c r="AX212">
        <v>2350.2003704245508</v>
      </c>
      <c r="AY212">
        <v>2422.0976179885802</v>
      </c>
      <c r="AZ212">
        <v>2499.3158288219161</v>
      </c>
      <c r="BA212">
        <v>2580.7194918021719</v>
      </c>
      <c r="BB212">
        <v>2605.7228025070108</v>
      </c>
      <c r="BC212">
        <v>2662.5048662647941</v>
      </c>
      <c r="BD212">
        <v>2684.949897223185</v>
      </c>
      <c r="BE212">
        <v>2764.261307084822</v>
      </c>
      <c r="BF212">
        <v>2768.7681871198452</v>
      </c>
      <c r="BG212">
        <v>2853.804562506351</v>
      </c>
      <c r="BH212">
        <v>2994.280327148746</v>
      </c>
      <c r="BI212">
        <v>3101.1234849410789</v>
      </c>
      <c r="BJ212">
        <v>3234.3615819408828</v>
      </c>
      <c r="BK212">
        <v>3380.2159652944538</v>
      </c>
      <c r="BL212">
        <v>3647.9513735724158</v>
      </c>
      <c r="BM212">
        <v>3752.9194749081698</v>
      </c>
      <c r="BN212">
        <v>4173.6774139961944</v>
      </c>
      <c r="BO212">
        <v>4530.2205949605504</v>
      </c>
      <c r="BP212">
        <v>4777.6145186157819</v>
      </c>
      <c r="BQ212">
        <v>5070.6486207417965</v>
      </c>
    </row>
    <row r="213" spans="1:69" x14ac:dyDescent="0.25">
      <c r="A213" t="s">
        <v>1459</v>
      </c>
      <c r="B213" t="s">
        <v>1460</v>
      </c>
      <c r="C213" t="s">
        <v>1580</v>
      </c>
      <c r="D213" t="s">
        <v>1581</v>
      </c>
      <c r="AI213">
        <v>23815.159726471338</v>
      </c>
      <c r="AJ213">
        <v>25530.366698224421</v>
      </c>
      <c r="AK213">
        <v>27021.840881850971</v>
      </c>
      <c r="AL213">
        <v>30062.1391659164</v>
      </c>
      <c r="AM213">
        <v>33057.537698505686</v>
      </c>
      <c r="AN213">
        <v>35090.068748830927</v>
      </c>
      <c r="AO213">
        <v>36872.703584893759</v>
      </c>
      <c r="AP213">
        <v>39286.432160172539</v>
      </c>
      <c r="AQ213">
        <v>37559.612163898717</v>
      </c>
      <c r="AR213">
        <v>39948.780133101121</v>
      </c>
      <c r="AS213">
        <v>43781.269149680949</v>
      </c>
      <c r="AT213">
        <v>43109.064194015657</v>
      </c>
      <c r="AU213">
        <v>45083.252990457273</v>
      </c>
      <c r="AV213">
        <v>48778.298330124388</v>
      </c>
      <c r="AW213">
        <v>54383.806233221861</v>
      </c>
      <c r="AX213">
        <v>58821.693465090088</v>
      </c>
      <c r="AY213">
        <v>64060.56860424245</v>
      </c>
      <c r="AZ213">
        <v>68804.9832153264</v>
      </c>
      <c r="BA213">
        <v>67735.348085201869</v>
      </c>
      <c r="BB213">
        <v>66212.962556151993</v>
      </c>
      <c r="BC213">
        <v>75400.555798417743</v>
      </c>
      <c r="BD213">
        <v>80052.39149826506</v>
      </c>
      <c r="BE213">
        <v>82107.727089209162</v>
      </c>
      <c r="BF213">
        <v>83088.31854116582</v>
      </c>
      <c r="BG213">
        <v>84555.244610082649</v>
      </c>
      <c r="BH213">
        <v>87156.187383315017</v>
      </c>
      <c r="BI213">
        <v>89901.815916503576</v>
      </c>
      <c r="BJ213">
        <v>95744.182160095719</v>
      </c>
      <c r="BK213">
        <v>103963.3632926905</v>
      </c>
      <c r="BL213">
        <v>105335.29197411091</v>
      </c>
      <c r="BM213">
        <v>101518.3179844398</v>
      </c>
      <c r="BN213">
        <v>132617.3540208764</v>
      </c>
      <c r="BO213">
        <v>143094.9498969588</v>
      </c>
      <c r="BP213">
        <v>143786.1362930132</v>
      </c>
      <c r="BQ213">
        <v>150689.30162582561</v>
      </c>
    </row>
    <row r="214" spans="1:69" x14ac:dyDescent="0.25">
      <c r="A214" t="s">
        <v>1461</v>
      </c>
      <c r="B214" t="s">
        <v>1462</v>
      </c>
      <c r="C214" t="s">
        <v>1580</v>
      </c>
      <c r="D214" t="s">
        <v>1581</v>
      </c>
      <c r="AI214">
        <v>1266.2774400337339</v>
      </c>
      <c r="AJ214">
        <v>1345.810689413423</v>
      </c>
      <c r="AK214">
        <v>1505.190587650648</v>
      </c>
      <c r="AL214">
        <v>1555.537439173462</v>
      </c>
      <c r="AM214">
        <v>1667.636999991025</v>
      </c>
      <c r="AN214">
        <v>1820.4979405937111</v>
      </c>
      <c r="AO214">
        <v>1830.0360116162401</v>
      </c>
      <c r="AP214">
        <v>1792.6771775644779</v>
      </c>
      <c r="AQ214">
        <v>1785.422903660615</v>
      </c>
      <c r="AR214">
        <v>1754.056295908189</v>
      </c>
      <c r="AS214">
        <v>1502.887769672265</v>
      </c>
      <c r="AT214">
        <v>1387.19586861271</v>
      </c>
      <c r="AU214">
        <v>1343.7391635686729</v>
      </c>
      <c r="AV214">
        <v>1433.0952020912321</v>
      </c>
      <c r="AW214">
        <v>1556.469749138369</v>
      </c>
      <c r="AX214">
        <v>1693.1919351482829</v>
      </c>
      <c r="AY214">
        <v>1786.139629000734</v>
      </c>
      <c r="AZ214">
        <v>1868.755072145781</v>
      </c>
      <c r="BA214">
        <v>1989.0135920954051</v>
      </c>
      <c r="BB214">
        <v>2021.4631508686909</v>
      </c>
      <c r="BC214">
        <v>2182.2160385883672</v>
      </c>
      <c r="BD214">
        <v>2306.281279506291</v>
      </c>
      <c r="BE214">
        <v>2320.45346146884</v>
      </c>
      <c r="BF214">
        <v>2394.4678808364611</v>
      </c>
      <c r="BG214">
        <v>2377.3839701581528</v>
      </c>
      <c r="BH214">
        <v>2353.7823528368081</v>
      </c>
      <c r="BI214">
        <v>2421.189911189434</v>
      </c>
      <c r="BJ214">
        <v>2454.0467191424341</v>
      </c>
      <c r="BK214">
        <v>2493.976757375513</v>
      </c>
      <c r="BL214">
        <v>2512.0138797344771</v>
      </c>
      <c r="BM214">
        <v>2405.3150936470361</v>
      </c>
      <c r="BN214">
        <v>2449.8700982145151</v>
      </c>
      <c r="BO214">
        <v>2496.2273457783081</v>
      </c>
      <c r="BP214">
        <v>2596.5636425280309</v>
      </c>
      <c r="BQ214">
        <v>2674.8931133983069</v>
      </c>
    </row>
    <row r="215" spans="1:69" x14ac:dyDescent="0.25">
      <c r="A215" t="s">
        <v>1463</v>
      </c>
      <c r="B215" t="s">
        <v>1464</v>
      </c>
      <c r="C215" t="s">
        <v>1580</v>
      </c>
      <c r="D215" t="s">
        <v>1581</v>
      </c>
      <c r="AI215">
        <v>1382.0216214117861</v>
      </c>
      <c r="AJ215">
        <v>1445.336652126806</v>
      </c>
      <c r="AK215">
        <v>1220.1705718300441</v>
      </c>
      <c r="AL215">
        <v>1269.0752655977151</v>
      </c>
      <c r="AM215">
        <v>1266.0658385970621</v>
      </c>
      <c r="AN215">
        <v>1187.4772018790891</v>
      </c>
      <c r="AO215">
        <v>1224.55526220614</v>
      </c>
      <c r="AP215">
        <v>1157.439293082163</v>
      </c>
      <c r="AQ215">
        <v>1179.673088288908</v>
      </c>
      <c r="AR215">
        <v>1166.6423031556051</v>
      </c>
      <c r="AS215">
        <v>1242.074320449485</v>
      </c>
      <c r="AT215">
        <v>1121.2426009952931</v>
      </c>
      <c r="AU215">
        <v>1359.9172565124629</v>
      </c>
      <c r="AV215">
        <v>1457.801678574582</v>
      </c>
      <c r="AW215">
        <v>1541.005713214385</v>
      </c>
      <c r="AX215">
        <v>1614.503619251738</v>
      </c>
      <c r="AY215">
        <v>1697.696804212781</v>
      </c>
      <c r="AZ215">
        <v>1769.7797212546709</v>
      </c>
      <c r="BA215">
        <v>1824.2449836755561</v>
      </c>
      <c r="BB215">
        <v>1814.0708691735031</v>
      </c>
      <c r="BC215">
        <v>1900.3851520670289</v>
      </c>
      <c r="BD215">
        <v>2042.7000910139859</v>
      </c>
      <c r="BE215">
        <v>2317.191399752804</v>
      </c>
      <c r="BF215">
        <v>2700.7380780525882</v>
      </c>
      <c r="BG215">
        <v>2762.0455374594808</v>
      </c>
      <c r="BH215">
        <v>2560.0498580759272</v>
      </c>
      <c r="BI215">
        <v>2634.9252433025022</v>
      </c>
      <c r="BJ215">
        <v>2501.4531554481969</v>
      </c>
      <c r="BK215">
        <v>2640.4756678764579</v>
      </c>
      <c r="BL215">
        <v>2704.0583586675621</v>
      </c>
      <c r="BM215">
        <v>2719.0728681580681</v>
      </c>
      <c r="BN215">
        <v>2849.3886592643589</v>
      </c>
      <c r="BO215">
        <v>3143.9645105050681</v>
      </c>
      <c r="BP215">
        <v>3368.3172718806318</v>
      </c>
      <c r="BQ215">
        <v>3522.305880091194</v>
      </c>
    </row>
    <row r="216" spans="1:69" x14ac:dyDescent="0.25">
      <c r="A216" t="s">
        <v>1465</v>
      </c>
      <c r="B216" t="s">
        <v>1466</v>
      </c>
      <c r="C216" t="s">
        <v>1580</v>
      </c>
      <c r="D216" t="s">
        <v>1581</v>
      </c>
      <c r="AI216">
        <v>2856.3383469232349</v>
      </c>
      <c r="AJ216">
        <v>2945.0486375190371</v>
      </c>
      <c r="AK216">
        <v>3171.4253353142099</v>
      </c>
      <c r="AL216">
        <v>3390.3678115284938</v>
      </c>
      <c r="AM216">
        <v>3590.8651558149468</v>
      </c>
      <c r="AN216">
        <v>3807.7260377083448</v>
      </c>
      <c r="AO216">
        <v>3879.8426978788698</v>
      </c>
      <c r="AP216">
        <v>4043.2304999984381</v>
      </c>
      <c r="AQ216">
        <v>4171.2757857709521</v>
      </c>
      <c r="AR216">
        <v>4297.5612921820821</v>
      </c>
      <c r="AS216">
        <v>4422.4451057424758</v>
      </c>
      <c r="AT216">
        <v>4542.9258719249847</v>
      </c>
      <c r="AU216">
        <v>4671.5530282812524</v>
      </c>
      <c r="AV216">
        <v>4828.7029706713811</v>
      </c>
      <c r="AW216">
        <v>4997.5938525802076</v>
      </c>
      <c r="AX216">
        <v>5291.6696229924264</v>
      </c>
      <c r="AY216">
        <v>5694.5233088409132</v>
      </c>
      <c r="AZ216">
        <v>5949.4264061197064</v>
      </c>
      <c r="BA216">
        <v>6174.6915515457385</v>
      </c>
      <c r="BB216">
        <v>6062.6757195155751</v>
      </c>
      <c r="BC216">
        <v>6247.9145271682864</v>
      </c>
      <c r="BD216">
        <v>6593.6780680802194</v>
      </c>
      <c r="BE216">
        <v>6708.3903224628357</v>
      </c>
      <c r="BF216">
        <v>7092.5885213329748</v>
      </c>
      <c r="BG216">
        <v>7503.7110581198131</v>
      </c>
      <c r="BH216">
        <v>7933.7369785899909</v>
      </c>
      <c r="BI216">
        <v>8455.6161477397454</v>
      </c>
      <c r="BJ216">
        <v>8965.2189086345043</v>
      </c>
      <c r="BK216">
        <v>9203.7621631077254</v>
      </c>
      <c r="BL216">
        <v>9756.7521864595001</v>
      </c>
      <c r="BM216">
        <v>9392.6891381794339</v>
      </c>
      <c r="BN216">
        <v>10809.713399517959</v>
      </c>
      <c r="BO216">
        <v>11875.96480662328</v>
      </c>
      <c r="BP216">
        <v>12679.57687520609</v>
      </c>
      <c r="BQ216">
        <v>13264.027090968029</v>
      </c>
    </row>
    <row r="217" spans="1:69" x14ac:dyDescent="0.25">
      <c r="A217" t="s">
        <v>1467</v>
      </c>
      <c r="B217" t="s">
        <v>1468</v>
      </c>
      <c r="C217" t="s">
        <v>1580</v>
      </c>
      <c r="D217" t="s">
        <v>1581</v>
      </c>
      <c r="AP217">
        <v>44426.475437140318</v>
      </c>
      <c r="AQ217">
        <v>47679.146623532353</v>
      </c>
      <c r="AR217">
        <v>52063.946302573597</v>
      </c>
      <c r="AS217">
        <v>53713.448334471403</v>
      </c>
      <c r="AT217">
        <v>57251.79559730296</v>
      </c>
      <c r="AU217">
        <v>57583.906942517831</v>
      </c>
      <c r="AV217">
        <v>60223.912846742707</v>
      </c>
      <c r="AW217">
        <v>61113.901866165281</v>
      </c>
      <c r="AX217">
        <v>63738.573872193941</v>
      </c>
      <c r="AY217">
        <v>67434.156006444377</v>
      </c>
      <c r="AZ217">
        <v>71744.051998649185</v>
      </c>
      <c r="BA217">
        <v>71723.624218725061</v>
      </c>
      <c r="BB217">
        <v>61969.828536818153</v>
      </c>
      <c r="BC217">
        <v>58926.140370129819</v>
      </c>
      <c r="BD217">
        <v>56239.959273001761</v>
      </c>
      <c r="BE217">
        <v>51274.215478596423</v>
      </c>
      <c r="BF217">
        <v>50770.367319586243</v>
      </c>
      <c r="BG217">
        <v>52909.222407125162</v>
      </c>
      <c r="BH217">
        <v>52247.207827641512</v>
      </c>
      <c r="BI217">
        <v>53033.056337623493</v>
      </c>
      <c r="BJ217">
        <v>52463.419639774787</v>
      </c>
      <c r="BK217">
        <v>54460.905833286532</v>
      </c>
      <c r="BL217">
        <v>57444.119358210883</v>
      </c>
      <c r="BM217">
        <v>55206.581232440483</v>
      </c>
      <c r="BN217">
        <v>64745.131678070124</v>
      </c>
      <c r="BO217">
        <v>75941.489909016222</v>
      </c>
      <c r="BP217">
        <v>78745.431329933519</v>
      </c>
    </row>
    <row r="218" spans="1:69" x14ac:dyDescent="0.25">
      <c r="A218" t="s">
        <v>1469</v>
      </c>
      <c r="B218" t="s">
        <v>1470</v>
      </c>
      <c r="C218" t="s">
        <v>1580</v>
      </c>
      <c r="D218" t="s">
        <v>1581</v>
      </c>
      <c r="AJ218">
        <v>469.07179582945042</v>
      </c>
      <c r="AK218">
        <v>460.57696072795568</v>
      </c>
      <c r="AL218">
        <v>476.63865709295987</v>
      </c>
      <c r="AM218">
        <v>380.27535690576582</v>
      </c>
      <c r="AN218">
        <v>389.43173668054908</v>
      </c>
      <c r="AO218">
        <v>413.18528118368602</v>
      </c>
      <c r="AP218">
        <v>410.59458601146002</v>
      </c>
      <c r="AQ218">
        <v>424.60085635665678</v>
      </c>
      <c r="AR218">
        <v>443.80318691312448</v>
      </c>
      <c r="AS218">
        <v>467.06092211704089</v>
      </c>
      <c r="AT218">
        <v>491.5273299818337</v>
      </c>
      <c r="AU218">
        <v>517.47520610474226</v>
      </c>
      <c r="AV218">
        <v>547.37415477777063</v>
      </c>
      <c r="AW218">
        <v>580.28495553912865</v>
      </c>
      <c r="AX218">
        <v>619.15829842065546</v>
      </c>
      <c r="AY218">
        <v>659.13758050418085</v>
      </c>
      <c r="AZ218">
        <v>700.17405796518653</v>
      </c>
      <c r="BA218">
        <v>739.20946933510368</v>
      </c>
      <c r="BB218">
        <v>773.78086219289287</v>
      </c>
      <c r="BC218">
        <v>815.13143599487432</v>
      </c>
      <c r="BD218">
        <v>881.38311305094066</v>
      </c>
      <c r="BE218">
        <v>1002.932265714703</v>
      </c>
      <c r="BF218">
        <v>944.40456728032382</v>
      </c>
      <c r="BG218">
        <v>1127.7192220033769</v>
      </c>
      <c r="BH218">
        <v>1341.389996787279</v>
      </c>
      <c r="BI218">
        <v>1468.5043847460461</v>
      </c>
      <c r="BJ218">
        <v>1596.81409178022</v>
      </c>
      <c r="BK218">
        <v>1551.5277397747309</v>
      </c>
      <c r="BL218">
        <v>1548.2725094009841</v>
      </c>
      <c r="BM218">
        <v>1454.2671184885551</v>
      </c>
      <c r="BN218">
        <v>1392.3178205337049</v>
      </c>
      <c r="BO218">
        <v>1486.472473338335</v>
      </c>
      <c r="BP218">
        <v>1555.610167987762</v>
      </c>
      <c r="BQ218">
        <v>1601.964666023395</v>
      </c>
    </row>
    <row r="219" spans="1:69" x14ac:dyDescent="0.25">
      <c r="A219" t="s">
        <v>1471</v>
      </c>
      <c r="B219" t="s">
        <v>1472</v>
      </c>
      <c r="C219" t="s">
        <v>1580</v>
      </c>
      <c r="D219" t="s">
        <v>1581</v>
      </c>
      <c r="AN219">
        <v>5026.2208639630526</v>
      </c>
      <c r="AO219">
        <v>5438.1103152409769</v>
      </c>
      <c r="AP219">
        <v>6044.8164199557559</v>
      </c>
      <c r="AQ219">
        <v>6465.5358707192754</v>
      </c>
      <c r="AR219">
        <v>5901.3058677412319</v>
      </c>
      <c r="AS219">
        <v>6420.8891272337869</v>
      </c>
      <c r="AT219">
        <v>6762.125254169523</v>
      </c>
      <c r="AU219">
        <v>7417.3557880591961</v>
      </c>
      <c r="AV219">
        <v>7741.0518965869196</v>
      </c>
      <c r="AW219">
        <v>8388.6045113409018</v>
      </c>
      <c r="AX219">
        <v>9032.8320462703086</v>
      </c>
      <c r="AY219">
        <v>9877.19765360983</v>
      </c>
      <c r="AZ219">
        <v>10985.597563701769</v>
      </c>
      <c r="BA219">
        <v>12283.577483763691</v>
      </c>
      <c r="BB219">
        <v>12232.94361686605</v>
      </c>
      <c r="BC219">
        <v>12576.525798966661</v>
      </c>
      <c r="BD219">
        <v>13577.88175027453</v>
      </c>
      <c r="BE219">
        <v>13743.56839270749</v>
      </c>
      <c r="BF219">
        <v>14286.50567419025</v>
      </c>
      <c r="BG219">
        <v>14350.802384662669</v>
      </c>
      <c r="BH219">
        <v>14523.53903407022</v>
      </c>
      <c r="BI219">
        <v>15346.68171951333</v>
      </c>
      <c r="BJ219">
        <v>16108.760150235001</v>
      </c>
      <c r="BK219">
        <v>17397.861095714779</v>
      </c>
      <c r="BL219">
        <v>19392.06953979937</v>
      </c>
      <c r="BM219">
        <v>19793.463341759809</v>
      </c>
      <c r="BN219">
        <v>22271.162024364581</v>
      </c>
      <c r="BO219">
        <v>25507.32876068469</v>
      </c>
      <c r="BP219">
        <v>29800.06111777616</v>
      </c>
      <c r="BQ219">
        <v>32781.014241203149</v>
      </c>
    </row>
    <row r="220" spans="1:69" x14ac:dyDescent="0.25">
      <c r="A220" t="s">
        <v>1473</v>
      </c>
      <c r="B220" t="s">
        <v>1474</v>
      </c>
      <c r="C220" t="s">
        <v>1580</v>
      </c>
      <c r="D220" t="s">
        <v>1581</v>
      </c>
      <c r="AI220">
        <v>2116.2543433627279</v>
      </c>
      <c r="AJ220">
        <v>2149.7292523977362</v>
      </c>
      <c r="AK220">
        <v>2147.0912641681321</v>
      </c>
      <c r="AL220">
        <v>2119.1917532496918</v>
      </c>
      <c r="AM220">
        <v>2128.0189286291379</v>
      </c>
      <c r="AN220">
        <v>2184.507095158498</v>
      </c>
      <c r="AO220">
        <v>2276.350208803884</v>
      </c>
      <c r="AP220">
        <v>2353.739735563146</v>
      </c>
      <c r="AQ220">
        <v>2382.4866231444239</v>
      </c>
      <c r="AR220">
        <v>2404.5845779331789</v>
      </c>
      <c r="AS220">
        <v>2480.5482534971388</v>
      </c>
      <c r="AT220">
        <v>2577.8077838223162</v>
      </c>
      <c r="AU220">
        <v>2724.1208276674001</v>
      </c>
      <c r="AV220">
        <v>2826.9438851096661</v>
      </c>
      <c r="AW220">
        <v>3014.8408881137848</v>
      </c>
      <c r="AX220">
        <v>3204.512833000068</v>
      </c>
      <c r="AY220">
        <v>3405.8457939580849</v>
      </c>
      <c r="AZ220">
        <v>3608.893463509834</v>
      </c>
      <c r="BA220">
        <v>3764.314710305101</v>
      </c>
      <c r="BB220">
        <v>3806.2071234619839</v>
      </c>
      <c r="BC220">
        <v>3973.1893771881978</v>
      </c>
      <c r="BD220">
        <v>4118.4088618308397</v>
      </c>
      <c r="BE220">
        <v>4118.9601213772294</v>
      </c>
      <c r="BF220">
        <v>4286.3724586575354</v>
      </c>
      <c r="BG220">
        <v>4467.6804702245008</v>
      </c>
      <c r="BH220">
        <v>4441.3573098185279</v>
      </c>
      <c r="BI220">
        <v>4436.3041824769834</v>
      </c>
      <c r="BJ220">
        <v>4581.0835764250614</v>
      </c>
      <c r="BK220">
        <v>4564.4832741080918</v>
      </c>
      <c r="BL220">
        <v>4736.8027849507926</v>
      </c>
      <c r="BM220">
        <v>4624.0535259391154</v>
      </c>
      <c r="BN220">
        <v>4939.3253134147426</v>
      </c>
      <c r="BO220">
        <v>5373.4371333907393</v>
      </c>
      <c r="BP220">
        <v>5571.6419102297632</v>
      </c>
      <c r="BQ220">
        <v>5768.0270956302038</v>
      </c>
    </row>
    <row r="221" spans="1:69" x14ac:dyDescent="0.25">
      <c r="A221" t="s">
        <v>1475</v>
      </c>
      <c r="B221" t="s">
        <v>1476</v>
      </c>
      <c r="C221" t="s">
        <v>1580</v>
      </c>
      <c r="D221" t="s">
        <v>1581</v>
      </c>
      <c r="BA221">
        <v>2887.3741593287832</v>
      </c>
      <c r="BB221">
        <v>2911.042972987796</v>
      </c>
      <c r="BC221">
        <v>2948.050014938502</v>
      </c>
      <c r="BD221">
        <v>2718.0484785075191</v>
      </c>
      <c r="BE221">
        <v>1417.3856643904501</v>
      </c>
      <c r="BF221">
        <v>1916.853558861905</v>
      </c>
      <c r="BG221">
        <v>1372.7561849114579</v>
      </c>
      <c r="BH221">
        <v>1154.886863041067</v>
      </c>
    </row>
    <row r="222" spans="1:69" x14ac:dyDescent="0.25">
      <c r="A222" t="s">
        <v>1477</v>
      </c>
      <c r="B222" t="s">
        <v>1478</v>
      </c>
      <c r="C222" t="s">
        <v>1580</v>
      </c>
      <c r="D222" t="s">
        <v>1581</v>
      </c>
      <c r="AI222">
        <v>1961.9027224977251</v>
      </c>
      <c r="AJ222">
        <v>1986.6064870853249</v>
      </c>
      <c r="AK222">
        <v>1978.0116508252211</v>
      </c>
      <c r="AL222">
        <v>1955.434884634408</v>
      </c>
      <c r="AM222">
        <v>1962.6744179512209</v>
      </c>
      <c r="AN222">
        <v>2014.2316553942951</v>
      </c>
      <c r="AO222">
        <v>2100.5010405017929</v>
      </c>
      <c r="AP222">
        <v>2170.170966345383</v>
      </c>
      <c r="AQ222">
        <v>2192.759056040461</v>
      </c>
      <c r="AR222">
        <v>2213.26900008545</v>
      </c>
      <c r="AS222">
        <v>2283.3076375631308</v>
      </c>
      <c r="AT222">
        <v>2373.6507294782118</v>
      </c>
      <c r="AU222">
        <v>2504.606354237113</v>
      </c>
      <c r="AV222">
        <v>2594.65914779887</v>
      </c>
      <c r="AW222">
        <v>2769.5430633647702</v>
      </c>
      <c r="AX222">
        <v>2946.4283206956979</v>
      </c>
      <c r="AY222">
        <v>3134.0033725539729</v>
      </c>
      <c r="AZ222">
        <v>3324.0411395460442</v>
      </c>
      <c r="BA222">
        <v>3470.8866109637929</v>
      </c>
      <c r="BB222">
        <v>3513.6976768492618</v>
      </c>
      <c r="BC222">
        <v>3673.3493190816912</v>
      </c>
      <c r="BD222">
        <v>3814.0984344514991</v>
      </c>
      <c r="BE222">
        <v>3822.5883902019732</v>
      </c>
      <c r="BF222">
        <v>3980.5824757075652</v>
      </c>
      <c r="BG222">
        <v>4167.3134185531526</v>
      </c>
      <c r="BH222">
        <v>4158.7420491889106</v>
      </c>
      <c r="BI222">
        <v>4177.2241068277344</v>
      </c>
      <c r="BJ222">
        <v>4322.1778933681044</v>
      </c>
      <c r="BK222">
        <v>4316.4673297862519</v>
      </c>
      <c r="BL222">
        <v>4486.180838147282</v>
      </c>
      <c r="BM222">
        <v>4401.057922927379</v>
      </c>
      <c r="BN222">
        <v>4702.2788735773256</v>
      </c>
      <c r="BO222">
        <v>5118.3227578739807</v>
      </c>
      <c r="BP222">
        <v>5318.1434743748632</v>
      </c>
      <c r="BQ222">
        <v>5517.4211355870366</v>
      </c>
    </row>
    <row r="223" spans="1:69" x14ac:dyDescent="0.25">
      <c r="A223" t="s">
        <v>1479</v>
      </c>
      <c r="B223" t="s">
        <v>1480</v>
      </c>
      <c r="C223" t="s">
        <v>1580</v>
      </c>
      <c r="D223" t="s">
        <v>1581</v>
      </c>
      <c r="AI223">
        <v>6601.2857574048548</v>
      </c>
      <c r="AJ223">
        <v>6745.7910227507091</v>
      </c>
      <c r="AK223">
        <v>6830.0507103076152</v>
      </c>
      <c r="AL223">
        <v>6990.6313067828232</v>
      </c>
      <c r="AM223">
        <v>7293.3454177421163</v>
      </c>
      <c r="AN223">
        <v>7671.0371521015159</v>
      </c>
      <c r="AO223">
        <v>7987.9151494228799</v>
      </c>
      <c r="AP223">
        <v>8470.416835232525</v>
      </c>
      <c r="AQ223">
        <v>8694.9091212870553</v>
      </c>
      <c r="AR223">
        <v>9067.8790294846167</v>
      </c>
      <c r="AS223">
        <v>9673.4720316821385</v>
      </c>
      <c r="AT223">
        <v>10060.010498410949</v>
      </c>
      <c r="AU223">
        <v>10475.78530265918</v>
      </c>
      <c r="AV223">
        <v>11076.298352780639</v>
      </c>
      <c r="AW223">
        <v>11754.97670295358</v>
      </c>
      <c r="AX223">
        <v>12500.730339822079</v>
      </c>
      <c r="AY223">
        <v>13663.60924595259</v>
      </c>
      <c r="AZ223">
        <v>14579.31933793612</v>
      </c>
      <c r="BA223">
        <v>15060.879875033939</v>
      </c>
      <c r="BB223">
        <v>14585.981681177511</v>
      </c>
      <c r="BC223">
        <v>15010.677331359821</v>
      </c>
      <c r="BD223">
        <v>15667.113991749949</v>
      </c>
      <c r="BE223">
        <v>16046.35353261423</v>
      </c>
      <c r="BF223">
        <v>16278.375960926851</v>
      </c>
      <c r="BG223">
        <v>16705.42059414092</v>
      </c>
      <c r="BH223">
        <v>16566.138189669491</v>
      </c>
      <c r="BI223">
        <v>17034.404826800379</v>
      </c>
      <c r="BJ223">
        <v>17990.808023866011</v>
      </c>
      <c r="BK223">
        <v>18805.580449341931</v>
      </c>
      <c r="BL223">
        <v>20059.84784412865</v>
      </c>
      <c r="BM223">
        <v>18792.612151017009</v>
      </c>
      <c r="BN223">
        <v>21014.40509869804</v>
      </c>
      <c r="BO223">
        <v>24147.688839161499</v>
      </c>
      <c r="BP223">
        <v>26393.133715458051</v>
      </c>
      <c r="BQ223">
        <v>28639.98356745698</v>
      </c>
    </row>
    <row r="224" spans="1:69" x14ac:dyDescent="0.25">
      <c r="A224" t="s">
        <v>1481</v>
      </c>
      <c r="B224" t="s">
        <v>1482</v>
      </c>
      <c r="C224" t="s">
        <v>1580</v>
      </c>
      <c r="D224" t="s">
        <v>1581</v>
      </c>
      <c r="AI224">
        <v>1504.395240026161</v>
      </c>
      <c r="AJ224">
        <v>1539.9282553832491</v>
      </c>
      <c r="AK224">
        <v>1556.1723028846029</v>
      </c>
      <c r="AL224">
        <v>1581.485692569431</v>
      </c>
      <c r="AM224">
        <v>1622.6193271004429</v>
      </c>
      <c r="AN224">
        <v>1662.6784405623839</v>
      </c>
      <c r="AO224">
        <v>1692.57951381916</v>
      </c>
      <c r="AP224">
        <v>1714.387682073921</v>
      </c>
      <c r="AQ224">
        <v>1753.9049450466459</v>
      </c>
      <c r="AR224">
        <v>1801.54861390926</v>
      </c>
      <c r="AS224">
        <v>1830.366299427058</v>
      </c>
      <c r="AT224">
        <v>1897.874111224389</v>
      </c>
      <c r="AU224">
        <v>1944.9983848203599</v>
      </c>
      <c r="AV224">
        <v>2093.504933783207</v>
      </c>
      <c r="AW224">
        <v>2170.941219148976</v>
      </c>
      <c r="AX224">
        <v>2329.0142301727719</v>
      </c>
      <c r="AY224">
        <v>2550.5955399821278</v>
      </c>
      <c r="AZ224">
        <v>2650.1038762996018</v>
      </c>
      <c r="BA224">
        <v>2801.8357934087421</v>
      </c>
      <c r="BB224">
        <v>2845.7358938323118</v>
      </c>
      <c r="BC224">
        <v>2858.5689909276939</v>
      </c>
      <c r="BD224">
        <v>2914.2128569522238</v>
      </c>
      <c r="BE224">
        <v>2652.8787947895771</v>
      </c>
      <c r="BF224">
        <v>2945.7366428374389</v>
      </c>
      <c r="BG224">
        <v>3233.356880731405</v>
      </c>
      <c r="BH224">
        <v>3171.5090583274141</v>
      </c>
      <c r="BI224">
        <v>3319.5426173327751</v>
      </c>
      <c r="BJ224">
        <v>3436.3101012469351</v>
      </c>
      <c r="BK224">
        <v>3941.0328085840938</v>
      </c>
      <c r="BL224">
        <v>4655.4849644980486</v>
      </c>
      <c r="BM224">
        <v>5144.5356028601427</v>
      </c>
      <c r="BN224">
        <v>5732.6945606153558</v>
      </c>
      <c r="BO224">
        <v>6033.6811722182974</v>
      </c>
      <c r="BP224">
        <v>6149.9814608193183</v>
      </c>
      <c r="BQ224">
        <v>6241.8561446463773</v>
      </c>
    </row>
    <row r="225" spans="1:69" x14ac:dyDescent="0.25">
      <c r="A225" t="s">
        <v>1483</v>
      </c>
      <c r="B225" t="s">
        <v>1484</v>
      </c>
      <c r="C225" t="s">
        <v>1580</v>
      </c>
      <c r="D225" t="s">
        <v>1581</v>
      </c>
      <c r="AI225">
        <v>6492.7004956501078</v>
      </c>
      <c r="AJ225">
        <v>6851.6446155395734</v>
      </c>
      <c r="AK225">
        <v>6992.4126060423268</v>
      </c>
      <c r="AL225">
        <v>6650.4818457256169</v>
      </c>
      <c r="AM225">
        <v>6973.1594690837064</v>
      </c>
      <c r="AN225">
        <v>6999.5338753128217</v>
      </c>
      <c r="AO225">
        <v>7047.6370758790335</v>
      </c>
      <c r="AP225">
        <v>7421.5941541697439</v>
      </c>
      <c r="AQ225">
        <v>7520.8617830027806</v>
      </c>
      <c r="AR225">
        <v>7367.3319147326456</v>
      </c>
      <c r="AS225">
        <v>7535.452941582942</v>
      </c>
      <c r="AT225">
        <v>7865.102623462305</v>
      </c>
      <c r="AU225">
        <v>8045.759826714605</v>
      </c>
      <c r="AV225">
        <v>8551.6374285497659</v>
      </c>
      <c r="AW225">
        <v>9388.8189079697568</v>
      </c>
      <c r="AX225">
        <v>10013.91961352957</v>
      </c>
      <c r="AY225">
        <v>10802.54818454315</v>
      </c>
      <c r="AZ225">
        <v>11530.156550868291</v>
      </c>
      <c r="BA225">
        <v>12097.349116523401</v>
      </c>
      <c r="BB225">
        <v>12392.93335834356</v>
      </c>
      <c r="BC225">
        <v>13039.44911980992</v>
      </c>
      <c r="BD225">
        <v>13926.22262230351</v>
      </c>
      <c r="BE225">
        <v>15184.92546804087</v>
      </c>
      <c r="BF225">
        <v>16172.696195996101</v>
      </c>
      <c r="BG225">
        <v>16597.585353963659</v>
      </c>
      <c r="BH225">
        <v>16543.574305137168</v>
      </c>
      <c r="BI225">
        <v>14475.30696449214</v>
      </c>
      <c r="BJ225">
        <v>17567.680239643189</v>
      </c>
      <c r="BK225">
        <v>17855.478714143741</v>
      </c>
      <c r="BL225">
        <v>19771.54738851513</v>
      </c>
      <c r="BM225">
        <v>16946.894236191351</v>
      </c>
      <c r="BN225">
        <v>18458.234999681041</v>
      </c>
      <c r="BO225">
        <v>20078.83655459504</v>
      </c>
      <c r="BP225">
        <v>21110.198020456261</v>
      </c>
      <c r="BQ225">
        <v>21800.526598982211</v>
      </c>
    </row>
    <row r="226" spans="1:69" x14ac:dyDescent="0.25">
      <c r="A226" t="s">
        <v>1485</v>
      </c>
      <c r="B226" t="s">
        <v>1486</v>
      </c>
      <c r="C226" t="s">
        <v>1580</v>
      </c>
      <c r="D226" t="s">
        <v>1581</v>
      </c>
      <c r="AI226">
        <v>8638.407988285373</v>
      </c>
      <c r="AJ226">
        <v>7623.1148839375028</v>
      </c>
      <c r="AK226">
        <v>7270.4104930826352</v>
      </c>
      <c r="AL226">
        <v>7569.2095975930424</v>
      </c>
      <c r="AM226">
        <v>8178.2651773491898</v>
      </c>
      <c r="AN226">
        <v>8811.8255351150965</v>
      </c>
      <c r="AO226">
        <v>9499.5719664630287</v>
      </c>
      <c r="AP226">
        <v>10137.08632061911</v>
      </c>
      <c r="AQ226">
        <v>10666.418410434309</v>
      </c>
      <c r="AR226">
        <v>10725.643399596711</v>
      </c>
      <c r="AS226">
        <v>11369.99161677027</v>
      </c>
      <c r="AT226">
        <v>12367.339152016721</v>
      </c>
      <c r="AU226">
        <v>13291.78647125564</v>
      </c>
      <c r="AV226">
        <v>14088.2610150529</v>
      </c>
      <c r="AW226">
        <v>15165.88361346191</v>
      </c>
      <c r="AX226">
        <v>16570.2574196157</v>
      </c>
      <c r="AY226">
        <v>18905.719577233489</v>
      </c>
      <c r="AZ226">
        <v>21232.27033806617</v>
      </c>
      <c r="BA226">
        <v>23714.135357099069</v>
      </c>
      <c r="BB226">
        <v>23077.37120846357</v>
      </c>
      <c r="BC226">
        <v>25381.711229874902</v>
      </c>
      <c r="BD226">
        <v>26201.650282088602</v>
      </c>
      <c r="BE226">
        <v>27022.77473213819</v>
      </c>
      <c r="BF226">
        <v>28075.432623671859</v>
      </c>
      <c r="BG226">
        <v>29108.072180194009</v>
      </c>
      <c r="BH226">
        <v>30147.99036725414</v>
      </c>
      <c r="BI226">
        <v>29867.98033900806</v>
      </c>
      <c r="BJ226">
        <v>30245.782586975631</v>
      </c>
      <c r="BK226">
        <v>31509.818729163479</v>
      </c>
      <c r="BL226">
        <v>33985.675841966098</v>
      </c>
      <c r="BM226">
        <v>35327.943916558848</v>
      </c>
      <c r="BN226">
        <v>38346.093576817671</v>
      </c>
      <c r="BO226">
        <v>41562.149779391293</v>
      </c>
      <c r="BP226">
        <v>45973.940690299118</v>
      </c>
      <c r="BQ226">
        <v>48132.356430542954</v>
      </c>
    </row>
    <row r="227" spans="1:69" x14ac:dyDescent="0.25">
      <c r="A227" t="s">
        <v>1487</v>
      </c>
      <c r="B227" t="s">
        <v>1488</v>
      </c>
      <c r="C227" t="s">
        <v>1580</v>
      </c>
      <c r="D227" t="s">
        <v>1581</v>
      </c>
      <c r="AI227">
        <v>13491.148529348309</v>
      </c>
      <c r="AJ227">
        <v>12697.91856577382</v>
      </c>
      <c r="AK227">
        <v>12295.636672269869</v>
      </c>
      <c r="AL227">
        <v>12975.857101942909</v>
      </c>
      <c r="AM227">
        <v>13975.13384601174</v>
      </c>
      <c r="AN227">
        <v>13637.19130183076</v>
      </c>
      <c r="AO227">
        <v>14284.339274740631</v>
      </c>
      <c r="AP227">
        <v>15256.88530850797</v>
      </c>
      <c r="AQ227">
        <v>15993.50429490892</v>
      </c>
      <c r="AR227">
        <v>17006.742654148558</v>
      </c>
      <c r="AS227">
        <v>17891.58565960031</v>
      </c>
      <c r="AT227">
        <v>18763.471591259749</v>
      </c>
      <c r="AU227">
        <v>20004.29909597147</v>
      </c>
      <c r="AV227">
        <v>20915.55938351453</v>
      </c>
      <c r="AW227">
        <v>22587.78197164939</v>
      </c>
      <c r="AX227">
        <v>23682.371084915289</v>
      </c>
      <c r="AY227">
        <v>25571.06694736897</v>
      </c>
      <c r="AZ227">
        <v>27468.038850682031</v>
      </c>
      <c r="BA227">
        <v>29460.941424351509</v>
      </c>
      <c r="BB227">
        <v>27228.638702543562</v>
      </c>
      <c r="BC227">
        <v>27579.428605762991</v>
      </c>
      <c r="BD227">
        <v>28715.633995496279</v>
      </c>
      <c r="BE227">
        <v>28786.710551768629</v>
      </c>
      <c r="BF227">
        <v>29634.06576114706</v>
      </c>
      <c r="BG227">
        <v>30571.97530198317</v>
      </c>
      <c r="BH227">
        <v>31336.204385888101</v>
      </c>
      <c r="BI227">
        <v>33575.17754357573</v>
      </c>
      <c r="BJ227">
        <v>36180.038454762383</v>
      </c>
      <c r="BK227">
        <v>38620.204543630483</v>
      </c>
      <c r="BL227">
        <v>42373.250636927907</v>
      </c>
      <c r="BM227">
        <v>41767.257989995669</v>
      </c>
      <c r="BN227">
        <v>45914.057239240552</v>
      </c>
      <c r="BO227">
        <v>52347.109726537972</v>
      </c>
      <c r="BP227">
        <v>56064.097459674253</v>
      </c>
      <c r="BQ227">
        <v>57186.371353817427</v>
      </c>
    </row>
    <row r="228" spans="1:69" x14ac:dyDescent="0.25">
      <c r="A228" t="s">
        <v>1489</v>
      </c>
      <c r="B228" t="s">
        <v>1490</v>
      </c>
      <c r="C228" t="s">
        <v>1580</v>
      </c>
      <c r="D228" t="s">
        <v>1581</v>
      </c>
      <c r="AI228">
        <v>20357.4416922786</v>
      </c>
      <c r="AJ228">
        <v>20663.378014664671</v>
      </c>
      <c r="AK228">
        <v>20767.242471679569</v>
      </c>
      <c r="AL228">
        <v>20699.773121574279</v>
      </c>
      <c r="AM228">
        <v>21835.01822170951</v>
      </c>
      <c r="AN228">
        <v>23084.088188111142</v>
      </c>
      <c r="AO228">
        <v>23951.767140790442</v>
      </c>
      <c r="AP228">
        <v>24816.83832275794</v>
      </c>
      <c r="AQ228">
        <v>25897.066379772899</v>
      </c>
      <c r="AR228">
        <v>27496.439842129748</v>
      </c>
      <c r="AS228">
        <v>29636.237888475029</v>
      </c>
      <c r="AT228">
        <v>29946.030189498379</v>
      </c>
      <c r="AU228">
        <v>30987.267490812901</v>
      </c>
      <c r="AV228">
        <v>31787.529534259342</v>
      </c>
      <c r="AW228">
        <v>33804.857105313451</v>
      </c>
      <c r="AX228">
        <v>34198.386457678127</v>
      </c>
      <c r="AY228">
        <v>37671.674782144357</v>
      </c>
      <c r="AZ228">
        <v>40812.805605931477</v>
      </c>
      <c r="BA228">
        <v>41906.699017354244</v>
      </c>
      <c r="BB228">
        <v>40094.028862417319</v>
      </c>
      <c r="BC228">
        <v>41951.453367393573</v>
      </c>
      <c r="BD228">
        <v>44332.521738907752</v>
      </c>
      <c r="BE228">
        <v>45206.986443472677</v>
      </c>
      <c r="BF228">
        <v>46098.232136883227</v>
      </c>
      <c r="BG228">
        <v>46841.401974673907</v>
      </c>
      <c r="BH228">
        <v>48772.069605727731</v>
      </c>
      <c r="BI228">
        <v>50289.7687144136</v>
      </c>
      <c r="BJ228">
        <v>51474.119911516063</v>
      </c>
      <c r="BK228">
        <v>53122.438677218008</v>
      </c>
      <c r="BL228">
        <v>57046.446307695129</v>
      </c>
      <c r="BM228">
        <v>57489.265719621857</v>
      </c>
      <c r="BN228">
        <v>62731.700616293027</v>
      </c>
      <c r="BO228">
        <v>67075.676272471697</v>
      </c>
      <c r="BP228">
        <v>69226.327275666263</v>
      </c>
      <c r="BQ228">
        <v>71844.912988057898</v>
      </c>
    </row>
    <row r="229" spans="1:69" x14ac:dyDescent="0.25">
      <c r="A229" t="s">
        <v>1491</v>
      </c>
      <c r="B229" t="s">
        <v>1492</v>
      </c>
      <c r="C229" t="s">
        <v>1580</v>
      </c>
      <c r="D229" t="s">
        <v>1581</v>
      </c>
      <c r="AI229">
        <v>3201.7893909542272</v>
      </c>
      <c r="AJ229">
        <v>3235.705315673089</v>
      </c>
      <c r="AK229">
        <v>3288.6509800043809</v>
      </c>
      <c r="AL229">
        <v>3371.460576598261</v>
      </c>
      <c r="AM229">
        <v>3526.4993590779141</v>
      </c>
      <c r="AN229">
        <v>3777.213361760364</v>
      </c>
      <c r="AO229">
        <v>3915.830718650478</v>
      </c>
      <c r="AP229">
        <v>4038.4354363185412</v>
      </c>
      <c r="AQ229">
        <v>4136.6701404808491</v>
      </c>
      <c r="AR229">
        <v>4272.37264147117</v>
      </c>
      <c r="AS229">
        <v>4400.6641944993307</v>
      </c>
      <c r="AT229">
        <v>4521.4032108243991</v>
      </c>
      <c r="AU229">
        <v>4741.6118784757737</v>
      </c>
      <c r="AV229">
        <v>5020.2828627855069</v>
      </c>
      <c r="AW229">
        <v>5309.6050787811228</v>
      </c>
      <c r="AX229">
        <v>5772.6898651495858</v>
      </c>
      <c r="AY229">
        <v>6319.4144430828092</v>
      </c>
      <c r="AZ229">
        <v>6731.9541136741891</v>
      </c>
      <c r="BA229">
        <v>6913.6873272018429</v>
      </c>
      <c r="BB229">
        <v>7010.9331263513959</v>
      </c>
      <c r="BC229">
        <v>7324.4639308583737</v>
      </c>
      <c r="BD229">
        <v>7570.9966142438007</v>
      </c>
      <c r="BE229">
        <v>7760.3228045628548</v>
      </c>
      <c r="BF229">
        <v>8231.1513976795104</v>
      </c>
      <c r="BG229">
        <v>8365.7432873890011</v>
      </c>
      <c r="BH229">
        <v>8391.0700608460193</v>
      </c>
      <c r="BI229">
        <v>8484.1211727834452</v>
      </c>
      <c r="BJ229">
        <v>8584.3110076783723</v>
      </c>
      <c r="BK229">
        <v>8535.2559316045426</v>
      </c>
      <c r="BL229">
        <v>9248.3220671445488</v>
      </c>
      <c r="BM229">
        <v>9329.304533609391</v>
      </c>
      <c r="BN229">
        <v>9990.4349195120467</v>
      </c>
      <c r="BO229">
        <v>10635.392415611341</v>
      </c>
      <c r="BP229">
        <v>11299.88312367883</v>
      </c>
      <c r="BQ229">
        <v>11799.202879320081</v>
      </c>
    </row>
    <row r="230" spans="1:69" x14ac:dyDescent="0.25">
      <c r="A230" t="s">
        <v>1493</v>
      </c>
      <c r="B230" t="s">
        <v>1494</v>
      </c>
      <c r="C230" t="s">
        <v>1580</v>
      </c>
      <c r="D230" t="s">
        <v>1581</v>
      </c>
      <c r="BB230">
        <v>36454.088241633894</v>
      </c>
      <c r="BC230">
        <v>37736.405679919633</v>
      </c>
      <c r="BD230">
        <v>39730.546734926647</v>
      </c>
      <c r="BE230">
        <v>35520.513869352682</v>
      </c>
      <c r="BF230">
        <v>36178.187015854397</v>
      </c>
      <c r="BG230">
        <v>43514.236538527097</v>
      </c>
      <c r="BH230">
        <v>44587.591150076587</v>
      </c>
      <c r="BI230">
        <v>44845.106868735013</v>
      </c>
      <c r="BJ230">
        <v>44479.296707682573</v>
      </c>
      <c r="BK230">
        <v>41653.200896478382</v>
      </c>
      <c r="BL230">
        <v>45715.697051937597</v>
      </c>
      <c r="BM230">
        <v>38901.486760371219</v>
      </c>
      <c r="BN230">
        <v>40507.067241171717</v>
      </c>
      <c r="BO230">
        <v>48760.68205809973</v>
      </c>
      <c r="BP230">
        <v>51686.652081808374</v>
      </c>
      <c r="BQ230">
        <v>53768.657394566202</v>
      </c>
    </row>
    <row r="231" spans="1:69" x14ac:dyDescent="0.25">
      <c r="A231" t="s">
        <v>1495</v>
      </c>
      <c r="B231" t="s">
        <v>1496</v>
      </c>
      <c r="C231" t="s">
        <v>1580</v>
      </c>
      <c r="D231" t="s">
        <v>1581</v>
      </c>
      <c r="AI231">
        <v>8954.9451508613201</v>
      </c>
      <c r="AJ231">
        <v>9387.4649130134167</v>
      </c>
      <c r="AK231">
        <v>10242.98867618298</v>
      </c>
      <c r="AL231">
        <v>11019.5660238991</v>
      </c>
      <c r="AM231">
        <v>10691.77247993257</v>
      </c>
      <c r="AN231">
        <v>10808.810020168199</v>
      </c>
      <c r="AO231">
        <v>11930.798890599919</v>
      </c>
      <c r="AP231">
        <v>13457.576821812159</v>
      </c>
      <c r="AQ231">
        <v>13674.5481055404</v>
      </c>
      <c r="AR231">
        <v>13852.87949733759</v>
      </c>
      <c r="AS231">
        <v>14637.95907091327</v>
      </c>
      <c r="AT231">
        <v>14614.832992686421</v>
      </c>
      <c r="AU231">
        <v>14569.625645769591</v>
      </c>
      <c r="AV231">
        <v>14141.723004674561</v>
      </c>
      <c r="AW231">
        <v>14160.407168600401</v>
      </c>
      <c r="AX231">
        <v>15846.051402955511</v>
      </c>
      <c r="AY231">
        <v>17503.19649817481</v>
      </c>
      <c r="AZ231">
        <v>19473.420675414811</v>
      </c>
      <c r="BA231">
        <v>18880.574856244479</v>
      </c>
      <c r="BB231">
        <v>18453.441073034792</v>
      </c>
      <c r="BC231">
        <v>18981.65865034435</v>
      </c>
      <c r="BD231">
        <v>21780.7075576057</v>
      </c>
      <c r="BE231">
        <v>22263.822159947049</v>
      </c>
      <c r="BF231">
        <v>22487.249774700049</v>
      </c>
      <c r="BG231">
        <v>24984.52691542602</v>
      </c>
      <c r="BH231">
        <v>25435.228989436178</v>
      </c>
      <c r="BI231">
        <v>28811.39703349581</v>
      </c>
      <c r="BJ231">
        <v>30674.6487335442</v>
      </c>
      <c r="BK231">
        <v>32091.2988657346</v>
      </c>
      <c r="BL231">
        <v>34219.061370117961</v>
      </c>
      <c r="BM231">
        <v>31055.944205503951</v>
      </c>
      <c r="BN231">
        <v>29979.82726860906</v>
      </c>
      <c r="BO231">
        <v>29972.87583159365</v>
      </c>
      <c r="BP231">
        <v>31780.783834196471</v>
      </c>
      <c r="BQ231">
        <v>33238.580034375351</v>
      </c>
    </row>
    <row r="232" spans="1:69" x14ac:dyDescent="0.25">
      <c r="A232" t="s">
        <v>1497</v>
      </c>
      <c r="B232" t="s">
        <v>1498</v>
      </c>
      <c r="C232" t="s">
        <v>1580</v>
      </c>
      <c r="D232" t="s">
        <v>1581</v>
      </c>
      <c r="BJ232">
        <v>3265.0702937499618</v>
      </c>
      <c r="BK232">
        <v>3455.8922701344882</v>
      </c>
      <c r="BL232">
        <v>3502.175115437371</v>
      </c>
      <c r="BM232">
        <v>3737.6575183137588</v>
      </c>
      <c r="BN232">
        <v>4592.8386010087397</v>
      </c>
      <c r="BO232">
        <v>4772.4616766715953</v>
      </c>
    </row>
    <row r="233" spans="1:69" x14ac:dyDescent="0.25">
      <c r="A233" t="s">
        <v>1499</v>
      </c>
      <c r="B233" t="s">
        <v>1500</v>
      </c>
      <c r="C233" t="s">
        <v>1580</v>
      </c>
      <c r="D233" t="s">
        <v>1581</v>
      </c>
      <c r="AZ233">
        <v>32002.545934528469</v>
      </c>
      <c r="BA233">
        <v>33827.510014130719</v>
      </c>
      <c r="BB233">
        <v>26269.977356972671</v>
      </c>
      <c r="BC233">
        <v>25811.887713091779</v>
      </c>
      <c r="BD233">
        <v>26572.52694700539</v>
      </c>
      <c r="BE233">
        <v>23610.474221960991</v>
      </c>
      <c r="BF233">
        <v>23931.68929821327</v>
      </c>
      <c r="BG233">
        <v>25546.292732087171</v>
      </c>
      <c r="BH233">
        <v>27484.641443249919</v>
      </c>
      <c r="BI233">
        <v>29780.578577442171</v>
      </c>
      <c r="BJ233">
        <v>30097.355056098659</v>
      </c>
      <c r="BK233">
        <v>31151.474857446381</v>
      </c>
      <c r="BL233">
        <v>31173.379781174299</v>
      </c>
      <c r="BM233">
        <v>19530.025407561261</v>
      </c>
      <c r="BN233">
        <v>25056.48805155688</v>
      </c>
      <c r="BO233">
        <v>30220.82401381341</v>
      </c>
      <c r="BP233">
        <v>35336.740351144887</v>
      </c>
      <c r="BQ233">
        <v>37954.38765434712</v>
      </c>
    </row>
    <row r="234" spans="1:69" x14ac:dyDescent="0.25">
      <c r="A234" t="s">
        <v>1501</v>
      </c>
      <c r="B234" t="s">
        <v>1502</v>
      </c>
      <c r="C234" t="s">
        <v>1580</v>
      </c>
      <c r="D234" t="s">
        <v>1581</v>
      </c>
      <c r="AI234">
        <v>966.59436065370346</v>
      </c>
      <c r="AJ234">
        <v>1045.626392794303</v>
      </c>
      <c r="AK234">
        <v>1107.042640359959</v>
      </c>
      <c r="AL234">
        <v>932.98452222748222</v>
      </c>
      <c r="AM234">
        <v>1025.627439430421</v>
      </c>
      <c r="AN234">
        <v>1014.379238908331</v>
      </c>
      <c r="AO234">
        <v>1010.080785985801</v>
      </c>
      <c r="AP234">
        <v>1048.7533184898871</v>
      </c>
      <c r="AQ234">
        <v>1095.905870636647</v>
      </c>
      <c r="AR234">
        <v>1065.718379532487</v>
      </c>
      <c r="AS234">
        <v>1043.5453999505939</v>
      </c>
      <c r="AT234">
        <v>1151.920268490559</v>
      </c>
      <c r="AU234">
        <v>1225.70701162711</v>
      </c>
      <c r="AV234">
        <v>1377.746595667023</v>
      </c>
      <c r="AW234">
        <v>1808.2120217652489</v>
      </c>
      <c r="AX234">
        <v>2101.6913598214369</v>
      </c>
      <c r="AY234">
        <v>2078.601670393994</v>
      </c>
      <c r="AZ234">
        <v>2149.259860527718</v>
      </c>
      <c r="BA234">
        <v>2180.5168043321701</v>
      </c>
      <c r="BB234">
        <v>2087.1471867786749</v>
      </c>
      <c r="BC234">
        <v>2319.688831875606</v>
      </c>
      <c r="BD234">
        <v>2388.1651214944068</v>
      </c>
      <c r="BE234">
        <v>2435.1240819184022</v>
      </c>
      <c r="BF234">
        <v>2110.2470513698809</v>
      </c>
      <c r="BG234">
        <v>2133.184411987867</v>
      </c>
      <c r="BH234">
        <v>2377.511371857513</v>
      </c>
      <c r="BI234">
        <v>2120.087515538572</v>
      </c>
      <c r="BJ234">
        <v>2097.1442548360369</v>
      </c>
      <c r="BK234">
        <v>2227.8133537261151</v>
      </c>
      <c r="BL234">
        <v>2351.6533976773871</v>
      </c>
      <c r="BM234">
        <v>2185.9903417353721</v>
      </c>
      <c r="BN234">
        <v>2435.072746510989</v>
      </c>
      <c r="BO234">
        <v>2624.1178971399399</v>
      </c>
      <c r="BP234">
        <v>2700.3605533587802</v>
      </c>
      <c r="BQ234">
        <v>2742.6595218361299</v>
      </c>
    </row>
    <row r="235" spans="1:69" x14ac:dyDescent="0.25">
      <c r="A235" t="s">
        <v>1503</v>
      </c>
      <c r="B235" t="s">
        <v>1504</v>
      </c>
      <c r="C235" t="s">
        <v>1580</v>
      </c>
      <c r="D235" t="s">
        <v>1581</v>
      </c>
      <c r="AI235">
        <v>1484.2470030289969</v>
      </c>
      <c r="AJ235">
        <v>1627.932102727385</v>
      </c>
      <c r="AK235">
        <v>1809.9944554766739</v>
      </c>
      <c r="AL235">
        <v>2017.7446094552549</v>
      </c>
      <c r="AM235">
        <v>2241.392757330254</v>
      </c>
      <c r="AN235">
        <v>2475.4042772385319</v>
      </c>
      <c r="AO235">
        <v>2707.9371180545918</v>
      </c>
      <c r="AP235">
        <v>2903.9313398704639</v>
      </c>
      <c r="AQ235">
        <v>2927.7649009300821</v>
      </c>
      <c r="AR235">
        <v>3109.561628831214</v>
      </c>
      <c r="AS235">
        <v>3381.1716665889821</v>
      </c>
      <c r="AT235">
        <v>3646.238019736973</v>
      </c>
      <c r="AU235">
        <v>3953.0341021050958</v>
      </c>
      <c r="AV235">
        <v>4339.0051511806814</v>
      </c>
      <c r="AW235">
        <v>4804.6985056378171</v>
      </c>
      <c r="AX235">
        <v>5380.4703111327362</v>
      </c>
      <c r="AY235">
        <v>6072.7603198934221</v>
      </c>
      <c r="AZ235">
        <v>6910.9608378854373</v>
      </c>
      <c r="BA235">
        <v>7563.6523906899238</v>
      </c>
      <c r="BB235">
        <v>8113.8862577745958</v>
      </c>
      <c r="BC235">
        <v>8929.2213099886358</v>
      </c>
      <c r="BD235">
        <v>9782.7198891597873</v>
      </c>
      <c r="BE235">
        <v>10641.9758889001</v>
      </c>
      <c r="BF235">
        <v>11304.520525012231</v>
      </c>
      <c r="BG235">
        <v>11887.055616104601</v>
      </c>
      <c r="BH235">
        <v>12283.974340701079</v>
      </c>
      <c r="BI235">
        <v>12885.893119167131</v>
      </c>
      <c r="BJ235">
        <v>13640.2006416112</v>
      </c>
      <c r="BK235">
        <v>14752.270359987169</v>
      </c>
      <c r="BL235">
        <v>15858.860980663891</v>
      </c>
      <c r="BM235">
        <v>16192.99977598355</v>
      </c>
      <c r="BN235">
        <v>18167.529889649832</v>
      </c>
      <c r="BO235">
        <v>20149.68832889085</v>
      </c>
      <c r="BP235">
        <v>21910.110755406658</v>
      </c>
      <c r="BQ235">
        <v>23509.7241651154</v>
      </c>
    </row>
    <row r="236" spans="1:69" x14ac:dyDescent="0.25">
      <c r="A236" t="s">
        <v>1505</v>
      </c>
      <c r="B236" t="s">
        <v>1506</v>
      </c>
      <c r="C236" t="s">
        <v>1580</v>
      </c>
      <c r="D236" t="s">
        <v>1581</v>
      </c>
      <c r="AI236">
        <v>6910.1421718063957</v>
      </c>
      <c r="AJ236">
        <v>6694.0761839248526</v>
      </c>
      <c r="AK236">
        <v>6228.5255634336418</v>
      </c>
      <c r="AL236">
        <v>6072.2676164495306</v>
      </c>
      <c r="AM236">
        <v>5623.5395147661129</v>
      </c>
      <c r="AN236">
        <v>5712.5793072460638</v>
      </c>
      <c r="AO236">
        <v>5839.1728340992186</v>
      </c>
      <c r="AP236">
        <v>6122.064695552689</v>
      </c>
      <c r="AQ236">
        <v>5756.310604764024</v>
      </c>
      <c r="AR236">
        <v>5961.1036982003197</v>
      </c>
      <c r="AS236">
        <v>6596.198544811652</v>
      </c>
      <c r="AT236">
        <v>6964.7452283165403</v>
      </c>
      <c r="AU236">
        <v>7446.4661759770506</v>
      </c>
      <c r="AV236">
        <v>8134.804645467636</v>
      </c>
      <c r="AW236">
        <v>9070.7129533873431</v>
      </c>
      <c r="AX236">
        <v>10081.34772853385</v>
      </c>
      <c r="AY236">
        <v>11901.928982079789</v>
      </c>
      <c r="AZ236">
        <v>13293.410452070029</v>
      </c>
      <c r="BA236">
        <v>15152.016706670651</v>
      </c>
      <c r="BB236">
        <v>14776.50481931614</v>
      </c>
      <c r="BC236">
        <v>15829.97455570318</v>
      </c>
      <c r="BD236">
        <v>17432.11242017589</v>
      </c>
      <c r="BE236">
        <v>18415.1363911177</v>
      </c>
      <c r="BF236">
        <v>19662.08190140493</v>
      </c>
      <c r="BG236">
        <v>20093.291954035569</v>
      </c>
      <c r="BH236">
        <v>19866.19915716644</v>
      </c>
      <c r="BI236">
        <v>20422.52922461315</v>
      </c>
      <c r="BJ236">
        <v>21809.774007154268</v>
      </c>
      <c r="BK236">
        <v>23396.692796713349</v>
      </c>
      <c r="BL236">
        <v>25248.764494841482</v>
      </c>
      <c r="BM236">
        <v>25679.446525590651</v>
      </c>
      <c r="BN236">
        <v>29742.490289371319</v>
      </c>
      <c r="BO236">
        <v>32911.57303833402</v>
      </c>
      <c r="BP236">
        <v>35843.176425396428</v>
      </c>
      <c r="BQ236">
        <v>38154.329161467787</v>
      </c>
    </row>
    <row r="237" spans="1:69" x14ac:dyDescent="0.25">
      <c r="A237" t="s">
        <v>1507</v>
      </c>
      <c r="B237" t="s">
        <v>1508</v>
      </c>
      <c r="C237" t="s">
        <v>1580</v>
      </c>
      <c r="D237" t="s">
        <v>1581</v>
      </c>
      <c r="AI237">
        <v>1110.169182899866</v>
      </c>
      <c r="AJ237">
        <v>1107.3354550998231</v>
      </c>
      <c r="AK237">
        <v>1057.16074093266</v>
      </c>
      <c r="AL237">
        <v>924.56284099502761</v>
      </c>
      <c r="AM237">
        <v>1081.8016950364481</v>
      </c>
      <c r="AN237">
        <v>1140.399647496329</v>
      </c>
      <c r="AO237">
        <v>1217.776264551642</v>
      </c>
      <c r="AP237">
        <v>1372.7483118819521</v>
      </c>
      <c r="AQ237">
        <v>1318.3369229197399</v>
      </c>
      <c r="AR237">
        <v>1331.987193343489</v>
      </c>
      <c r="AS237">
        <v>1314.7373964269259</v>
      </c>
      <c r="AT237">
        <v>1320.136169089556</v>
      </c>
      <c r="AU237">
        <v>1357.009817023901</v>
      </c>
      <c r="AV237">
        <v>1439.851783314147</v>
      </c>
      <c r="AW237">
        <v>1427.0022843954671</v>
      </c>
      <c r="AX237">
        <v>1367.5106628984679</v>
      </c>
      <c r="AY237">
        <v>1407.0682559629499</v>
      </c>
      <c r="AZ237">
        <v>1387.2006173399061</v>
      </c>
      <c r="BA237">
        <v>1429.306364929306</v>
      </c>
      <c r="BB237">
        <v>1474.1833899348169</v>
      </c>
      <c r="BC237">
        <v>1537.0536965859351</v>
      </c>
      <c r="BD237">
        <v>1615.981464369846</v>
      </c>
      <c r="BE237">
        <v>1645.31290397424</v>
      </c>
      <c r="BF237">
        <v>1715.3607384866541</v>
      </c>
      <c r="BG237">
        <v>1803.1481102213529</v>
      </c>
      <c r="BH237">
        <v>1879.668355172427</v>
      </c>
      <c r="BI237">
        <v>1932.9261427386859</v>
      </c>
      <c r="BJ237">
        <v>1985.526221294064</v>
      </c>
      <c r="BK237">
        <v>2067.066429596603</v>
      </c>
      <c r="BL237">
        <v>2214.6991555067698</v>
      </c>
      <c r="BM237">
        <v>2384.0664545182672</v>
      </c>
      <c r="BN237">
        <v>2638.810952679632</v>
      </c>
      <c r="BO237">
        <v>2935.013673207869</v>
      </c>
      <c r="BP237">
        <v>3154.4332934829899</v>
      </c>
      <c r="BQ237">
        <v>3365.4580900730589</v>
      </c>
    </row>
    <row r="238" spans="1:69" x14ac:dyDescent="0.25">
      <c r="A238" t="s">
        <v>1509</v>
      </c>
      <c r="B238" t="s">
        <v>1510</v>
      </c>
      <c r="C238" t="s">
        <v>1580</v>
      </c>
      <c r="D238" t="s">
        <v>1581</v>
      </c>
      <c r="AI238">
        <v>4450.5212116421544</v>
      </c>
      <c r="AJ238">
        <v>4914.0812263033586</v>
      </c>
      <c r="AK238">
        <v>5346.6800944101324</v>
      </c>
      <c r="AL238">
        <v>5834.3165051608057</v>
      </c>
      <c r="AM238">
        <v>6341.2413328071671</v>
      </c>
      <c r="AN238">
        <v>6900.7389570184432</v>
      </c>
      <c r="AO238">
        <v>7322.4146467214632</v>
      </c>
      <c r="AP238">
        <v>7147.612899438589</v>
      </c>
      <c r="AQ238">
        <v>6589.5584268885887</v>
      </c>
      <c r="AR238">
        <v>6901.27189271926</v>
      </c>
      <c r="AS238">
        <v>7289.104994323563</v>
      </c>
      <c r="AT238">
        <v>7632.0160941712129</v>
      </c>
      <c r="AU238">
        <v>8148.4370290908337</v>
      </c>
      <c r="AV238">
        <v>8824.069450084995</v>
      </c>
      <c r="AW238">
        <v>9545.3381380941701</v>
      </c>
      <c r="AX238">
        <v>10169.04536116362</v>
      </c>
      <c r="AY238">
        <v>10912.44279263295</v>
      </c>
      <c r="AZ238">
        <v>11723.0995588653</v>
      </c>
      <c r="BA238">
        <v>12062.159875181371</v>
      </c>
      <c r="BB238">
        <v>11964.05294677146</v>
      </c>
      <c r="BC238">
        <v>12932.26334444567</v>
      </c>
      <c r="BD238">
        <v>13227.454108915021</v>
      </c>
      <c r="BE238">
        <v>14616.64979253916</v>
      </c>
      <c r="BF238">
        <v>15215.949250638299</v>
      </c>
      <c r="BG238">
        <v>15365.317540282909</v>
      </c>
      <c r="BH238">
        <v>15791.17147622071</v>
      </c>
      <c r="BI238">
        <v>16671.250690214449</v>
      </c>
      <c r="BJ238">
        <v>17573.33981553599</v>
      </c>
      <c r="BK238">
        <v>18876.220876674081</v>
      </c>
      <c r="BL238">
        <v>19963.391840709872</v>
      </c>
      <c r="BM238">
        <v>19163.74151523488</v>
      </c>
      <c r="BN238">
        <v>20242.770003565591</v>
      </c>
      <c r="BO238">
        <v>22243.074772702599</v>
      </c>
      <c r="BP238">
        <v>23519.212097982268</v>
      </c>
      <c r="BQ238">
        <v>24712.06585751352</v>
      </c>
    </row>
    <row r="239" spans="1:69" x14ac:dyDescent="0.25">
      <c r="A239" t="s">
        <v>1511</v>
      </c>
      <c r="B239" t="s">
        <v>1512</v>
      </c>
      <c r="C239" t="s">
        <v>1580</v>
      </c>
      <c r="D239" t="s">
        <v>1581</v>
      </c>
      <c r="AI239">
        <v>2582.74111119792</v>
      </c>
      <c r="AJ239">
        <v>2416.7469459476192</v>
      </c>
      <c r="AK239">
        <v>1721.382039357582</v>
      </c>
      <c r="AL239">
        <v>1453.734149410006</v>
      </c>
      <c r="AM239">
        <v>1148.383032081013</v>
      </c>
      <c r="AN239">
        <v>1005.614132170314</v>
      </c>
      <c r="AO239">
        <v>836.4290968510951</v>
      </c>
      <c r="AP239">
        <v>854.82352085413504</v>
      </c>
      <c r="AQ239">
        <v>904.96678063846116</v>
      </c>
      <c r="AR239">
        <v>946.82504932746383</v>
      </c>
      <c r="AS239">
        <v>1036.1298886805901</v>
      </c>
      <c r="AT239">
        <v>1138.743728925522</v>
      </c>
      <c r="AU239">
        <v>1256.9525817488129</v>
      </c>
      <c r="AV239">
        <v>1395.6468423256711</v>
      </c>
      <c r="AW239">
        <v>1550.0720204389991</v>
      </c>
      <c r="AX239">
        <v>1672.7337499631319</v>
      </c>
      <c r="AY239">
        <v>1810.29125697328</v>
      </c>
      <c r="AZ239">
        <v>1966.221898909153</v>
      </c>
      <c r="BA239">
        <v>2120.0184570492779</v>
      </c>
      <c r="BB239">
        <v>2171.360916384876</v>
      </c>
      <c r="BC239">
        <v>2291.0782363173162</v>
      </c>
      <c r="BD239">
        <v>2455.972782633994</v>
      </c>
      <c r="BE239">
        <v>2679.0692960896959</v>
      </c>
      <c r="BF239">
        <v>2918.5604800735691</v>
      </c>
      <c r="BG239">
        <v>3151.7245279320309</v>
      </c>
      <c r="BH239">
        <v>2975.4709747609231</v>
      </c>
      <c r="BI239">
        <v>2913.856795474454</v>
      </c>
      <c r="BJ239">
        <v>3017.0031488735408</v>
      </c>
      <c r="BK239">
        <v>3069.1038507959229</v>
      </c>
      <c r="BL239">
        <v>3459.9736508343358</v>
      </c>
      <c r="BM239">
        <v>3653.9597675911232</v>
      </c>
      <c r="BN239">
        <v>3985.9124761121848</v>
      </c>
      <c r="BO239">
        <v>4514.1751239816422</v>
      </c>
      <c r="BP239">
        <v>4963.5829526450443</v>
      </c>
      <c r="BQ239">
        <v>5405.9801161913874</v>
      </c>
    </row>
    <row r="240" spans="1:69" x14ac:dyDescent="0.25">
      <c r="A240" t="s">
        <v>1513</v>
      </c>
      <c r="B240" t="s">
        <v>1514</v>
      </c>
      <c r="C240" t="s">
        <v>1580</v>
      </c>
      <c r="D240" t="s">
        <v>1581</v>
      </c>
      <c r="AI240">
        <v>5320.5370235096007</v>
      </c>
      <c r="AJ240">
        <v>5117.4273690703521</v>
      </c>
      <c r="AK240">
        <v>4350.5336979485674</v>
      </c>
      <c r="AL240">
        <v>4422.1255674542508</v>
      </c>
      <c r="AM240">
        <v>3658.7429531153389</v>
      </c>
      <c r="AN240">
        <v>3404.8489801705909</v>
      </c>
      <c r="AO240">
        <v>3636.4798179486088</v>
      </c>
      <c r="AP240">
        <v>3222.379012511346</v>
      </c>
      <c r="AQ240">
        <v>3431.5760175784808</v>
      </c>
      <c r="AR240">
        <v>3980.6545956952332</v>
      </c>
      <c r="AS240">
        <v>4208.6651545703253</v>
      </c>
      <c r="AT240">
        <v>4401.3038044939603</v>
      </c>
      <c r="AU240">
        <v>4392.8238153945667</v>
      </c>
      <c r="AV240">
        <v>4536.1978150520217</v>
      </c>
      <c r="AW240">
        <v>4798.153174473975</v>
      </c>
      <c r="AX240">
        <v>5489.3454217929511</v>
      </c>
      <c r="AY240">
        <v>6163.8501815434274</v>
      </c>
      <c r="AZ240">
        <v>6901.0175688568988</v>
      </c>
      <c r="BA240">
        <v>7915.5479242097272</v>
      </c>
      <c r="BB240">
        <v>8285.0189301536084</v>
      </c>
      <c r="BC240">
        <v>8971.6162873681169</v>
      </c>
      <c r="BD240">
        <v>10282.726619052841</v>
      </c>
      <c r="BE240">
        <v>11035.451277852961</v>
      </c>
      <c r="BF240">
        <v>11722.808627257709</v>
      </c>
      <c r="BG240">
        <v>12476.53443583871</v>
      </c>
      <c r="BH240">
        <v>12714.813724036259</v>
      </c>
      <c r="BI240">
        <v>12919.37122242602</v>
      </c>
      <c r="BJ240">
        <v>13278.403035338089</v>
      </c>
      <c r="BK240">
        <v>14368.462143253209</v>
      </c>
      <c r="BL240">
        <v>15477.723764397801</v>
      </c>
      <c r="BM240">
        <v>15090.93949717776</v>
      </c>
      <c r="BN240">
        <v>16434.139906035271</v>
      </c>
      <c r="BO240">
        <v>18340.111280529942</v>
      </c>
      <c r="BP240">
        <v>19828.92484611992</v>
      </c>
      <c r="BQ240">
        <v>21213.086250195291</v>
      </c>
    </row>
    <row r="241" spans="1:69" x14ac:dyDescent="0.25">
      <c r="A241" t="s">
        <v>1515</v>
      </c>
      <c r="B241" t="s">
        <v>1516</v>
      </c>
      <c r="C241" t="s">
        <v>1580</v>
      </c>
      <c r="D241" t="s">
        <v>1581</v>
      </c>
      <c r="AI241">
        <v>6272.3381829352547</v>
      </c>
      <c r="AJ241">
        <v>6607.2226321356129</v>
      </c>
      <c r="AK241">
        <v>6837.5762675040478</v>
      </c>
      <c r="AL241">
        <v>7027.3055712561236</v>
      </c>
      <c r="AM241">
        <v>7386.8934678270416</v>
      </c>
      <c r="AN241">
        <v>7514.5168494895033</v>
      </c>
      <c r="AO241">
        <v>7794.75688619014</v>
      </c>
      <c r="AP241">
        <v>8224.6895581571844</v>
      </c>
      <c r="AQ241">
        <v>8396.9552154194353</v>
      </c>
      <c r="AR241">
        <v>8380.8121797215172</v>
      </c>
      <c r="AS241">
        <v>8759.0553228954577</v>
      </c>
      <c r="AT241">
        <v>8883.4469338839353</v>
      </c>
      <c r="AU241">
        <v>8907.4929059269562</v>
      </c>
      <c r="AV241">
        <v>9136.8436358688032</v>
      </c>
      <c r="AW241">
        <v>9830.4821382924092</v>
      </c>
      <c r="AX241">
        <v>10478.4811419619</v>
      </c>
      <c r="AY241">
        <v>11399.5190159998</v>
      </c>
      <c r="AZ241">
        <v>12218.818920074071</v>
      </c>
      <c r="BA241">
        <v>12847.69080589742</v>
      </c>
      <c r="BB241">
        <v>12607.72900138005</v>
      </c>
      <c r="BC241">
        <v>13393.937589675579</v>
      </c>
      <c r="BD241">
        <v>14297.095465750321</v>
      </c>
      <c r="BE241">
        <v>14616.84142066457</v>
      </c>
      <c r="BF241">
        <v>15108.10559984799</v>
      </c>
      <c r="BG241">
        <v>15428.639279051469</v>
      </c>
      <c r="BH241">
        <v>15215.46122934712</v>
      </c>
      <c r="BI241">
        <v>15481.51071317572</v>
      </c>
      <c r="BJ241">
        <v>16138.796575894859</v>
      </c>
      <c r="BK241">
        <v>16834.673457069592</v>
      </c>
      <c r="BL241">
        <v>17245.558316287399</v>
      </c>
      <c r="BM241">
        <v>16581.57733493836</v>
      </c>
      <c r="BN241">
        <v>18606.93468266234</v>
      </c>
      <c r="BO241">
        <v>20740.591700287721</v>
      </c>
      <c r="BP241">
        <v>21983.75168966029</v>
      </c>
      <c r="BQ241">
        <v>22984.687988850801</v>
      </c>
    </row>
    <row r="242" spans="1:69" x14ac:dyDescent="0.25">
      <c r="A242" t="s">
        <v>1517</v>
      </c>
      <c r="B242" t="s">
        <v>1518</v>
      </c>
      <c r="C242" t="s">
        <v>1580</v>
      </c>
      <c r="D242" t="s">
        <v>1581</v>
      </c>
      <c r="AI242">
        <v>685.27939756236685</v>
      </c>
      <c r="AJ242">
        <v>766.28688844050191</v>
      </c>
      <c r="AK242">
        <v>842.93786058393709</v>
      </c>
      <c r="AL242">
        <v>925.36985765853808</v>
      </c>
      <c r="AM242">
        <v>984.80685734618112</v>
      </c>
      <c r="AN242">
        <v>1043.4079971672929</v>
      </c>
      <c r="AO242">
        <v>1116.2871183883899</v>
      </c>
      <c r="AP242">
        <v>1148.894713687693</v>
      </c>
      <c r="AQ242">
        <v>1107.9528382684839</v>
      </c>
      <c r="AR242">
        <v>818.9739883478793</v>
      </c>
      <c r="AS242">
        <v>1483.1700674149929</v>
      </c>
      <c r="AT242">
        <v>1618.5927886251809</v>
      </c>
      <c r="AU242">
        <v>1416.8855831829301</v>
      </c>
      <c r="AV242">
        <v>1355.186427361451</v>
      </c>
      <c r="AW242">
        <v>1378.854043311238</v>
      </c>
      <c r="AX242">
        <v>1434.822072020522</v>
      </c>
      <c r="AY242">
        <v>1377.113540730375</v>
      </c>
      <c r="AZ242">
        <v>1515.7089264736401</v>
      </c>
      <c r="BA242">
        <v>1675.0457045524311</v>
      </c>
      <c r="BB242">
        <v>1810.1860190892501</v>
      </c>
      <c r="BC242">
        <v>1955.3294079473101</v>
      </c>
      <c r="BD242">
        <v>2065.960555220302</v>
      </c>
      <c r="BE242">
        <v>2386.1359810927802</v>
      </c>
      <c r="BF242">
        <v>2566.0307445842141</v>
      </c>
      <c r="BG242">
        <v>2859.8605825170321</v>
      </c>
      <c r="BH242">
        <v>3107.571845879665</v>
      </c>
      <c r="BI242">
        <v>3390.7622405413331</v>
      </c>
      <c r="BJ242">
        <v>3463.1173902343662</v>
      </c>
      <c r="BK242">
        <v>3561.287737598097</v>
      </c>
      <c r="BL242">
        <v>4556.614257157843</v>
      </c>
      <c r="BM242">
        <v>6132.0829980649478</v>
      </c>
      <c r="BN242">
        <v>6825.0458863074482</v>
      </c>
      <c r="BO242">
        <v>5729.8117138251664</v>
      </c>
      <c r="BP242">
        <v>4806.8218155929917</v>
      </c>
      <c r="BQ242">
        <v>4422.7788217239886</v>
      </c>
    </row>
    <row r="243" spans="1:69" x14ac:dyDescent="0.25">
      <c r="A243" t="s">
        <v>1519</v>
      </c>
      <c r="B243" t="s">
        <v>1520</v>
      </c>
      <c r="C243" t="s">
        <v>1580</v>
      </c>
      <c r="D243" t="s">
        <v>1581</v>
      </c>
      <c r="AI243">
        <v>3747.2260170978179</v>
      </c>
      <c r="AJ243">
        <v>4037.3343228121321</v>
      </c>
      <c r="AK243">
        <v>4208.2660898485374</v>
      </c>
      <c r="AL243">
        <v>4246.8665956482337</v>
      </c>
      <c r="AM243">
        <v>4301.9178203560896</v>
      </c>
      <c r="AN243">
        <v>4408.948454833836</v>
      </c>
      <c r="AO243">
        <v>4644.069979975493</v>
      </c>
      <c r="AP243">
        <v>4766.5087821309844</v>
      </c>
      <c r="AQ243">
        <v>4962.9610365762665</v>
      </c>
      <c r="AR243">
        <v>5135.5873680228669</v>
      </c>
      <c r="AS243">
        <v>5450.5495498264318</v>
      </c>
      <c r="AT243">
        <v>5609.7241251038176</v>
      </c>
      <c r="AU243">
        <v>5770.4835951798113</v>
      </c>
      <c r="AV243">
        <v>5907.0227132537484</v>
      </c>
      <c r="AW243">
        <v>6390.750790071208</v>
      </c>
      <c r="AX243">
        <v>6748.1084252994024</v>
      </c>
      <c r="AY243">
        <v>7168.7279066327119</v>
      </c>
      <c r="AZ243">
        <v>7629.876581941141</v>
      </c>
      <c r="BA243">
        <v>7849.7433618714904</v>
      </c>
      <c r="BB243">
        <v>7924.5189883963321</v>
      </c>
      <c r="BC243">
        <v>8226.6000013846169</v>
      </c>
      <c r="BD243">
        <v>8253.5111206145903</v>
      </c>
      <c r="BE243">
        <v>8427.1190243961155</v>
      </c>
      <c r="BF243">
        <v>8403.6430102695267</v>
      </c>
      <c r="BG243">
        <v>8295.4403464700754</v>
      </c>
      <c r="BH243">
        <v>7985.2389307889234</v>
      </c>
      <c r="BI243">
        <v>8093.3590288861942</v>
      </c>
      <c r="BJ243">
        <v>8425.4089527985507</v>
      </c>
      <c r="BK243">
        <v>8763.5289789876024</v>
      </c>
      <c r="BL243">
        <v>8780.3994062727015</v>
      </c>
      <c r="BM243">
        <v>8910.9098586947948</v>
      </c>
      <c r="BN243">
        <v>9439.858096035563</v>
      </c>
      <c r="BO243">
        <v>10405.473942593389</v>
      </c>
      <c r="BP243">
        <v>10905.747298367211</v>
      </c>
      <c r="BQ243">
        <v>11271.564355007051</v>
      </c>
    </row>
    <row r="244" spans="1:69" x14ac:dyDescent="0.25">
      <c r="A244" t="s">
        <v>1521</v>
      </c>
      <c r="B244" t="s">
        <v>1522</v>
      </c>
      <c r="C244" t="s">
        <v>1580</v>
      </c>
      <c r="D244" t="s">
        <v>1581</v>
      </c>
      <c r="AI244">
        <v>2415.756733193336</v>
      </c>
      <c r="AJ244">
        <v>2652.4756315493978</v>
      </c>
      <c r="AK244">
        <v>2716.3041965147008</v>
      </c>
      <c r="AL244">
        <v>2882.2990672797268</v>
      </c>
      <c r="AM244">
        <v>3087.6930204563728</v>
      </c>
      <c r="AN244">
        <v>3346.7995215199089</v>
      </c>
      <c r="AO244">
        <v>3409.537317253114</v>
      </c>
      <c r="AP244">
        <v>3433.8409108418991</v>
      </c>
      <c r="AQ244">
        <v>3527.026471636279</v>
      </c>
      <c r="AR244">
        <v>3635.6996024972518</v>
      </c>
      <c r="AS244">
        <v>3833.927675816974</v>
      </c>
      <c r="AT244">
        <v>3955.2285448351322</v>
      </c>
      <c r="AU244">
        <v>4170.9372488682129</v>
      </c>
      <c r="AV244">
        <v>4231.4536287534183</v>
      </c>
      <c r="AW244">
        <v>4235.1204130323886</v>
      </c>
      <c r="AX244">
        <v>4314.5471982288054</v>
      </c>
      <c r="AY244">
        <v>4327.446618885423</v>
      </c>
      <c r="AZ244">
        <v>4315.9445057945513</v>
      </c>
      <c r="BA244">
        <v>4600.3488286268384</v>
      </c>
      <c r="BB244">
        <v>4383.8113024801896</v>
      </c>
      <c r="BC244">
        <v>4465.4605000926294</v>
      </c>
      <c r="BD244">
        <v>4855.429236523546</v>
      </c>
      <c r="BE244">
        <v>4996.4446087038732</v>
      </c>
      <c r="BF244">
        <v>5119.6947531683991</v>
      </c>
      <c r="BG244">
        <v>5335.9157629486863</v>
      </c>
      <c r="BH244">
        <v>5471.7967940230246</v>
      </c>
      <c r="BI244">
        <v>5920.1576147281039</v>
      </c>
      <c r="BJ244">
        <v>6229.0702422389368</v>
      </c>
      <c r="BK244">
        <v>6392.6006774964662</v>
      </c>
      <c r="BL244">
        <v>6473.3205867540564</v>
      </c>
      <c r="BM244">
        <v>6675.6030498710979</v>
      </c>
      <c r="BN244">
        <v>6929.1766928843772</v>
      </c>
      <c r="BO244">
        <v>7296.170821392876</v>
      </c>
      <c r="BP244">
        <v>7802.6698620610696</v>
      </c>
    </row>
    <row r="245" spans="1:69" x14ac:dyDescent="0.25">
      <c r="A245" t="s">
        <v>1523</v>
      </c>
      <c r="B245" t="s">
        <v>1524</v>
      </c>
      <c r="C245" t="s">
        <v>1580</v>
      </c>
      <c r="D245" t="s">
        <v>1581</v>
      </c>
      <c r="AI245">
        <v>1196.933725135887</v>
      </c>
      <c r="AJ245">
        <v>1229.057387397625</v>
      </c>
      <c r="AK245">
        <v>1297.6214127827191</v>
      </c>
      <c r="AL245">
        <v>1363.6353247777561</v>
      </c>
      <c r="AM245">
        <v>1452.1914971408651</v>
      </c>
      <c r="AN245">
        <v>1558.50976536649</v>
      </c>
      <c r="AO245">
        <v>1666.887901940047</v>
      </c>
      <c r="AP245">
        <v>1732.361687837172</v>
      </c>
      <c r="AQ245">
        <v>1821.5909598353851</v>
      </c>
      <c r="AR245">
        <v>1962.8345596915381</v>
      </c>
      <c r="AS245">
        <v>2050.007051560799</v>
      </c>
      <c r="AT245">
        <v>2153.1676123374368</v>
      </c>
      <c r="AU245">
        <v>2229.421738939735</v>
      </c>
      <c r="AV245">
        <v>2403.2961256675271</v>
      </c>
      <c r="AW245">
        <v>2612.0518139398569</v>
      </c>
      <c r="AX245">
        <v>2856.1761945825319</v>
      </c>
      <c r="AY245">
        <v>3129.7198076410009</v>
      </c>
      <c r="AZ245">
        <v>3407.963134420263</v>
      </c>
      <c r="BA245">
        <v>3543.8873217504688</v>
      </c>
      <c r="BB245">
        <v>3779.9744747736941</v>
      </c>
      <c r="BC245">
        <v>4084.5580716955978</v>
      </c>
      <c r="BD245">
        <v>4336.4615973471537</v>
      </c>
      <c r="BE245">
        <v>4712.8328234322344</v>
      </c>
      <c r="BF245">
        <v>4923.1336714330082</v>
      </c>
      <c r="BG245">
        <v>5117.5737763736524</v>
      </c>
      <c r="BH245">
        <v>5353.196952980793</v>
      </c>
      <c r="BI245">
        <v>5729.0006291087384</v>
      </c>
      <c r="BJ245">
        <v>6077.7762256978776</v>
      </c>
      <c r="BK245">
        <v>6648.9874930494807</v>
      </c>
      <c r="BL245">
        <v>7088.516622333028</v>
      </c>
      <c r="BM245">
        <v>6969.472124202548</v>
      </c>
      <c r="BN245">
        <v>8015.3567446281122</v>
      </c>
      <c r="BO245">
        <v>9129.6017328317157</v>
      </c>
      <c r="BP245">
        <v>10176.35476358226</v>
      </c>
      <c r="BQ245">
        <v>10973.710171580449</v>
      </c>
    </row>
    <row r="246" spans="1:69" x14ac:dyDescent="0.25">
      <c r="A246" t="s">
        <v>1525</v>
      </c>
      <c r="B246" t="s">
        <v>1526</v>
      </c>
      <c r="C246" t="s">
        <v>1580</v>
      </c>
      <c r="D246" t="s">
        <v>1581</v>
      </c>
      <c r="AI246">
        <v>1961.902722497724</v>
      </c>
      <c r="AJ246">
        <v>1986.606487085324</v>
      </c>
      <c r="AK246">
        <v>1978.0116508252199</v>
      </c>
      <c r="AL246">
        <v>1955.4348846344069</v>
      </c>
      <c r="AM246">
        <v>1962.6744179512209</v>
      </c>
      <c r="AN246">
        <v>2014.2316553942931</v>
      </c>
      <c r="AO246">
        <v>2100.501040501792</v>
      </c>
      <c r="AP246">
        <v>2170.1709663453821</v>
      </c>
      <c r="AQ246">
        <v>2192.759056040461</v>
      </c>
      <c r="AR246">
        <v>2213.26900008545</v>
      </c>
      <c r="AS246">
        <v>2283.307637563129</v>
      </c>
      <c r="AT246">
        <v>2373.6507294782118</v>
      </c>
      <c r="AU246">
        <v>2504.606354237113</v>
      </c>
      <c r="AV246">
        <v>2594.65914779887</v>
      </c>
      <c r="AW246">
        <v>2769.5430633647702</v>
      </c>
      <c r="AX246">
        <v>2946.428320695697</v>
      </c>
      <c r="AY246">
        <v>3134.003372553972</v>
      </c>
      <c r="AZ246">
        <v>3324.0411395460419</v>
      </c>
      <c r="BA246">
        <v>3470.8866109637929</v>
      </c>
      <c r="BB246">
        <v>3513.6976768492618</v>
      </c>
      <c r="BC246">
        <v>3673.3493190816912</v>
      </c>
      <c r="BD246">
        <v>3814.0984344514991</v>
      </c>
      <c r="BE246">
        <v>3822.5883902019732</v>
      </c>
      <c r="BF246">
        <v>3980.5824757075661</v>
      </c>
      <c r="BG246">
        <v>4167.3134185531526</v>
      </c>
      <c r="BH246">
        <v>4158.7420491889106</v>
      </c>
      <c r="BI246">
        <v>4177.2241068277326</v>
      </c>
      <c r="BJ246">
        <v>4322.1778933681026</v>
      </c>
      <c r="BK246">
        <v>4316.467329786251</v>
      </c>
      <c r="BL246">
        <v>4486.180838147282</v>
      </c>
      <c r="BM246">
        <v>4401.0579229273817</v>
      </c>
      <c r="BN246">
        <v>4702.2788735773256</v>
      </c>
      <c r="BO246">
        <v>5118.3227578739816</v>
      </c>
      <c r="BP246">
        <v>5318.1434743748641</v>
      </c>
      <c r="BQ246">
        <v>5517.4211355870384</v>
      </c>
    </row>
    <row r="247" spans="1:69" x14ac:dyDescent="0.25">
      <c r="A247" t="s">
        <v>1527</v>
      </c>
      <c r="B247" t="s">
        <v>1528</v>
      </c>
      <c r="C247" t="s">
        <v>1580</v>
      </c>
      <c r="D247" t="s">
        <v>1581</v>
      </c>
      <c r="AI247">
        <v>6877.6213482688372</v>
      </c>
      <c r="AJ247">
        <v>7273.6366773094414</v>
      </c>
      <c r="AK247">
        <v>8129.0442882262669</v>
      </c>
      <c r="AL247">
        <v>8209.2903775470786</v>
      </c>
      <c r="AM247">
        <v>8630.5889241805671</v>
      </c>
      <c r="AN247">
        <v>9099.0343006449548</v>
      </c>
      <c r="AO247">
        <v>9882.7257180391516</v>
      </c>
      <c r="AP247">
        <v>10768.80452550299</v>
      </c>
      <c r="AQ247">
        <v>11735.140168121539</v>
      </c>
      <c r="AR247">
        <v>12812.41551087004</v>
      </c>
      <c r="AS247">
        <v>13953.13615233661</v>
      </c>
      <c r="AT247">
        <v>14797.10383652669</v>
      </c>
      <c r="AU247">
        <v>16141.235728761359</v>
      </c>
      <c r="AV247">
        <v>18742.6419219735</v>
      </c>
      <c r="AW247">
        <v>20673.745844927322</v>
      </c>
      <c r="AX247">
        <v>23536.02687223941</v>
      </c>
      <c r="AY247">
        <v>27393.350546130649</v>
      </c>
      <c r="AZ247">
        <v>29354.529010825259</v>
      </c>
      <c r="BA247">
        <v>30807.284851992019</v>
      </c>
      <c r="BB247">
        <v>29601.619446657522</v>
      </c>
      <c r="BC247">
        <v>30778.312737029719</v>
      </c>
      <c r="BD247">
        <v>31077.796969851988</v>
      </c>
      <c r="BE247">
        <v>31883.229748376569</v>
      </c>
      <c r="BF247">
        <v>31746.205244165139</v>
      </c>
      <c r="BG247">
        <v>32026.53009570732</v>
      </c>
      <c r="BH247">
        <v>29825.462875301699</v>
      </c>
      <c r="BI247">
        <v>28231.68206700922</v>
      </c>
      <c r="BJ247">
        <v>28484.25571574935</v>
      </c>
      <c r="BK247">
        <v>28673.241395165322</v>
      </c>
      <c r="BL247">
        <v>29315.80540646669</v>
      </c>
      <c r="BM247">
        <v>26731.35564100292</v>
      </c>
      <c r="BN247">
        <v>30482.12017986305</v>
      </c>
      <c r="BO247">
        <v>32978.858576315899</v>
      </c>
      <c r="BP247">
        <v>34623.369150095852</v>
      </c>
      <c r="BQ247">
        <v>36328.513006568493</v>
      </c>
    </row>
    <row r="248" spans="1:69" x14ac:dyDescent="0.25">
      <c r="A248" t="s">
        <v>1529</v>
      </c>
      <c r="B248" t="s">
        <v>1530</v>
      </c>
      <c r="C248" t="s">
        <v>1580</v>
      </c>
      <c r="D248" t="s">
        <v>1581</v>
      </c>
      <c r="AI248">
        <v>3779.6846739570719</v>
      </c>
      <c r="AJ248">
        <v>3975.3980159813668</v>
      </c>
      <c r="AK248">
        <v>4292.1528834068013</v>
      </c>
      <c r="AL248">
        <v>4401.1996005297005</v>
      </c>
      <c r="AM248">
        <v>4555.4868389108788</v>
      </c>
      <c r="AN248">
        <v>4686.1703975684941</v>
      </c>
      <c r="AO248">
        <v>5039.7109801672077</v>
      </c>
      <c r="AP248">
        <v>5332.7799105053527</v>
      </c>
      <c r="AQ248">
        <v>5579.3872567308044</v>
      </c>
      <c r="AR248">
        <v>5929.9009021807578</v>
      </c>
      <c r="AS248">
        <v>6278.9868088105686</v>
      </c>
      <c r="AT248">
        <v>6593.3819654246472</v>
      </c>
      <c r="AU248">
        <v>6715.1107844250482</v>
      </c>
      <c r="AV248">
        <v>7098.4235616263977</v>
      </c>
      <c r="AW248">
        <v>7671.8453596530508</v>
      </c>
      <c r="AX248">
        <v>8116.9548993789031</v>
      </c>
      <c r="AY248">
        <v>8728.6571254985483</v>
      </c>
      <c r="AZ248">
        <v>9479.3506393632779</v>
      </c>
      <c r="BA248">
        <v>9975.0223212589881</v>
      </c>
      <c r="BB248">
        <v>10237.088999450039</v>
      </c>
      <c r="BC248">
        <v>10555.08870332207</v>
      </c>
      <c r="BD248">
        <v>10435.99566753727</v>
      </c>
      <c r="BE248">
        <v>10614.531301193971</v>
      </c>
      <c r="BF248">
        <v>10671.56972745703</v>
      </c>
      <c r="BG248">
        <v>10946.893575763839</v>
      </c>
      <c r="BH248">
        <v>10782.543838244121</v>
      </c>
      <c r="BI248">
        <v>10993.66384645216</v>
      </c>
      <c r="BJ248">
        <v>11288.780013508471</v>
      </c>
      <c r="BK248">
        <v>11841.406198060309</v>
      </c>
      <c r="BL248">
        <v>12494.790573345541</v>
      </c>
      <c r="BM248">
        <v>11918.066205483001</v>
      </c>
      <c r="BN248">
        <v>12444.326402688701</v>
      </c>
      <c r="BO248">
        <v>13618.53899186514</v>
      </c>
      <c r="BP248">
        <v>14040.596114814231</v>
      </c>
      <c r="BQ248">
        <v>14521.008093763839</v>
      </c>
    </row>
    <row r="249" spans="1:69" x14ac:dyDescent="0.25">
      <c r="A249" t="s">
        <v>1531</v>
      </c>
      <c r="B249" t="s">
        <v>1532</v>
      </c>
      <c r="C249" t="s">
        <v>1580</v>
      </c>
      <c r="D249" t="s">
        <v>1581</v>
      </c>
      <c r="AI249">
        <v>8207.9883350819127</v>
      </c>
      <c r="AJ249">
        <v>8417.9197064540731</v>
      </c>
      <c r="AK249">
        <v>8968.6698767057533</v>
      </c>
      <c r="AL249">
        <v>9751.25450923278</v>
      </c>
      <c r="AM249">
        <v>9252.9765237525153</v>
      </c>
      <c r="AN249">
        <v>9962.1114515893896</v>
      </c>
      <c r="AO249">
        <v>10624.481898266011</v>
      </c>
      <c r="AP249">
        <v>11513.72868455382</v>
      </c>
      <c r="AQ249">
        <v>8762.7486598796258</v>
      </c>
      <c r="AR249">
        <v>8470.4681281713492</v>
      </c>
      <c r="AS249">
        <v>9325.8081756557349</v>
      </c>
      <c r="AT249">
        <v>9014.0584426159148</v>
      </c>
      <c r="AU249">
        <v>9154.4515345751406</v>
      </c>
      <c r="AV249">
        <v>9474.0292553505133</v>
      </c>
      <c r="AW249">
        <v>10759.336343192739</v>
      </c>
      <c r="AX249">
        <v>11803.360442447611</v>
      </c>
      <c r="AY249">
        <v>13555.335974862321</v>
      </c>
      <c r="AZ249">
        <v>14951.141675678051</v>
      </c>
      <c r="BA249">
        <v>16141.68880749249</v>
      </c>
      <c r="BB249">
        <v>15559.742533250141</v>
      </c>
      <c r="BC249">
        <v>17466.26417389352</v>
      </c>
      <c r="BD249">
        <v>19717.243831711141</v>
      </c>
      <c r="BE249">
        <v>20739.272548850571</v>
      </c>
      <c r="BF249">
        <v>22475.290977838831</v>
      </c>
      <c r="BG249">
        <v>24192.53761383703</v>
      </c>
      <c r="BH249">
        <v>25890.054890105781</v>
      </c>
      <c r="BI249">
        <v>26730.759973183471</v>
      </c>
      <c r="BJ249">
        <v>28353.540641096559</v>
      </c>
      <c r="BK249">
        <v>28640.340183980181</v>
      </c>
      <c r="BL249">
        <v>29016.45556534452</v>
      </c>
      <c r="BM249">
        <v>29209.33088668828</v>
      </c>
      <c r="BN249">
        <v>32105.547440050559</v>
      </c>
      <c r="BO249">
        <v>39564.110326733287</v>
      </c>
      <c r="BP249">
        <v>42786.200494866389</v>
      </c>
      <c r="BQ249">
        <v>45639.019273594407</v>
      </c>
    </row>
    <row r="250" spans="1:69" x14ac:dyDescent="0.25">
      <c r="A250" t="s">
        <v>1533</v>
      </c>
      <c r="B250" t="s">
        <v>1534</v>
      </c>
      <c r="C250" t="s">
        <v>1580</v>
      </c>
      <c r="D250" t="s">
        <v>1581</v>
      </c>
      <c r="AI250">
        <v>1675.7950377033869</v>
      </c>
      <c r="AJ250">
        <v>1768.858373128691</v>
      </c>
      <c r="AK250">
        <v>1836.9888067919201</v>
      </c>
      <c r="AL250">
        <v>1938.957753986517</v>
      </c>
      <c r="AM250">
        <v>2164.79193111933</v>
      </c>
      <c r="AN250">
        <v>2083.057391662875</v>
      </c>
      <c r="AO250">
        <v>1981.5025916947891</v>
      </c>
      <c r="AP250">
        <v>2203.6251509344138</v>
      </c>
      <c r="AQ250">
        <v>2559.9285433913201</v>
      </c>
      <c r="AR250">
        <v>2543.4431957121519</v>
      </c>
      <c r="AS250">
        <v>2597.252083160557</v>
      </c>
      <c r="AT250">
        <v>2595.9165107287722</v>
      </c>
      <c r="AU250">
        <v>2915.300376444372</v>
      </c>
      <c r="AV250">
        <v>2770.1001615455202</v>
      </c>
      <c r="AW250">
        <v>2764.9138963330729</v>
      </c>
      <c r="AX250">
        <v>2727.664930968981</v>
      </c>
      <c r="AY250">
        <v>2787.1095656815201</v>
      </c>
      <c r="AZ250">
        <v>3034.3491625649522</v>
      </c>
      <c r="BA250">
        <v>3291.0977237222178</v>
      </c>
      <c r="BB250">
        <v>3081.9389058660358</v>
      </c>
      <c r="BC250">
        <v>2945.1289245730318</v>
      </c>
      <c r="BD250">
        <v>3175.9284121027372</v>
      </c>
      <c r="BE250">
        <v>3170.4010606343882</v>
      </c>
      <c r="BF250">
        <v>3277.2133431184971</v>
      </c>
      <c r="BG250">
        <v>3418.8526428885029</v>
      </c>
      <c r="BH250">
        <v>3775.7556591636971</v>
      </c>
      <c r="BI250">
        <v>4030.862415354562</v>
      </c>
      <c r="BJ250">
        <v>4226.718746862879</v>
      </c>
      <c r="BK250">
        <v>4431.7318660320743</v>
      </c>
      <c r="BL250">
        <v>5209.7000213196516</v>
      </c>
      <c r="BM250">
        <v>5122.1982798469826</v>
      </c>
      <c r="BN250">
        <v>5352.9786253789734</v>
      </c>
      <c r="BO250">
        <v>5661.1438476637632</v>
      </c>
      <c r="BP250">
        <v>6151.0104704160822</v>
      </c>
    </row>
    <row r="251" spans="1:69" x14ac:dyDescent="0.25">
      <c r="A251" t="s">
        <v>1535</v>
      </c>
      <c r="B251" t="s">
        <v>1536</v>
      </c>
      <c r="C251" t="s">
        <v>1580</v>
      </c>
      <c r="D251" t="s">
        <v>1581</v>
      </c>
      <c r="AI251">
        <v>925.35736083984398</v>
      </c>
      <c r="AJ251">
        <v>952.09747314453102</v>
      </c>
      <c r="AK251">
        <v>955.3916015625</v>
      </c>
      <c r="AL251">
        <v>959.32135009765602</v>
      </c>
      <c r="AM251">
        <v>957.72100830078102</v>
      </c>
      <c r="AN251">
        <v>981.40417480468795</v>
      </c>
      <c r="AO251">
        <v>1025.87158203125</v>
      </c>
      <c r="AP251">
        <v>1058.78796386719</v>
      </c>
      <c r="AQ251">
        <v>1081.615234375</v>
      </c>
      <c r="AR251">
        <v>1119.95593261719</v>
      </c>
      <c r="AS251">
        <v>1163.64367675781</v>
      </c>
      <c r="AT251">
        <v>1228.52233886719</v>
      </c>
      <c r="AU251">
        <v>1302.05554199219</v>
      </c>
      <c r="AV251">
        <v>1379.45776367188</v>
      </c>
      <c r="AW251">
        <v>1482.162109375</v>
      </c>
      <c r="AX251">
        <v>1598.03747558594</v>
      </c>
      <c r="AY251">
        <v>1706.54846191406</v>
      </c>
      <c r="AZ251">
        <v>1820.00134277344</v>
      </c>
      <c r="BA251">
        <v>1908.37353515625</v>
      </c>
      <c r="BB251">
        <v>1972.16784667969</v>
      </c>
      <c r="BC251">
        <v>2069.40185546875</v>
      </c>
      <c r="BD251">
        <v>2211.466796875</v>
      </c>
      <c r="BE251">
        <v>2083.48486328125</v>
      </c>
      <c r="BF251">
        <v>2176.21655273438</v>
      </c>
      <c r="BG251">
        <v>2221.1796875</v>
      </c>
      <c r="BH251">
        <v>2317.27978515625</v>
      </c>
      <c r="BI251">
        <v>2434.69995117188</v>
      </c>
      <c r="BJ251">
        <v>2472.4931640625</v>
      </c>
      <c r="BK251">
        <v>2727.88012695313</v>
      </c>
      <c r="BL251">
        <v>2981.87451171875</v>
      </c>
      <c r="BM251">
        <v>3290.60986328125</v>
      </c>
      <c r="BN251">
        <v>3493.0830078125</v>
      </c>
      <c r="BO251">
        <v>3799.8623046875</v>
      </c>
      <c r="BP251">
        <v>4018.5166015625</v>
      </c>
      <c r="BQ251">
        <v>4220.79638671875</v>
      </c>
    </row>
    <row r="252" spans="1:69" x14ac:dyDescent="0.25">
      <c r="A252" t="s">
        <v>1537</v>
      </c>
      <c r="B252" t="s">
        <v>1538</v>
      </c>
      <c r="C252" t="s">
        <v>1580</v>
      </c>
      <c r="D252" t="s">
        <v>1581</v>
      </c>
      <c r="AI252">
        <v>665.87755459167124</v>
      </c>
      <c r="AJ252">
        <v>703.17757327532718</v>
      </c>
      <c r="AK252">
        <v>718.87663128404802</v>
      </c>
      <c r="AL252">
        <v>770.12766200122871</v>
      </c>
      <c r="AM252">
        <v>809.31948169629436</v>
      </c>
      <c r="AN252">
        <v>896.67238093999617</v>
      </c>
      <c r="AO252">
        <v>969.38044935649884</v>
      </c>
      <c r="AP252">
        <v>1006.775009266238</v>
      </c>
      <c r="AQ252">
        <v>1036.7343178715571</v>
      </c>
      <c r="AR252">
        <v>1099.864763670085</v>
      </c>
      <c r="AS252">
        <v>1124.2095823244699</v>
      </c>
      <c r="AT252">
        <v>1172.6831745568979</v>
      </c>
      <c r="AU252">
        <v>1254.982035066985</v>
      </c>
      <c r="AV252">
        <v>1320.2399163098839</v>
      </c>
      <c r="AW252">
        <v>1405.2428843889629</v>
      </c>
      <c r="AX252">
        <v>1496.509478360658</v>
      </c>
      <c r="AY252">
        <v>1659.72529096776</v>
      </c>
      <c r="AZ252">
        <v>1794.535188814833</v>
      </c>
      <c r="BA252">
        <v>1930.7086951781571</v>
      </c>
      <c r="BB252">
        <v>2014.608794420983</v>
      </c>
      <c r="BC252">
        <v>2091.5596314533109</v>
      </c>
      <c r="BD252">
        <v>2267.7227035709352</v>
      </c>
      <c r="BE252">
        <v>2031.9466953881449</v>
      </c>
      <c r="BF252">
        <v>2044.881824858451</v>
      </c>
      <c r="BG252">
        <v>2134.009162817415</v>
      </c>
      <c r="BH252">
        <v>2189.9648591900318</v>
      </c>
      <c r="BI252">
        <v>2165.2975940441302</v>
      </c>
      <c r="BJ252">
        <v>2157.9574750336942</v>
      </c>
      <c r="BK252">
        <v>2312.0575281349502</v>
      </c>
      <c r="BL252">
        <v>2441.3744523382111</v>
      </c>
      <c r="BM252">
        <v>2532.2195010206879</v>
      </c>
      <c r="BN252">
        <v>2684.9203593974348</v>
      </c>
      <c r="BO252">
        <v>2919.1777540710768</v>
      </c>
      <c r="BP252">
        <v>3097.637024306186</v>
      </c>
      <c r="BQ252">
        <v>3273.267174136397</v>
      </c>
    </row>
    <row r="253" spans="1:69" x14ac:dyDescent="0.25">
      <c r="A253" t="s">
        <v>1539</v>
      </c>
      <c r="B253" t="s">
        <v>1540</v>
      </c>
      <c r="C253" t="s">
        <v>1580</v>
      </c>
      <c r="D253" t="s">
        <v>1581</v>
      </c>
      <c r="AI253">
        <v>7590.544921875</v>
      </c>
      <c r="AJ253">
        <v>7148.48291015625</v>
      </c>
      <c r="AK253">
        <v>6568.3330078125</v>
      </c>
      <c r="AL253">
        <v>5766.296875</v>
      </c>
      <c r="AM253">
        <v>4564.64453125</v>
      </c>
      <c r="AN253">
        <v>4124.29541015625</v>
      </c>
      <c r="AO253">
        <v>3812.24560546875</v>
      </c>
      <c r="AP253">
        <v>3794.17846679688</v>
      </c>
      <c r="AQ253">
        <v>3794.33911132813</v>
      </c>
      <c r="AR253">
        <v>3871.32641601563</v>
      </c>
      <c r="AS253">
        <v>4228.1162109375</v>
      </c>
      <c r="AT253">
        <v>4746.85791015625</v>
      </c>
      <c r="AU253">
        <v>5122.84130859375</v>
      </c>
      <c r="AV253">
        <v>5764.01123046875</v>
      </c>
      <c r="AW253">
        <v>6663.46728515625</v>
      </c>
      <c r="AX253">
        <v>7142.10693359375</v>
      </c>
      <c r="AY253">
        <v>7971.1962890625</v>
      </c>
      <c r="AZ253">
        <v>8900.4443359375</v>
      </c>
      <c r="BA253">
        <v>9323.72265625</v>
      </c>
      <c r="BB253">
        <v>7994.61572265625</v>
      </c>
      <c r="BC253">
        <v>8453.2998046875</v>
      </c>
      <c r="BD253">
        <v>9126.6083984375</v>
      </c>
      <c r="BE253">
        <v>9552.314453125</v>
      </c>
      <c r="BF253">
        <v>10903.8251953125</v>
      </c>
      <c r="BG253">
        <v>10493.7451171875</v>
      </c>
      <c r="BH253">
        <v>9921.833984375</v>
      </c>
      <c r="BI253">
        <v>10864.6572265625</v>
      </c>
      <c r="BJ253">
        <v>11536.0810546875</v>
      </c>
      <c r="BK253">
        <v>12554.8486328125</v>
      </c>
      <c r="BL253">
        <v>14217.486328125</v>
      </c>
      <c r="BM253">
        <v>15541.02734375</v>
      </c>
      <c r="BN253">
        <v>17846.408203125</v>
      </c>
      <c r="BO253">
        <v>14770.0712890625</v>
      </c>
      <c r="BP253">
        <v>17665.34375</v>
      </c>
      <c r="BQ253">
        <v>18550.462890625</v>
      </c>
    </row>
    <row r="254" spans="1:69" x14ac:dyDescent="0.25">
      <c r="A254" t="s">
        <v>1541</v>
      </c>
      <c r="B254" t="s">
        <v>1542</v>
      </c>
      <c r="C254" t="s">
        <v>1580</v>
      </c>
      <c r="D254" t="s">
        <v>1581</v>
      </c>
      <c r="AI254">
        <v>3197.1009332914882</v>
      </c>
      <c r="AJ254">
        <v>3380.5975409245102</v>
      </c>
      <c r="AK254">
        <v>3549.11286088206</v>
      </c>
      <c r="AL254">
        <v>3739.2224755092088</v>
      </c>
      <c r="AM254">
        <v>3933.3356381668782</v>
      </c>
      <c r="AN254">
        <v>4144.5822665727856</v>
      </c>
      <c r="AO254">
        <v>4420.5270486935588</v>
      </c>
      <c r="AP254">
        <v>4697.2667177253616</v>
      </c>
      <c r="AQ254">
        <v>4711.4984149657575</v>
      </c>
      <c r="AR254">
        <v>4877.8835288211776</v>
      </c>
      <c r="AS254">
        <v>5244.3696530111492</v>
      </c>
      <c r="AT254">
        <v>5498.9958308143214</v>
      </c>
      <c r="AU254">
        <v>5800.8995587939626</v>
      </c>
      <c r="AV254">
        <v>6192.5142205034163</v>
      </c>
      <c r="AW254">
        <v>6803.8353916587048</v>
      </c>
      <c r="AX254">
        <v>7457.1910199551403</v>
      </c>
      <c r="AY254">
        <v>8288.2308992245071</v>
      </c>
      <c r="AZ254">
        <v>9224.0362379769231</v>
      </c>
      <c r="BA254">
        <v>9930.8955936135808</v>
      </c>
      <c r="BB254">
        <v>10258.492823148519</v>
      </c>
      <c r="BC254">
        <v>11163.26573770217</v>
      </c>
      <c r="BD254">
        <v>12078.609354102069</v>
      </c>
      <c r="BE254">
        <v>12782.359672500799</v>
      </c>
      <c r="BF254">
        <v>13429.02139999746</v>
      </c>
      <c r="BG254">
        <v>13911.523097664949</v>
      </c>
      <c r="BH254">
        <v>14040.93855781972</v>
      </c>
      <c r="BI254">
        <v>14566.364079875661</v>
      </c>
      <c r="BJ254">
        <v>15327.065214955501</v>
      </c>
      <c r="BK254">
        <v>16306.210732101081</v>
      </c>
      <c r="BL254">
        <v>17198.222310261339</v>
      </c>
      <c r="BM254">
        <v>17334.475817655661</v>
      </c>
      <c r="BN254">
        <v>19501.635678418701</v>
      </c>
      <c r="BO254">
        <v>21666.20255083506</v>
      </c>
      <c r="BP254">
        <v>23434.176925954791</v>
      </c>
      <c r="BQ254">
        <v>24933.057303754311</v>
      </c>
    </row>
    <row r="255" spans="1:69" x14ac:dyDescent="0.25">
      <c r="A255" t="s">
        <v>1543</v>
      </c>
      <c r="B255" t="s">
        <v>1544</v>
      </c>
      <c r="C255" t="s">
        <v>1580</v>
      </c>
      <c r="D255" t="s">
        <v>1581</v>
      </c>
      <c r="AI255">
        <v>6683.0578107903202</v>
      </c>
      <c r="AJ255">
        <v>7112.4376510207021</v>
      </c>
      <c r="AK255">
        <v>7808.122280901428</v>
      </c>
      <c r="AL255">
        <v>8162.3559292904583</v>
      </c>
      <c r="AM255">
        <v>8897.1780595082255</v>
      </c>
      <c r="AN255">
        <v>8905.6179867626834</v>
      </c>
      <c r="AO255">
        <v>9524.0870035457574</v>
      </c>
      <c r="AP255">
        <v>10460.919710046121</v>
      </c>
      <c r="AQ255">
        <v>11002.126208432341</v>
      </c>
      <c r="AR255">
        <v>10938.35578221067</v>
      </c>
      <c r="AS255">
        <v>10929.30026075868</v>
      </c>
      <c r="AT255">
        <v>10719.394569068711</v>
      </c>
      <c r="AU255">
        <v>10030.128784048829</v>
      </c>
      <c r="AV255">
        <v>10303.233750404681</v>
      </c>
      <c r="AW255">
        <v>11103.11258989132</v>
      </c>
      <c r="AX255">
        <v>12295.70031158902</v>
      </c>
      <c r="AY255">
        <v>13179.38811340438</v>
      </c>
      <c r="AZ255">
        <v>14397.224966514999</v>
      </c>
      <c r="BA255">
        <v>15694.235411975969</v>
      </c>
      <c r="BB255">
        <v>16421.7696322847</v>
      </c>
      <c r="BC255">
        <v>17872.536968292359</v>
      </c>
      <c r="BD255">
        <v>19135.363696418579</v>
      </c>
      <c r="BE255">
        <v>19495.4223660846</v>
      </c>
      <c r="BF255">
        <v>20661.3793411187</v>
      </c>
      <c r="BG255">
        <v>21867.81122763149</v>
      </c>
      <c r="BH255">
        <v>22168.611418967601</v>
      </c>
      <c r="BI255">
        <v>22840.55070698051</v>
      </c>
      <c r="BJ255">
        <v>23606.62780079585</v>
      </c>
      <c r="BK255">
        <v>24386.49484739517</v>
      </c>
      <c r="BL255">
        <v>25782.689019887119</v>
      </c>
      <c r="BM255">
        <v>25725.25821694198</v>
      </c>
      <c r="BN255">
        <v>29431.885008747071</v>
      </c>
      <c r="BO255">
        <v>33000.918699951028</v>
      </c>
      <c r="BP255">
        <v>34470.932220114322</v>
      </c>
      <c r="BQ255">
        <v>36417.874162496009</v>
      </c>
    </row>
    <row r="256" spans="1:69" x14ac:dyDescent="0.25">
      <c r="A256" t="s">
        <v>1545</v>
      </c>
      <c r="B256" t="s">
        <v>1546</v>
      </c>
      <c r="C256" t="s">
        <v>1580</v>
      </c>
      <c r="D256" t="s">
        <v>1581</v>
      </c>
      <c r="AI256">
        <v>23888.60000881329</v>
      </c>
      <c r="AJ256">
        <v>24342.25890481894</v>
      </c>
      <c r="AK256">
        <v>25418.990776331899</v>
      </c>
      <c r="AL256">
        <v>26387.29373381707</v>
      </c>
      <c r="AM256">
        <v>27694.853416234051</v>
      </c>
      <c r="AN256">
        <v>28690.875701334659</v>
      </c>
      <c r="AO256">
        <v>29967.712718174829</v>
      </c>
      <c r="AP256">
        <v>31459.12996915539</v>
      </c>
      <c r="AQ256">
        <v>32853.672594923373</v>
      </c>
      <c r="AR256">
        <v>34515.381307339412</v>
      </c>
      <c r="AS256">
        <v>36329.970259575079</v>
      </c>
      <c r="AT256">
        <v>37133.620397351697</v>
      </c>
      <c r="AU256">
        <v>37997.742430024198</v>
      </c>
      <c r="AV256">
        <v>39490.302390317607</v>
      </c>
      <c r="AW256">
        <v>41724.641198261379</v>
      </c>
      <c r="AX256">
        <v>44123.399647002567</v>
      </c>
      <c r="AY256">
        <v>46301.987648551891</v>
      </c>
      <c r="AZ256">
        <v>48050.227412195047</v>
      </c>
      <c r="BA256">
        <v>48570.05942696015</v>
      </c>
      <c r="BB256">
        <v>47194.95008938721</v>
      </c>
      <c r="BC256">
        <v>48642.631208821302</v>
      </c>
      <c r="BD256">
        <v>50024.8812320773</v>
      </c>
      <c r="BE256">
        <v>51708.394061408188</v>
      </c>
      <c r="BF256">
        <v>53297.386290159528</v>
      </c>
      <c r="BG256">
        <v>55153.394018296698</v>
      </c>
      <c r="BH256">
        <v>56849.46979231594</v>
      </c>
      <c r="BI256">
        <v>57976.628204291039</v>
      </c>
      <c r="BJ256">
        <v>60047.719072830689</v>
      </c>
      <c r="BK256">
        <v>62875.666138272842</v>
      </c>
      <c r="BL256">
        <v>65227.956591103517</v>
      </c>
      <c r="BM256">
        <v>64401.50743542087</v>
      </c>
      <c r="BN256">
        <v>71307.401727721808</v>
      </c>
      <c r="BO256">
        <v>77860.911290884818</v>
      </c>
      <c r="BP256">
        <v>82304.620427286573</v>
      </c>
      <c r="BQ256">
        <v>85809.900384635912</v>
      </c>
    </row>
    <row r="257" spans="1:69" x14ac:dyDescent="0.25">
      <c r="A257" t="s">
        <v>1547</v>
      </c>
      <c r="B257" t="s">
        <v>1548</v>
      </c>
      <c r="C257" t="s">
        <v>1580</v>
      </c>
      <c r="D257" t="s">
        <v>1581</v>
      </c>
      <c r="AI257">
        <v>2664.6648756578479</v>
      </c>
      <c r="AJ257">
        <v>2676.1101011015221</v>
      </c>
      <c r="AK257">
        <v>2371.4675719198158</v>
      </c>
      <c r="AL257">
        <v>2317.598351079921</v>
      </c>
      <c r="AM257">
        <v>2196.511107605595</v>
      </c>
      <c r="AN257">
        <v>2178.327483014974</v>
      </c>
      <c r="AO257">
        <v>2213.952639197124</v>
      </c>
      <c r="AP257">
        <v>2328.6579984733239</v>
      </c>
      <c r="AQ257">
        <v>2417.8262150652922</v>
      </c>
      <c r="AR257">
        <v>2521.839510975271</v>
      </c>
      <c r="AS257">
        <v>2644.2635416353578</v>
      </c>
      <c r="AT257">
        <v>2782.3487105001232</v>
      </c>
      <c r="AU257">
        <v>2902.039836176893</v>
      </c>
      <c r="AV257">
        <v>3047.2485683549239</v>
      </c>
      <c r="AW257">
        <v>3321.1965440097838</v>
      </c>
      <c r="AX257">
        <v>3617.8548683146082</v>
      </c>
      <c r="AY257">
        <v>3955.9768207592811</v>
      </c>
      <c r="AZ257">
        <v>4386.1293366958016</v>
      </c>
      <c r="BA257">
        <v>4800.0591432755291</v>
      </c>
      <c r="BB257">
        <v>5135.4644464758294</v>
      </c>
      <c r="BC257">
        <v>5504.8563793136991</v>
      </c>
      <c r="BD257">
        <v>5949.484123528995</v>
      </c>
      <c r="BE257">
        <v>6168.1376475517227</v>
      </c>
      <c r="BF257">
        <v>6412.7238692872024</v>
      </c>
      <c r="BG257">
        <v>6609.7671727770767</v>
      </c>
      <c r="BH257">
        <v>6799.5733284218304</v>
      </c>
      <c r="BI257">
        <v>6919.2947562180416</v>
      </c>
      <c r="BJ257">
        <v>7818.011129774256</v>
      </c>
      <c r="BK257">
        <v>8128.7552030352253</v>
      </c>
      <c r="BL257">
        <v>8544.0802672971786</v>
      </c>
      <c r="BM257">
        <v>8451.7250510811446</v>
      </c>
      <c r="BN257">
        <v>9247.6438270392937</v>
      </c>
      <c r="BO257">
        <v>10292.530942748541</v>
      </c>
      <c r="BP257">
        <v>11106.971593476679</v>
      </c>
      <c r="BQ257">
        <v>11878.55287068482</v>
      </c>
    </row>
    <row r="258" spans="1:69" x14ac:dyDescent="0.25">
      <c r="A258" t="s">
        <v>1549</v>
      </c>
      <c r="B258" t="s">
        <v>1550</v>
      </c>
      <c r="C258" t="s">
        <v>1580</v>
      </c>
      <c r="D258" t="s">
        <v>1581</v>
      </c>
      <c r="AI258">
        <v>3960.3767929099872</v>
      </c>
      <c r="AJ258">
        <v>4125.6749135411465</v>
      </c>
      <c r="AK258">
        <v>4477.3719833275909</v>
      </c>
      <c r="AL258">
        <v>4768.7533693076393</v>
      </c>
      <c r="AM258">
        <v>4802.0142816488406</v>
      </c>
      <c r="AN258">
        <v>5277.4438668823714</v>
      </c>
      <c r="AO258">
        <v>5439.8099882948827</v>
      </c>
      <c r="AP258">
        <v>5726.4645798269185</v>
      </c>
      <c r="AQ258">
        <v>6025.6012281487319</v>
      </c>
      <c r="AR258">
        <v>6266.1950814986058</v>
      </c>
      <c r="AS258">
        <v>6502.9002363421832</v>
      </c>
      <c r="AT258">
        <v>6768.1937078357932</v>
      </c>
      <c r="AU258">
        <v>7250.3927441309652</v>
      </c>
      <c r="AV258">
        <v>7902.6273088371981</v>
      </c>
      <c r="AW258">
        <v>8471.9624626583191</v>
      </c>
      <c r="AX258">
        <v>8985.6968608252591</v>
      </c>
      <c r="AY258">
        <v>9949.4893876563347</v>
      </c>
      <c r="AZ258">
        <v>10604.34802365788</v>
      </c>
      <c r="BA258">
        <v>10901.56487445683</v>
      </c>
      <c r="BB258">
        <v>10868.53509341045</v>
      </c>
      <c r="BC258">
        <v>10561.308030595979</v>
      </c>
      <c r="BD258">
        <v>10773.61447425711</v>
      </c>
      <c r="BE258">
        <v>10988.502614009511</v>
      </c>
      <c r="BF258">
        <v>11624.86251420762</v>
      </c>
      <c r="BG258">
        <v>12135.58305102906</v>
      </c>
      <c r="BH258">
        <v>12378.842727427949</v>
      </c>
      <c r="BI258">
        <v>13493.477312099671</v>
      </c>
      <c r="BJ258">
        <v>13575.43197695128</v>
      </c>
      <c r="BK258">
        <v>14689.850071088569</v>
      </c>
      <c r="BL258">
        <v>15339.556028106441</v>
      </c>
      <c r="BM258">
        <v>15336.59877717645</v>
      </c>
      <c r="BN258">
        <v>16200.899459784519</v>
      </c>
      <c r="BO258">
        <v>18035.273292812009</v>
      </c>
      <c r="BP258">
        <v>19819.869034679039</v>
      </c>
      <c r="BQ258">
        <v>21272.080067366209</v>
      </c>
    </row>
    <row r="259" spans="1:69" x14ac:dyDescent="0.25">
      <c r="A259" t="s">
        <v>1551</v>
      </c>
      <c r="B259" t="s">
        <v>1552</v>
      </c>
      <c r="C259" t="s">
        <v>1580</v>
      </c>
      <c r="D259" t="s">
        <v>1581</v>
      </c>
      <c r="AI259">
        <v>11627.94425091511</v>
      </c>
      <c r="AJ259">
        <v>12880.37643716743</v>
      </c>
      <c r="AK259">
        <v>13652.207411279071</v>
      </c>
      <c r="AL259">
        <v>13702.047264280451</v>
      </c>
      <c r="AM259">
        <v>13369.76809909554</v>
      </c>
      <c r="AN259">
        <v>13889.87098413975</v>
      </c>
      <c r="AO259">
        <v>13824.46870920752</v>
      </c>
      <c r="AP259">
        <v>14655.147213877641</v>
      </c>
      <c r="AQ259">
        <v>14567.656856164231</v>
      </c>
      <c r="AR259">
        <v>13623.18426737371</v>
      </c>
      <c r="AS259">
        <v>14174.44002147854</v>
      </c>
      <c r="AT259">
        <v>14713.66678687798</v>
      </c>
      <c r="AU259">
        <v>13375.054842898489</v>
      </c>
      <c r="AV259">
        <v>12359.29215848069</v>
      </c>
      <c r="AW259">
        <v>14757.108467029921</v>
      </c>
      <c r="AX259">
        <v>16511.259291726921</v>
      </c>
      <c r="AY259">
        <v>18399.253313445599</v>
      </c>
      <c r="AZ259">
        <v>20236.299530726112</v>
      </c>
      <c r="BA259">
        <v>21401.842905829599</v>
      </c>
      <c r="BB259">
        <v>20562.366782465921</v>
      </c>
      <c r="BC259">
        <v>20235.710536006281</v>
      </c>
      <c r="BD259">
        <v>21241.435072554312</v>
      </c>
    </row>
    <row r="260" spans="1:69" x14ac:dyDescent="0.25">
      <c r="A260" t="s">
        <v>1553</v>
      </c>
      <c r="B260" t="s">
        <v>1554</v>
      </c>
      <c r="C260" t="s">
        <v>1580</v>
      </c>
      <c r="D260" t="s">
        <v>1581</v>
      </c>
    </row>
    <row r="261" spans="1:69" x14ac:dyDescent="0.25">
      <c r="A261" t="s">
        <v>1555</v>
      </c>
      <c r="B261" t="s">
        <v>1556</v>
      </c>
      <c r="C261" t="s">
        <v>1580</v>
      </c>
      <c r="D261" t="s">
        <v>1581</v>
      </c>
      <c r="AU261">
        <v>32113.439990454219</v>
      </c>
      <c r="AV261">
        <v>32618.956370593769</v>
      </c>
      <c r="AW261">
        <v>34609.194798110591</v>
      </c>
      <c r="AX261">
        <v>36942.836504687359</v>
      </c>
      <c r="AY261">
        <v>39447.421200818768</v>
      </c>
      <c r="AZ261">
        <v>42153.539658649512</v>
      </c>
      <c r="BA261">
        <v>43465.234694472267</v>
      </c>
      <c r="BB261">
        <v>40846.562005804662</v>
      </c>
      <c r="BC261">
        <v>41607.56685670263</v>
      </c>
      <c r="BD261">
        <v>39006.082013451683</v>
      </c>
      <c r="BE261">
        <v>33878.983108433997</v>
      </c>
      <c r="BF261">
        <v>32333.91080314467</v>
      </c>
      <c r="BG261">
        <v>32360.900383355161</v>
      </c>
      <c r="BH261">
        <v>32573.716681217371</v>
      </c>
      <c r="BI261">
        <v>33470.590476552563</v>
      </c>
      <c r="BJ261">
        <v>33893.550181547464</v>
      </c>
      <c r="BK261">
        <v>36746.486890183762</v>
      </c>
      <c r="BL261">
        <v>40021.77757980243</v>
      </c>
      <c r="BM261">
        <v>41749.080036455343</v>
      </c>
      <c r="BN261">
        <v>46893.549698874143</v>
      </c>
      <c r="BO261">
        <v>49793.032439571623</v>
      </c>
    </row>
    <row r="262" spans="1:69" x14ac:dyDescent="0.25">
      <c r="A262" t="s">
        <v>1557</v>
      </c>
      <c r="B262" t="s">
        <v>1558</v>
      </c>
      <c r="C262" t="s">
        <v>1580</v>
      </c>
      <c r="D262" t="s">
        <v>1581</v>
      </c>
      <c r="AI262">
        <v>1209.6864446977511</v>
      </c>
      <c r="AJ262">
        <v>1297.660604886363</v>
      </c>
      <c r="AK262">
        <v>1413.074953231772</v>
      </c>
      <c r="AL262">
        <v>1533.555731755102</v>
      </c>
      <c r="AM262">
        <v>1674.2371220071379</v>
      </c>
      <c r="AN262">
        <v>1841.350268527769</v>
      </c>
      <c r="AO262">
        <v>2019.1824909577199</v>
      </c>
      <c r="AP262">
        <v>2189.410277281338</v>
      </c>
      <c r="AQ262">
        <v>2308.2816360179208</v>
      </c>
      <c r="AR262">
        <v>2420.935000456685</v>
      </c>
      <c r="AS262">
        <v>2614.118403665635</v>
      </c>
      <c r="AT262">
        <v>2808.8318190836249</v>
      </c>
      <c r="AU262">
        <v>3001.8703876692239</v>
      </c>
      <c r="AV262">
        <v>3239.7712590991491</v>
      </c>
      <c r="AW262">
        <v>3543.0991552046139</v>
      </c>
      <c r="AX262">
        <v>3893.6650942259421</v>
      </c>
      <c r="AY262">
        <v>4237.4008809473225</v>
      </c>
      <c r="AZ262">
        <v>4580.7943113842703</v>
      </c>
      <c r="BA262">
        <v>4844.067047515462</v>
      </c>
      <c r="BB262">
        <v>5060.7321226719623</v>
      </c>
      <c r="BC262">
        <v>5389.2195699367358</v>
      </c>
      <c r="BD262">
        <v>5786.1234887072096</v>
      </c>
      <c r="BE262">
        <v>6376.7976570617184</v>
      </c>
      <c r="BF262">
        <v>6758.4043363474884</v>
      </c>
      <c r="BG262">
        <v>7296.8794808738048</v>
      </c>
      <c r="BH262">
        <v>7671.5819778083951</v>
      </c>
      <c r="BI262">
        <v>8374.5068451611751</v>
      </c>
      <c r="BJ262">
        <v>9169.7319205285476</v>
      </c>
      <c r="BK262">
        <v>10009.97147560056</v>
      </c>
      <c r="BL262">
        <v>11029.273208396309</v>
      </c>
      <c r="BM262">
        <v>11609.31772764233</v>
      </c>
      <c r="BN262">
        <v>12048.9019935536</v>
      </c>
      <c r="BO262">
        <v>13905.15368752161</v>
      </c>
      <c r="BP262">
        <v>15033.87685943549</v>
      </c>
      <c r="BQ262">
        <v>16385.50655654577</v>
      </c>
    </row>
    <row r="263" spans="1:69" x14ac:dyDescent="0.25">
      <c r="A263" t="s">
        <v>1559</v>
      </c>
      <c r="B263" t="s">
        <v>1560</v>
      </c>
      <c r="C263" t="s">
        <v>1580</v>
      </c>
      <c r="D263" t="s">
        <v>1581</v>
      </c>
      <c r="AI263">
        <v>1669.609516412758</v>
      </c>
      <c r="AJ263">
        <v>1736.653349422463</v>
      </c>
      <c r="AK263">
        <v>1777.478805057485</v>
      </c>
      <c r="AL263">
        <v>1788.68071647432</v>
      </c>
      <c r="AM263">
        <v>1945.7889940696521</v>
      </c>
      <c r="AN263">
        <v>1960.6340867109509</v>
      </c>
      <c r="AO263">
        <v>1997.881870726128</v>
      </c>
      <c r="AP263">
        <v>2086.6996784209459</v>
      </c>
      <c r="AQ263">
        <v>2090.8394421960338</v>
      </c>
      <c r="AR263">
        <v>2083.928312214065</v>
      </c>
      <c r="AS263">
        <v>2206.102403567741</v>
      </c>
      <c r="AT263">
        <v>2124.950748849164</v>
      </c>
      <c r="AU263">
        <v>1995.3237227451159</v>
      </c>
      <c r="AV263">
        <v>2070.3577555698189</v>
      </c>
      <c r="AW263">
        <v>2157.4451705913111</v>
      </c>
      <c r="AX263">
        <v>2287.006604332455</v>
      </c>
      <c r="AY263">
        <v>2495.856836361093</v>
      </c>
      <c r="AZ263">
        <v>2573.4010436712811</v>
      </c>
      <c r="BA263">
        <v>2701.288360818342</v>
      </c>
      <c r="BB263">
        <v>2730.2879599112412</v>
      </c>
      <c r="BC263">
        <v>2733.459225887183</v>
      </c>
      <c r="BD263">
        <v>2815.686933840293</v>
      </c>
      <c r="BE263">
        <v>2834.126308737098</v>
      </c>
      <c r="BF263">
        <v>2832.0060614046938</v>
      </c>
      <c r="BG263">
        <v>2890.1310381970329</v>
      </c>
      <c r="BH263">
        <v>2965.8414325737781</v>
      </c>
      <c r="BI263">
        <v>3029.809239484131</v>
      </c>
      <c r="BJ263">
        <v>3145.9273498946682</v>
      </c>
      <c r="BK263">
        <v>3232.9482580067179</v>
      </c>
      <c r="BL263">
        <v>3314.667213524247</v>
      </c>
      <c r="BM263">
        <v>3117.644252920375</v>
      </c>
      <c r="BN263">
        <v>3135.836649456779</v>
      </c>
      <c r="BO263">
        <v>3452.6074269388168</v>
      </c>
      <c r="BP263">
        <v>3567.8188203022269</v>
      </c>
      <c r="BQ263">
        <v>3605.607366917352</v>
      </c>
    </row>
    <row r="264" spans="1:69" x14ac:dyDescent="0.25">
      <c r="A264" t="s">
        <v>1561</v>
      </c>
      <c r="B264" t="s">
        <v>1562</v>
      </c>
      <c r="C264" t="s">
        <v>1580</v>
      </c>
      <c r="D264" t="s">
        <v>1581</v>
      </c>
      <c r="AI264">
        <v>5599.7110011175637</v>
      </c>
      <c r="AJ264">
        <v>5787.760685395242</v>
      </c>
      <c r="AK264">
        <v>5955.5120311544879</v>
      </c>
      <c r="AL264">
        <v>6115.919831984671</v>
      </c>
      <c r="AM264">
        <v>6348.8547225801231</v>
      </c>
      <c r="AN264">
        <v>6605.587918219886</v>
      </c>
      <c r="AO264">
        <v>6894.1421233140854</v>
      </c>
      <c r="AP264">
        <v>7189.788059523903</v>
      </c>
      <c r="AQ264">
        <v>7325.0591589465084</v>
      </c>
      <c r="AR264">
        <v>7584.7453118536814</v>
      </c>
      <c r="AS264">
        <v>8041.5498517158821</v>
      </c>
      <c r="AT264">
        <v>8321.2823188851817</v>
      </c>
      <c r="AU264">
        <v>8611.1968531777529</v>
      </c>
      <c r="AV264">
        <v>8979.6391401190649</v>
      </c>
      <c r="AW264">
        <v>9586.9024080011586</v>
      </c>
      <c r="AX264">
        <v>10202.377716151321</v>
      </c>
      <c r="AY264">
        <v>11032.717995686749</v>
      </c>
      <c r="AZ264">
        <v>11798.64390816885</v>
      </c>
      <c r="BA264">
        <v>12338.711830999</v>
      </c>
      <c r="BB264">
        <v>12293.58926391704</v>
      </c>
      <c r="BC264">
        <v>12947.330744556441</v>
      </c>
      <c r="BD264">
        <v>13638.453767854549</v>
      </c>
      <c r="BE264">
        <v>14180.83050504492</v>
      </c>
      <c r="BF264">
        <v>14713.24263517956</v>
      </c>
      <c r="BG264">
        <v>15111.30566268324</v>
      </c>
      <c r="BH264">
        <v>15276.489247409139</v>
      </c>
      <c r="BI264">
        <v>15730.150620352681</v>
      </c>
      <c r="BJ264">
        <v>16425.245952258931</v>
      </c>
      <c r="BK264">
        <v>17291.07622141208</v>
      </c>
      <c r="BL264">
        <v>18129.46667797985</v>
      </c>
      <c r="BM264">
        <v>17901.707611911039</v>
      </c>
      <c r="BN264">
        <v>19848.16660722376</v>
      </c>
      <c r="BO264">
        <v>21978.791957549591</v>
      </c>
      <c r="BP264">
        <v>23381.777314541981</v>
      </c>
      <c r="BQ264">
        <v>24526.870445010471</v>
      </c>
    </row>
    <row r="265" spans="1:69" x14ac:dyDescent="0.25">
      <c r="A265" t="s">
        <v>1563</v>
      </c>
      <c r="B265" t="s">
        <v>1564</v>
      </c>
      <c r="C265" t="s">
        <v>1580</v>
      </c>
      <c r="D265" t="s">
        <v>1581</v>
      </c>
      <c r="AI265">
        <v>2148.2835223622028</v>
      </c>
      <c r="AJ265">
        <v>2165.6761127394402</v>
      </c>
      <c r="AK265">
        <v>2198.1008860223242</v>
      </c>
      <c r="AL265">
        <v>2322.783123136418</v>
      </c>
      <c r="AM265">
        <v>2293.5779545887858</v>
      </c>
      <c r="AN265">
        <v>2477.7372979723</v>
      </c>
      <c r="AO265">
        <v>2681.1931805419608</v>
      </c>
      <c r="AP265">
        <v>2722.1581193394741</v>
      </c>
      <c r="AQ265">
        <v>2791.8176616634391</v>
      </c>
      <c r="AR265">
        <v>2871.214476471122</v>
      </c>
      <c r="AS265">
        <v>3061.8498667672152</v>
      </c>
      <c r="AT265">
        <v>3334.977916458417</v>
      </c>
      <c r="AU265">
        <v>3552.910667107993</v>
      </c>
      <c r="AV265">
        <v>3792.198476609145</v>
      </c>
      <c r="AW265">
        <v>3996.744635632399</v>
      </c>
      <c r="AX265">
        <v>4378.5944315771994</v>
      </c>
      <c r="AY265">
        <v>4591.9070252478496</v>
      </c>
      <c r="AZ265">
        <v>4713.0212337572639</v>
      </c>
      <c r="BA265">
        <v>4939.2255835659598</v>
      </c>
      <c r="BB265">
        <v>4906.4825427462783</v>
      </c>
      <c r="BC265">
        <v>5229.0419119912358</v>
      </c>
      <c r="BD265">
        <v>5494.2406311821287</v>
      </c>
      <c r="BE265">
        <v>5338.739793229217</v>
      </c>
      <c r="BF265">
        <v>5386.9006308191429</v>
      </c>
      <c r="BG265">
        <v>5468.1005853255629</v>
      </c>
      <c r="BH265">
        <v>5681.778127688427</v>
      </c>
      <c r="BI265">
        <v>6141.4508904426302</v>
      </c>
      <c r="BJ265">
        <v>6280.2150047714267</v>
      </c>
      <c r="BK265">
        <v>6318.26977293454</v>
      </c>
      <c r="BL265">
        <v>6638.1845475910204</v>
      </c>
      <c r="BM265">
        <v>6450.7520118340472</v>
      </c>
      <c r="BN265">
        <v>6350.1142835325281</v>
      </c>
      <c r="BO265">
        <v>6909.1712992833582</v>
      </c>
      <c r="BP265">
        <v>8194.8072564073354</v>
      </c>
      <c r="BQ265">
        <v>8736.8160677253818</v>
      </c>
    </row>
    <row r="266" spans="1:69" x14ac:dyDescent="0.25">
      <c r="A266" t="s">
        <v>1565</v>
      </c>
      <c r="B266" t="s">
        <v>1566</v>
      </c>
      <c r="C266" t="s">
        <v>1580</v>
      </c>
      <c r="D266" t="s">
        <v>1581</v>
      </c>
      <c r="BA266">
        <v>6352.6523195552008</v>
      </c>
      <c r="BB266">
        <v>6736.7610892669254</v>
      </c>
      <c r="BC266">
        <v>7179.2227793368666</v>
      </c>
      <c r="BD266">
        <v>7776.47393102774</v>
      </c>
      <c r="BE266">
        <v>7897.5669277787629</v>
      </c>
      <c r="BF266">
        <v>8090.7593926390209</v>
      </c>
      <c r="BG266">
        <v>8200.47420451574</v>
      </c>
      <c r="BH266">
        <v>8714.9196635613189</v>
      </c>
      <c r="BI266">
        <v>9157.0463074290819</v>
      </c>
      <c r="BJ266">
        <v>9380.9400729005702</v>
      </c>
      <c r="BK266">
        <v>10018.73870808113</v>
      </c>
      <c r="BL266">
        <v>10861.05317459744</v>
      </c>
      <c r="BM266">
        <v>10532.505469284941</v>
      </c>
      <c r="BN266">
        <v>12362.421018121309</v>
      </c>
      <c r="BO266">
        <v>13950.89673224105</v>
      </c>
      <c r="BP266">
        <v>15804.40657540579</v>
      </c>
      <c r="BQ266">
        <v>17864.416014511749</v>
      </c>
    </row>
    <row r="267" spans="1:69" x14ac:dyDescent="0.25">
      <c r="A267" t="s">
        <v>1567</v>
      </c>
      <c r="B267" t="s">
        <v>1568</v>
      </c>
      <c r="C267" t="s">
        <v>1580</v>
      </c>
      <c r="D267" t="s">
        <v>1581</v>
      </c>
      <c r="AI267">
        <v>1742.4937136509011</v>
      </c>
      <c r="AJ267">
        <v>1842.8290572550541</v>
      </c>
      <c r="AK267">
        <v>1963.423891367293</v>
      </c>
      <c r="AL267">
        <v>2013.2506756228599</v>
      </c>
      <c r="AM267">
        <v>2114.9313432039839</v>
      </c>
      <c r="AN267">
        <v>2201.150219785221</v>
      </c>
      <c r="AO267">
        <v>2267.700622528374</v>
      </c>
      <c r="AP267">
        <v>2351.320289096142</v>
      </c>
      <c r="AQ267">
        <v>2442.3979979966571</v>
      </c>
      <c r="AR267">
        <v>2491.672571238872</v>
      </c>
      <c r="AS267">
        <v>2623.640189917031</v>
      </c>
      <c r="AT267">
        <v>2701.8726370773402</v>
      </c>
      <c r="AU267">
        <v>2768.4872889023231</v>
      </c>
      <c r="AV267">
        <v>2844.129775075241</v>
      </c>
      <c r="AW267">
        <v>2948.846420496719</v>
      </c>
      <c r="AX267">
        <v>3113.4469108968869</v>
      </c>
      <c r="AY267">
        <v>3205.3082706390451</v>
      </c>
      <c r="AZ267">
        <v>3293.6334420738722</v>
      </c>
      <c r="BA267">
        <v>3369.5462917039849</v>
      </c>
      <c r="BB267">
        <v>3410.610295344864</v>
      </c>
      <c r="BC267">
        <v>3603.0350566419602</v>
      </c>
      <c r="BD267">
        <v>3113.3829272527878</v>
      </c>
      <c r="BE267">
        <v>3004.9209143402491</v>
      </c>
      <c r="BF267">
        <v>3164.3215422361532</v>
      </c>
    </row>
    <row r="268" spans="1:69" x14ac:dyDescent="0.25">
      <c r="A268" t="s">
        <v>1569</v>
      </c>
      <c r="B268" t="s">
        <v>1570</v>
      </c>
      <c r="C268" t="s">
        <v>1580</v>
      </c>
      <c r="D268" t="s">
        <v>1581</v>
      </c>
      <c r="AI268">
        <v>6381.6733641133842</v>
      </c>
      <c r="AJ268">
        <v>6382.8067930017623</v>
      </c>
      <c r="AK268">
        <v>6275.0132653945166</v>
      </c>
      <c r="AL268">
        <v>6374.7791248575404</v>
      </c>
      <c r="AM268">
        <v>6611.2886447324663</v>
      </c>
      <c r="AN268">
        <v>6875.1883864526644</v>
      </c>
      <c r="AO268">
        <v>7208.0060316093914</v>
      </c>
      <c r="AP268">
        <v>7433.3578589695917</v>
      </c>
      <c r="AQ268">
        <v>7463.4445514123636</v>
      </c>
      <c r="AR268">
        <v>7666.7161626007783</v>
      </c>
      <c r="AS268">
        <v>8095.2942886792925</v>
      </c>
      <c r="AT268">
        <v>8428.3168170753088</v>
      </c>
      <c r="AU268">
        <v>8792.3558857426488</v>
      </c>
      <c r="AV268">
        <v>9138.8282385501661</v>
      </c>
      <c r="AW268">
        <v>9713.6534846883442</v>
      </c>
      <c r="AX268">
        <v>10440.627514713189</v>
      </c>
      <c r="AY268">
        <v>11250.179555872021</v>
      </c>
      <c r="AZ268">
        <v>12046.60510725011</v>
      </c>
      <c r="BA268">
        <v>12525.26302998111</v>
      </c>
      <c r="BB268">
        <v>12261.411591130331</v>
      </c>
      <c r="BC268">
        <v>12637.29122260176</v>
      </c>
      <c r="BD268">
        <v>13143.1933361097</v>
      </c>
      <c r="BE268">
        <v>12986.79766753072</v>
      </c>
      <c r="BF268">
        <v>13369.43820396055</v>
      </c>
      <c r="BG268">
        <v>13358.94171866085</v>
      </c>
      <c r="BH268">
        <v>13397.523481334631</v>
      </c>
      <c r="BI268">
        <v>13519.323510237629</v>
      </c>
      <c r="BJ268">
        <v>13738.43858545956</v>
      </c>
      <c r="BK268">
        <v>13347.363482603771</v>
      </c>
      <c r="BL268">
        <v>13361.485128911239</v>
      </c>
      <c r="BM268">
        <v>12671.0862436851</v>
      </c>
      <c r="BN268">
        <v>13681.954814481311</v>
      </c>
      <c r="BO268">
        <v>14749.047804530081</v>
      </c>
      <c r="BP268">
        <v>15199.732982377551</v>
      </c>
      <c r="BQ268">
        <v>15456.19899336581</v>
      </c>
    </row>
    <row r="269" spans="1:69" x14ac:dyDescent="0.25">
      <c r="A269" t="s">
        <v>1571</v>
      </c>
      <c r="B269" t="s">
        <v>1572</v>
      </c>
      <c r="C269" t="s">
        <v>1580</v>
      </c>
      <c r="D269" t="s">
        <v>1581</v>
      </c>
      <c r="AI269">
        <v>1521.6241693724321</v>
      </c>
      <c r="AJ269">
        <v>1534.001299389771</v>
      </c>
      <c r="AK269">
        <v>1505.0264793546189</v>
      </c>
      <c r="AL269">
        <v>1606.669436493451</v>
      </c>
      <c r="AM269">
        <v>1464.0561172068769</v>
      </c>
      <c r="AN269">
        <v>1501.3910625069159</v>
      </c>
      <c r="AO269">
        <v>1584.5816634744219</v>
      </c>
      <c r="AP269">
        <v>1631.1731384515269</v>
      </c>
      <c r="AQ269">
        <v>1600.6282515599589</v>
      </c>
      <c r="AR269">
        <v>1653.836495366493</v>
      </c>
      <c r="AS269">
        <v>1708.5155261592729</v>
      </c>
      <c r="AT269">
        <v>1785.0671138547621</v>
      </c>
      <c r="AU269">
        <v>1837.065851720346</v>
      </c>
      <c r="AV269">
        <v>1942.215208716475</v>
      </c>
      <c r="AW269">
        <v>2067.9372845653029</v>
      </c>
      <c r="AX269">
        <v>2212.8120255359559</v>
      </c>
      <c r="AY269">
        <v>2377.992397782109</v>
      </c>
      <c r="AZ269">
        <v>2554.6893762921768</v>
      </c>
      <c r="BA269">
        <v>2708.008196691012</v>
      </c>
      <c r="BB269">
        <v>2872.4641836626788</v>
      </c>
      <c r="BC269">
        <v>3097.6640049924281</v>
      </c>
      <c r="BD269">
        <v>3228.4871425503911</v>
      </c>
      <c r="BE269">
        <v>3323.6331221985638</v>
      </c>
      <c r="BF269">
        <v>3477.281787776828</v>
      </c>
      <c r="BG269">
        <v>3441.314976437749</v>
      </c>
      <c r="BH269">
        <v>3337.4730688769632</v>
      </c>
      <c r="BI269">
        <v>3313.3512157002901</v>
      </c>
      <c r="BJ269">
        <v>3391.6276849277479</v>
      </c>
      <c r="BK269">
        <v>3442.2730719630181</v>
      </c>
      <c r="BL269">
        <v>3361.3975029961211</v>
      </c>
      <c r="BM269">
        <v>3157.3000931164288</v>
      </c>
      <c r="BN269">
        <v>3503.034914183715</v>
      </c>
      <c r="BO269">
        <v>3840.7245051113891</v>
      </c>
      <c r="BP269">
        <v>4076.9950868664132</v>
      </c>
      <c r="BQ269">
        <v>4214.8927780479917</v>
      </c>
    </row>
    <row r="270" spans="1:69" x14ac:dyDescent="0.25">
      <c r="A270" t="s">
        <v>1573</v>
      </c>
      <c r="B270" t="s">
        <v>1574</v>
      </c>
      <c r="C270" t="s">
        <v>1580</v>
      </c>
      <c r="D270" t="s">
        <v>1581</v>
      </c>
      <c r="AI270">
        <v>2756.7730555348339</v>
      </c>
      <c r="AJ270">
        <v>2930.323305433285</v>
      </c>
      <c r="AK270">
        <v>2650.998896028535</v>
      </c>
      <c r="AL270">
        <v>2702.575558610205</v>
      </c>
      <c r="AM270">
        <v>3011.6331894850091</v>
      </c>
      <c r="AN270">
        <v>3051.1683043904591</v>
      </c>
      <c r="AO270">
        <v>3372.469714302204</v>
      </c>
      <c r="AP270">
        <v>3457.0692797134352</v>
      </c>
      <c r="AQ270">
        <v>3527.154545987758</v>
      </c>
      <c r="AR270">
        <v>3490.8572308847229</v>
      </c>
      <c r="AS270">
        <v>3429.1205715230881</v>
      </c>
      <c r="AT270">
        <v>3533.086059036038</v>
      </c>
      <c r="AU270">
        <v>3237.570826613784</v>
      </c>
      <c r="AV270">
        <v>2707.9895717327181</v>
      </c>
      <c r="AW270">
        <v>2591.0200543179358</v>
      </c>
      <c r="AX270">
        <v>2495.920817362683</v>
      </c>
      <c r="AY270">
        <v>2453.7564236972198</v>
      </c>
      <c r="AZ270">
        <v>2396.3783505532469</v>
      </c>
      <c r="BA270">
        <v>1986.9088245993689</v>
      </c>
      <c r="BB270">
        <v>2232.8525728966988</v>
      </c>
      <c r="BC270">
        <v>2661.364832562133</v>
      </c>
      <c r="BD270">
        <v>3047.317088737494</v>
      </c>
      <c r="BE270">
        <v>3472.485720010156</v>
      </c>
      <c r="BF270">
        <v>3783.9463370464741</v>
      </c>
      <c r="BG270">
        <v>3903.4279770608359</v>
      </c>
      <c r="BH270">
        <v>4045.8986473879759</v>
      </c>
      <c r="BI270">
        <v>4275.4493505094024</v>
      </c>
      <c r="BJ270">
        <v>10756.44544169847</v>
      </c>
      <c r="BK270">
        <v>3992.890718675003</v>
      </c>
      <c r="BL270">
        <v>4165.5556783555812</v>
      </c>
      <c r="BM270">
        <v>4178.5855794382805</v>
      </c>
      <c r="BN270">
        <v>4827.0886936085999</v>
      </c>
      <c r="BO270">
        <v>5395.8562980063962</v>
      </c>
      <c r="BP270">
        <v>5791.1921287798841</v>
      </c>
      <c r="BQ270">
        <v>5928.0806252756047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AG85"/>
  <sheetViews>
    <sheetView topLeftCell="A2" zoomScale="80" zoomScaleNormal="80" workbookViewId="0">
      <selection activeCell="A3" sqref="A3"/>
    </sheetView>
  </sheetViews>
  <sheetFormatPr defaultRowHeight="15" x14ac:dyDescent="0.25"/>
  <cols>
    <col min="1" max="1" width="27.7109375" customWidth="1"/>
    <col min="2" max="2" width="19" customWidth="1"/>
    <col min="3" max="3" width="12.28515625" customWidth="1"/>
    <col min="4" max="4" width="11.7109375" customWidth="1"/>
    <col min="5" max="5" width="12.140625" customWidth="1"/>
    <col min="6" max="6" width="12.28515625" customWidth="1"/>
    <col min="7" max="7" width="18.85546875" customWidth="1"/>
    <col min="8" max="8" width="18.7109375" customWidth="1"/>
    <col min="9" max="9" width="12.42578125" customWidth="1"/>
    <col min="10" max="10" width="6.5703125" customWidth="1"/>
    <col min="11" max="11" width="19.28515625" customWidth="1"/>
    <col min="12" max="12" width="15" customWidth="1"/>
    <col min="13" max="13" width="19.28515625" customWidth="1"/>
    <col min="14" max="14" width="34.7109375" customWidth="1"/>
    <col min="15" max="15" width="27.28515625" customWidth="1"/>
    <col min="16" max="16" width="26.7109375" customWidth="1"/>
    <col min="17" max="17" width="17.85546875" customWidth="1"/>
    <col min="18" max="18" width="35.85546875" style="3" customWidth="1"/>
    <col min="19" max="19" width="14.7109375" customWidth="1"/>
    <col min="20" max="20" width="18.140625" customWidth="1"/>
    <col min="21" max="21" width="15.5703125" customWidth="1"/>
    <col min="22" max="22" width="19.7109375" customWidth="1"/>
    <col min="23" max="23" width="31.140625" customWidth="1"/>
    <col min="24" max="24" width="39.5703125" customWidth="1"/>
    <col min="25" max="26" width="28.7109375" customWidth="1"/>
    <col min="27" max="27" width="43.42578125" customWidth="1"/>
    <col min="28" max="28" width="51.5703125" customWidth="1"/>
    <col min="29" max="29" width="37.140625" customWidth="1"/>
    <col min="30" max="30" width="23.28515625" customWidth="1"/>
    <col min="31" max="31" width="25" customWidth="1"/>
    <col min="32" max="32" width="37.7109375" customWidth="1"/>
  </cols>
  <sheetData>
    <row r="1" spans="1:33" ht="16.899999999999999" customHeight="1" thickBot="1" x14ac:dyDescent="0.3"/>
    <row r="2" spans="1:33" ht="103.9" customHeight="1" thickBot="1" x14ac:dyDescent="0.3">
      <c r="A2" s="510" t="s">
        <v>1582</v>
      </c>
      <c r="B2" s="511"/>
      <c r="C2" s="511"/>
      <c r="D2" s="511"/>
      <c r="E2" s="512"/>
    </row>
    <row r="3" spans="1:33" ht="18.600000000000001" customHeight="1" x14ac:dyDescent="0.25">
      <c r="A3" s="109"/>
      <c r="B3" s="109"/>
      <c r="C3" s="109"/>
      <c r="D3" s="109"/>
      <c r="E3" s="109"/>
    </row>
    <row r="4" spans="1:33" ht="52.15" customHeight="1" x14ac:dyDescent="0.25">
      <c r="A4" s="115" t="s">
        <v>0</v>
      </c>
      <c r="B4" s="115" t="s">
        <v>1</v>
      </c>
      <c r="C4" s="115" t="s">
        <v>2</v>
      </c>
      <c r="D4" s="115" t="s">
        <v>3</v>
      </c>
      <c r="E4" s="115" t="s">
        <v>4</v>
      </c>
      <c r="F4" s="115" t="s">
        <v>5</v>
      </c>
      <c r="G4" s="115" t="s">
        <v>6</v>
      </c>
      <c r="H4" s="115" t="s">
        <v>7</v>
      </c>
      <c r="I4" s="115" t="s">
        <v>8</v>
      </c>
      <c r="J4" s="115" t="s">
        <v>9</v>
      </c>
      <c r="K4" s="115" t="s">
        <v>10</v>
      </c>
      <c r="L4" s="115" t="s">
        <v>11</v>
      </c>
      <c r="M4" s="115" t="s">
        <v>12</v>
      </c>
      <c r="N4" s="116" t="s">
        <v>14</v>
      </c>
      <c r="O4" s="116" t="s">
        <v>15</v>
      </c>
      <c r="P4" s="116" t="s">
        <v>16</v>
      </c>
      <c r="Q4" s="117" t="s">
        <v>1583</v>
      </c>
      <c r="R4" s="118" t="s">
        <v>18</v>
      </c>
      <c r="S4" s="119" t="s">
        <v>19</v>
      </c>
      <c r="T4" s="117" t="s">
        <v>20</v>
      </c>
      <c r="U4" s="117" t="s">
        <v>21</v>
      </c>
      <c r="V4" s="119" t="s">
        <v>22</v>
      </c>
      <c r="W4" s="117" t="s">
        <v>23</v>
      </c>
      <c r="X4" s="117" t="s">
        <v>24</v>
      </c>
      <c r="Y4" s="120" t="s">
        <v>1584</v>
      </c>
      <c r="Z4" s="121" t="s">
        <v>26</v>
      </c>
      <c r="AA4" s="122" t="s">
        <v>27</v>
      </c>
      <c r="AB4" s="122" t="s">
        <v>28</v>
      </c>
      <c r="AC4" s="123" t="s">
        <v>1585</v>
      </c>
      <c r="AD4" s="122" t="s">
        <v>30</v>
      </c>
      <c r="AE4" s="122" t="s">
        <v>32</v>
      </c>
      <c r="AF4" s="122" t="s">
        <v>34</v>
      </c>
      <c r="AG4" s="2"/>
    </row>
    <row r="5" spans="1:33" ht="14.45" customHeight="1" x14ac:dyDescent="0.25">
      <c r="A5" s="14" t="s">
        <v>191</v>
      </c>
      <c r="B5" s="16" t="s">
        <v>192</v>
      </c>
      <c r="C5" s="16" t="s">
        <v>104</v>
      </c>
      <c r="D5" s="16"/>
      <c r="E5" s="16"/>
      <c r="F5" s="16"/>
      <c r="G5" s="30" t="s">
        <v>193</v>
      </c>
      <c r="H5" s="62" t="e">
        <v>#VALUE!</v>
      </c>
      <c r="I5" s="14">
        <v>2014</v>
      </c>
      <c r="J5" s="16">
        <v>2022</v>
      </c>
      <c r="K5" s="68">
        <f t="shared" ref="K5:K36" si="0">J5-I5+1</f>
        <v>9</v>
      </c>
      <c r="L5" s="45" t="s">
        <v>39</v>
      </c>
      <c r="M5" s="62" t="s">
        <v>194</v>
      </c>
      <c r="N5" s="70">
        <f>AVERAGE('Poli Stab'!BG128:BO128)</f>
        <v>-1.8838691628640797E-3</v>
      </c>
      <c r="O5" s="71">
        <f>AVERAGE(Inflation!BG128:BO128)</f>
        <v>2.9575320693461555</v>
      </c>
      <c r="P5" s="62" t="s">
        <v>49</v>
      </c>
      <c r="Q5" s="75">
        <v>10000</v>
      </c>
      <c r="R5" s="102">
        <f>6000*1000*3</f>
        <v>18000000</v>
      </c>
      <c r="S5" s="76">
        <v>11800000</v>
      </c>
      <c r="T5" s="104">
        <v>0</v>
      </c>
      <c r="U5" s="105">
        <v>10000</v>
      </c>
      <c r="V5" s="77">
        <v>60</v>
      </c>
      <c r="W5" s="104">
        <v>0</v>
      </c>
      <c r="X5" s="78">
        <v>0</v>
      </c>
      <c r="Y5" s="78">
        <v>0</v>
      </c>
      <c r="Z5" s="86">
        <f>R5/Q5</f>
        <v>1800</v>
      </c>
      <c r="AA5" s="92">
        <f>Z18</f>
        <v>0</v>
      </c>
      <c r="AB5" s="93" t="str">
        <f t="shared" ref="AB5:AB36" si="1">IF(X5&gt;0,X5/S5,"")</f>
        <v/>
      </c>
      <c r="AC5" s="87" t="str">
        <f t="shared" ref="AC5:AC14" si="2">IF(Y5&gt;0,Y5/S5,"")</f>
        <v/>
      </c>
      <c r="AD5" s="92" t="str">
        <f t="shared" ref="AD5:AD36" si="3">IF(T5&gt;0,S5/T5,"")</f>
        <v/>
      </c>
      <c r="AE5" s="93">
        <f t="shared" ref="AE5:AE36" si="4">IF(U5&gt;0,S5/U5,"")</f>
        <v>1180</v>
      </c>
      <c r="AF5" s="88">
        <f t="shared" ref="AF5:AF51" si="5">IF(R5&gt;0,R5/S5,"")</f>
        <v>1.5254237288135593</v>
      </c>
    </row>
    <row r="6" spans="1:33" ht="14.45" customHeight="1" x14ac:dyDescent="0.25">
      <c r="A6" s="29" t="s">
        <v>151</v>
      </c>
      <c r="B6" s="17" t="s">
        <v>152</v>
      </c>
      <c r="C6" s="17" t="s">
        <v>57</v>
      </c>
      <c r="D6" s="17" t="s">
        <v>153</v>
      </c>
      <c r="E6" s="17"/>
      <c r="F6" s="17"/>
      <c r="G6" s="17" t="s">
        <v>154</v>
      </c>
      <c r="H6" s="63" t="e">
        <v>#VALUE!</v>
      </c>
      <c r="I6" s="29">
        <v>2019</v>
      </c>
      <c r="J6" s="17">
        <v>2023</v>
      </c>
      <c r="K6" s="66">
        <f t="shared" si="0"/>
        <v>5</v>
      </c>
      <c r="L6" s="4" t="s">
        <v>39</v>
      </c>
      <c r="M6" s="63" t="s">
        <v>139</v>
      </c>
      <c r="N6" s="72">
        <f>AVERAGE('Poli Stab'!BL221:BP221)</f>
        <v>-2.2793479919433617</v>
      </c>
      <c r="O6" s="28">
        <f>AVERAGE(Inflation!BL221:BP221)</f>
        <v>24.625881387861419</v>
      </c>
      <c r="P6" s="63" t="s">
        <v>42</v>
      </c>
      <c r="Q6" s="5">
        <v>21826</v>
      </c>
      <c r="R6" s="103">
        <f>(104-62)*Q6</f>
        <v>916692</v>
      </c>
      <c r="S6" s="3">
        <v>7650000</v>
      </c>
      <c r="T6" s="106">
        <v>0</v>
      </c>
      <c r="U6" s="80">
        <v>0</v>
      </c>
      <c r="V6" s="79">
        <f>574+165</f>
        <v>739</v>
      </c>
      <c r="W6" s="108">
        <v>107000</v>
      </c>
      <c r="X6" s="80">
        <v>0</v>
      </c>
      <c r="Y6" s="80">
        <v>0</v>
      </c>
      <c r="Z6" s="89">
        <f>R6/Q6</f>
        <v>42</v>
      </c>
      <c r="AA6" s="94">
        <f t="shared" ref="AA6:AA37" si="6">IF(W6&gt;0,W6/S6,"")</f>
        <v>1.3986928104575164E-2</v>
      </c>
      <c r="AB6" s="95" t="str">
        <f t="shared" si="1"/>
        <v/>
      </c>
      <c r="AC6" s="12" t="str">
        <f t="shared" si="2"/>
        <v/>
      </c>
      <c r="AD6" s="94" t="str">
        <f t="shared" si="3"/>
        <v/>
      </c>
      <c r="AE6" s="95" t="str">
        <f t="shared" si="4"/>
        <v/>
      </c>
      <c r="AF6" s="7">
        <f t="shared" si="5"/>
        <v>0.11982901960784313</v>
      </c>
    </row>
    <row r="7" spans="1:33" ht="14.45" customHeight="1" x14ac:dyDescent="0.25">
      <c r="A7" s="29" t="s">
        <v>141</v>
      </c>
      <c r="B7" s="17" t="s">
        <v>142</v>
      </c>
      <c r="C7" s="17" t="s">
        <v>104</v>
      </c>
      <c r="D7" s="17"/>
      <c r="E7" s="17"/>
      <c r="F7" s="17"/>
      <c r="G7" s="17" t="s">
        <v>105</v>
      </c>
      <c r="H7" s="63" t="e">
        <v>#VALUE!</v>
      </c>
      <c r="I7" s="29">
        <v>2013</v>
      </c>
      <c r="J7" s="17">
        <v>2016</v>
      </c>
      <c r="K7" s="66">
        <f t="shared" si="0"/>
        <v>4</v>
      </c>
      <c r="L7" s="29" t="s">
        <v>106</v>
      </c>
      <c r="M7" s="63" t="s">
        <v>107</v>
      </c>
      <c r="N7" s="72">
        <f>AVERAGE('Poli Stab'!BF266:BI266)</f>
        <v>-0.44831524416804303</v>
      </c>
      <c r="O7" s="28">
        <f>AVERAGE(Inflation!BF266:BI266)</f>
        <v>0.48313053254445415</v>
      </c>
      <c r="P7" s="63" t="s">
        <v>49</v>
      </c>
      <c r="Q7" s="5">
        <v>33000</v>
      </c>
      <c r="R7" s="80">
        <v>0</v>
      </c>
      <c r="S7" s="3">
        <v>7200000</v>
      </c>
      <c r="T7" s="89">
        <v>1600</v>
      </c>
      <c r="U7" s="80">
        <v>0</v>
      </c>
      <c r="V7" s="79">
        <f>120+10</f>
        <v>130</v>
      </c>
      <c r="W7" s="108">
        <v>3162000</v>
      </c>
      <c r="X7" s="80">
        <v>0</v>
      </c>
      <c r="Y7" s="80">
        <v>0</v>
      </c>
      <c r="Z7" s="89">
        <f>R7/Q7</f>
        <v>0</v>
      </c>
      <c r="AA7" s="94">
        <f t="shared" si="6"/>
        <v>0.43916666666666665</v>
      </c>
      <c r="AB7" s="95" t="str">
        <f t="shared" si="1"/>
        <v/>
      </c>
      <c r="AC7" s="12" t="str">
        <f t="shared" si="2"/>
        <v/>
      </c>
      <c r="AD7" s="94">
        <f t="shared" si="3"/>
        <v>4500</v>
      </c>
      <c r="AE7" s="95" t="str">
        <f t="shared" si="4"/>
        <v/>
      </c>
      <c r="AF7" s="7" t="str">
        <f t="shared" si="5"/>
        <v/>
      </c>
    </row>
    <row r="8" spans="1:33" ht="14.45" customHeight="1" x14ac:dyDescent="0.25">
      <c r="A8" s="29" t="s">
        <v>148</v>
      </c>
      <c r="B8" s="17" t="s">
        <v>149</v>
      </c>
      <c r="C8" s="17" t="s">
        <v>104</v>
      </c>
      <c r="D8" s="17"/>
      <c r="E8" s="17"/>
      <c r="F8" s="17"/>
      <c r="G8" s="17" t="s">
        <v>105</v>
      </c>
      <c r="H8" s="63" t="e">
        <v>#VALUE!</v>
      </c>
      <c r="I8" s="29">
        <v>2017</v>
      </c>
      <c r="J8" s="17">
        <v>2020</v>
      </c>
      <c r="K8" s="66">
        <f t="shared" si="0"/>
        <v>4</v>
      </c>
      <c r="L8" s="29" t="s">
        <v>106</v>
      </c>
      <c r="M8" s="63" t="s">
        <v>107</v>
      </c>
      <c r="N8" s="72">
        <f>AVERAGE('Poli Stab'!BJ266:BM266)</f>
        <v>-0.38692522421479225</v>
      </c>
      <c r="O8" s="28">
        <f>AVERAGE(Inflation!BJ266:BM266)</f>
        <v>1.3540629979667238</v>
      </c>
      <c r="P8" s="63" t="s">
        <v>49</v>
      </c>
      <c r="Q8" s="5">
        <v>15000</v>
      </c>
      <c r="R8" s="80">
        <v>0</v>
      </c>
      <c r="S8" s="3">
        <v>7500000</v>
      </c>
      <c r="T8" s="89">
        <v>300</v>
      </c>
      <c r="U8" s="80">
        <v>800</v>
      </c>
      <c r="V8" s="79">
        <f>25000+20</f>
        <v>25020</v>
      </c>
      <c r="W8" s="108">
        <v>7500000</v>
      </c>
      <c r="X8" s="84">
        <v>250000</v>
      </c>
      <c r="Y8" s="80">
        <v>0</v>
      </c>
      <c r="Z8" s="4">
        <f>R8/Q8</f>
        <v>0</v>
      </c>
      <c r="AA8" s="94">
        <f t="shared" si="6"/>
        <v>1</v>
      </c>
      <c r="AB8" s="95">
        <f t="shared" si="1"/>
        <v>3.3333333333333333E-2</v>
      </c>
      <c r="AC8" s="12" t="str">
        <f t="shared" si="2"/>
        <v/>
      </c>
      <c r="AD8" s="94">
        <f t="shared" si="3"/>
        <v>25000</v>
      </c>
      <c r="AE8" s="95">
        <f t="shared" si="4"/>
        <v>9375</v>
      </c>
      <c r="AF8" s="7" t="str">
        <f t="shared" si="5"/>
        <v/>
      </c>
    </row>
    <row r="9" spans="1:33" ht="14.45" customHeight="1" x14ac:dyDescent="0.25">
      <c r="A9" s="29" t="s">
        <v>102</v>
      </c>
      <c r="B9" s="17" t="s">
        <v>103</v>
      </c>
      <c r="C9" s="17" t="s">
        <v>104</v>
      </c>
      <c r="D9" s="17"/>
      <c r="E9" s="17"/>
      <c r="F9" s="17"/>
      <c r="G9" s="17" t="s">
        <v>105</v>
      </c>
      <c r="H9" s="63" t="e">
        <v>#VALUE!</v>
      </c>
      <c r="I9" s="29">
        <v>2021</v>
      </c>
      <c r="J9" s="17">
        <v>2024</v>
      </c>
      <c r="K9" s="66">
        <f t="shared" si="0"/>
        <v>4</v>
      </c>
      <c r="L9" s="29" t="s">
        <v>106</v>
      </c>
      <c r="M9" s="63" t="s">
        <v>107</v>
      </c>
      <c r="N9" s="72">
        <f>AVERAGE('Poli Stab'!BN266:BP266)</f>
        <v>-0.21164323886235567</v>
      </c>
      <c r="O9" s="28">
        <f>AVERAGE(Inflation!BN266:BP266)</f>
        <v>6.626175411398016</v>
      </c>
      <c r="P9" s="63" t="s">
        <v>49</v>
      </c>
      <c r="Q9" s="5">
        <v>32000</v>
      </c>
      <c r="R9" s="80">
        <v>0</v>
      </c>
      <c r="S9" s="3">
        <v>5500000</v>
      </c>
      <c r="T9" s="89">
        <v>4092</v>
      </c>
      <c r="U9" s="80">
        <v>1700</v>
      </c>
      <c r="V9" s="6">
        <v>0</v>
      </c>
      <c r="W9" s="106">
        <v>0</v>
      </c>
      <c r="X9" s="80">
        <v>0</v>
      </c>
      <c r="Y9" s="80">
        <v>0</v>
      </c>
      <c r="Z9" s="89">
        <f>R9/Q9</f>
        <v>0</v>
      </c>
      <c r="AA9" s="94" t="str">
        <f t="shared" si="6"/>
        <v/>
      </c>
      <c r="AB9" s="95" t="str">
        <f t="shared" si="1"/>
        <v/>
      </c>
      <c r="AC9" s="12" t="str">
        <f t="shared" si="2"/>
        <v/>
      </c>
      <c r="AD9" s="94">
        <f t="shared" si="3"/>
        <v>1344.0860215053763</v>
      </c>
      <c r="AE9" s="95">
        <f t="shared" si="4"/>
        <v>3235.294117647059</v>
      </c>
      <c r="AF9" s="7" t="str">
        <f t="shared" si="5"/>
        <v/>
      </c>
    </row>
    <row r="10" spans="1:33" ht="14.45" customHeight="1" x14ac:dyDescent="0.25">
      <c r="A10" s="64" t="s">
        <v>380</v>
      </c>
      <c r="B10" s="35" t="s">
        <v>381</v>
      </c>
      <c r="C10" s="35" t="s">
        <v>104</v>
      </c>
      <c r="D10" s="35"/>
      <c r="E10" s="35"/>
      <c r="F10" s="35"/>
      <c r="G10" s="35" t="s">
        <v>105</v>
      </c>
      <c r="H10" s="65" t="e">
        <v>#VALUE!</v>
      </c>
      <c r="I10" s="64">
        <v>2013</v>
      </c>
      <c r="J10" s="35">
        <v>2024</v>
      </c>
      <c r="K10" s="69">
        <f t="shared" si="0"/>
        <v>12</v>
      </c>
      <c r="L10" s="64" t="s">
        <v>106</v>
      </c>
      <c r="M10" s="65" t="s">
        <v>107</v>
      </c>
      <c r="N10" s="73">
        <f>AVERAGE('Poli Stab'!BF266:BP266)</f>
        <v>-0.3614446900107644</v>
      </c>
      <c r="O10" s="37">
        <f>AVERAGE(Inflation!BF266:BP266)</f>
        <v>2.4752091232944324</v>
      </c>
      <c r="P10" s="65" t="s">
        <v>49</v>
      </c>
      <c r="Q10" s="81">
        <f t="shared" ref="Q10:Z10" si="7">SUM(Q7:Q9)</f>
        <v>80000</v>
      </c>
      <c r="R10" s="82">
        <f t="shared" si="7"/>
        <v>0</v>
      </c>
      <c r="S10" s="81">
        <f t="shared" si="7"/>
        <v>20200000</v>
      </c>
      <c r="T10" s="90">
        <f t="shared" si="7"/>
        <v>5992</v>
      </c>
      <c r="U10" s="82">
        <f t="shared" si="7"/>
        <v>2500</v>
      </c>
      <c r="V10" s="81">
        <f t="shared" si="7"/>
        <v>25150</v>
      </c>
      <c r="W10" s="90">
        <f t="shared" si="7"/>
        <v>10662000</v>
      </c>
      <c r="X10" s="82">
        <f t="shared" si="7"/>
        <v>250000</v>
      </c>
      <c r="Y10" s="82">
        <f t="shared" si="7"/>
        <v>0</v>
      </c>
      <c r="Z10" s="90">
        <f t="shared" si="7"/>
        <v>0</v>
      </c>
      <c r="AA10" s="96">
        <f t="shared" si="6"/>
        <v>0.52782178217821785</v>
      </c>
      <c r="AB10" s="97">
        <f t="shared" si="1"/>
        <v>1.2376237623762377E-2</v>
      </c>
      <c r="AC10" s="39" t="str">
        <f t="shared" si="2"/>
        <v/>
      </c>
      <c r="AD10" s="96">
        <f t="shared" si="3"/>
        <v>3371.1615487316421</v>
      </c>
      <c r="AE10" s="97">
        <f t="shared" si="4"/>
        <v>8080</v>
      </c>
      <c r="AF10" s="91" t="str">
        <f t="shared" si="5"/>
        <v/>
      </c>
    </row>
    <row r="11" spans="1:33" ht="14.45" customHeight="1" x14ac:dyDescent="0.25">
      <c r="A11" s="4" t="s">
        <v>135</v>
      </c>
      <c r="B11" t="s">
        <v>136</v>
      </c>
      <c r="C11" s="17" t="s">
        <v>137</v>
      </c>
      <c r="D11" s="17"/>
      <c r="E11" s="17"/>
      <c r="F11" s="17"/>
      <c r="G11" t="s">
        <v>138</v>
      </c>
      <c r="H11" s="66" t="e">
        <v>#VALUE!</v>
      </c>
      <c r="I11" s="4">
        <v>2019</v>
      </c>
      <c r="J11">
        <v>2022</v>
      </c>
      <c r="K11" s="66">
        <f t="shared" si="0"/>
        <v>4</v>
      </c>
      <c r="L11" s="4" t="s">
        <v>39</v>
      </c>
      <c r="M11" s="66" t="s">
        <v>139</v>
      </c>
      <c r="N11" s="72">
        <f>AVERAGE('Poli Stab'!BL208:BO208)</f>
        <v>7.029367517679927E-2</v>
      </c>
      <c r="O11" s="28">
        <f>AVERAGE(Inflation!BL208:BO208)</f>
        <v>7.624034595908272</v>
      </c>
      <c r="P11" s="66" t="s">
        <v>49</v>
      </c>
      <c r="Q11" s="83">
        <v>111721</v>
      </c>
      <c r="R11" s="84">
        <v>8270000</v>
      </c>
      <c r="S11" s="3">
        <v>6908192</v>
      </c>
      <c r="T11" s="89">
        <v>1374</v>
      </c>
      <c r="U11" s="107">
        <v>0</v>
      </c>
      <c r="V11" s="6">
        <v>19</v>
      </c>
      <c r="W11" s="108">
        <v>6000000</v>
      </c>
      <c r="X11" s="84">
        <v>11200000</v>
      </c>
      <c r="Y11" s="84">
        <v>2400000</v>
      </c>
      <c r="Z11" s="89">
        <f t="shared" ref="Z11:Z31" si="8">R11/Q11</f>
        <v>74.023683998532064</v>
      </c>
      <c r="AA11" s="94">
        <f t="shared" si="6"/>
        <v>0.86853405348316892</v>
      </c>
      <c r="AB11" s="95">
        <f t="shared" si="1"/>
        <v>1.6212635665019155</v>
      </c>
      <c r="AC11" s="12">
        <f t="shared" si="2"/>
        <v>0.34741362139326759</v>
      </c>
      <c r="AD11" s="98">
        <f t="shared" si="3"/>
        <v>5027.7962154294028</v>
      </c>
      <c r="AE11" s="95" t="str">
        <f t="shared" si="4"/>
        <v/>
      </c>
      <c r="AF11" s="7">
        <f t="shared" si="5"/>
        <v>1.197129437050968</v>
      </c>
    </row>
    <row r="12" spans="1:33" ht="14.45" customHeight="1" x14ac:dyDescent="0.25">
      <c r="A12" s="29" t="s">
        <v>81</v>
      </c>
      <c r="B12" s="17" t="s">
        <v>82</v>
      </c>
      <c r="C12" s="17" t="s">
        <v>52</v>
      </c>
      <c r="D12" s="17"/>
      <c r="E12" s="17"/>
      <c r="F12" s="17"/>
      <c r="G12" s="17" t="s">
        <v>83</v>
      </c>
      <c r="H12" s="63" t="e">
        <v>#VALUE!</v>
      </c>
      <c r="I12" s="29">
        <v>2013</v>
      </c>
      <c r="J12" s="17">
        <v>2016</v>
      </c>
      <c r="K12" s="66">
        <f t="shared" si="0"/>
        <v>4</v>
      </c>
      <c r="L12" s="4" t="s">
        <v>39</v>
      </c>
      <c r="M12" s="63" t="s">
        <v>84</v>
      </c>
      <c r="N12" s="72">
        <f>AVERAGE('Poli Stab'!BF25:BI25)</f>
        <v>-1.2482322007417688</v>
      </c>
      <c r="O12" s="28">
        <f>AVERAGE(Inflation!BF25:BI25)</f>
        <v>6.5574628145299991</v>
      </c>
      <c r="P12" s="66" t="s">
        <v>49</v>
      </c>
      <c r="Q12" s="5">
        <v>30000</v>
      </c>
      <c r="R12" s="84">
        <f>11*Q12*12*4</f>
        <v>15840000</v>
      </c>
      <c r="S12" s="3">
        <v>3900000</v>
      </c>
      <c r="T12" s="89">
        <v>0</v>
      </c>
      <c r="U12" s="101">
        <v>30000</v>
      </c>
      <c r="V12" s="6">
        <v>48</v>
      </c>
      <c r="W12" s="108">
        <v>0</v>
      </c>
      <c r="X12" s="84">
        <v>0</v>
      </c>
      <c r="Y12" s="84">
        <v>0</v>
      </c>
      <c r="Z12" s="89">
        <f t="shared" si="8"/>
        <v>528</v>
      </c>
      <c r="AA12" s="94" t="str">
        <f t="shared" si="6"/>
        <v/>
      </c>
      <c r="AB12" s="95" t="str">
        <f t="shared" si="1"/>
        <v/>
      </c>
      <c r="AC12" s="12" t="str">
        <f t="shared" si="2"/>
        <v/>
      </c>
      <c r="AD12" s="98" t="str">
        <f t="shared" si="3"/>
        <v/>
      </c>
      <c r="AE12" s="95">
        <f t="shared" si="4"/>
        <v>130</v>
      </c>
      <c r="AF12" s="7">
        <f t="shared" si="5"/>
        <v>4.0615384615384613</v>
      </c>
    </row>
    <row r="13" spans="1:33" ht="14.45" customHeight="1" x14ac:dyDescent="0.25">
      <c r="A13" s="29" t="s">
        <v>71</v>
      </c>
      <c r="B13" s="17" t="s">
        <v>72</v>
      </c>
      <c r="C13" s="17" t="s">
        <v>73</v>
      </c>
      <c r="D13" s="17"/>
      <c r="E13" s="17"/>
      <c r="F13" s="17"/>
      <c r="G13" s="17" t="s">
        <v>74</v>
      </c>
      <c r="H13" s="63" t="e">
        <v>#VALUE!</v>
      </c>
      <c r="I13" s="29">
        <v>2019</v>
      </c>
      <c r="J13" s="17">
        <v>2023</v>
      </c>
      <c r="K13" s="66">
        <f t="shared" si="0"/>
        <v>5</v>
      </c>
      <c r="L13" s="4" t="s">
        <v>75</v>
      </c>
      <c r="M13" s="63" t="s">
        <v>1586</v>
      </c>
      <c r="N13" s="72">
        <f>AVERAGE('Poli Stab'!BL191:BP191)</f>
        <v>-0.37709590196609499</v>
      </c>
      <c r="O13" s="28">
        <f>AVERAGE(Inflation!BL191:BP191)</f>
        <v>4.6631035142398671</v>
      </c>
      <c r="P13" s="66" t="s">
        <v>49</v>
      </c>
      <c r="Q13" s="5">
        <v>6500</v>
      </c>
      <c r="R13" s="84">
        <v>0</v>
      </c>
      <c r="S13" s="3">
        <v>3500000</v>
      </c>
      <c r="T13" s="89">
        <v>0</v>
      </c>
      <c r="U13" s="101">
        <v>6500</v>
      </c>
      <c r="V13" s="6">
        <v>0</v>
      </c>
      <c r="W13" s="108">
        <v>0</v>
      </c>
      <c r="X13" s="84">
        <v>0</v>
      </c>
      <c r="Y13" s="84">
        <v>0</v>
      </c>
      <c r="Z13" s="89">
        <f t="shared" si="8"/>
        <v>0</v>
      </c>
      <c r="AA13" s="94" t="str">
        <f t="shared" si="6"/>
        <v/>
      </c>
      <c r="AB13" s="95" t="str">
        <f t="shared" si="1"/>
        <v/>
      </c>
      <c r="AC13" s="12" t="str">
        <f t="shared" si="2"/>
        <v/>
      </c>
      <c r="AD13" s="98" t="str">
        <f t="shared" si="3"/>
        <v/>
      </c>
      <c r="AE13" s="95">
        <f t="shared" si="4"/>
        <v>538.46153846153845</v>
      </c>
      <c r="AF13" s="7" t="str">
        <f t="shared" si="5"/>
        <v/>
      </c>
    </row>
    <row r="14" spans="1:33" ht="14.45" customHeight="1" x14ac:dyDescent="0.25">
      <c r="A14" s="29" t="s">
        <v>423</v>
      </c>
      <c r="B14" s="17" t="s">
        <v>424</v>
      </c>
      <c r="C14" s="17" t="s">
        <v>1587</v>
      </c>
      <c r="D14" s="17"/>
      <c r="E14" s="17"/>
      <c r="F14" s="17"/>
      <c r="G14" s="17" t="s">
        <v>58</v>
      </c>
      <c r="H14" s="63" t="s">
        <v>1588</v>
      </c>
      <c r="I14" s="29">
        <v>2017</v>
      </c>
      <c r="J14" s="17">
        <v>2022</v>
      </c>
      <c r="K14" s="66">
        <f t="shared" si="0"/>
        <v>6</v>
      </c>
      <c r="L14" s="29" t="s">
        <v>1589</v>
      </c>
      <c r="M14" s="63" t="s">
        <v>1590</v>
      </c>
      <c r="N14" s="72">
        <f>(AVERAGE('Poli Stab'!BJ123:BO123)+AVERAGE('Poli Stab'!BJ208:BO208))/2</f>
        <v>-0.12046065771331393</v>
      </c>
      <c r="O14" s="28">
        <f>(AVERAGE(Inflation!BJ123:BO123)+AVERAGE(Inflation!BJ208:BO208))/2</f>
        <v>4.4100606971385687</v>
      </c>
      <c r="P14" s="63" t="s">
        <v>42</v>
      </c>
      <c r="Q14" s="5">
        <f>862+3421+107+12402</f>
        <v>16792</v>
      </c>
      <c r="R14" s="84">
        <v>0</v>
      </c>
      <c r="S14" s="3">
        <v>10000000</v>
      </c>
      <c r="T14" s="89">
        <v>427</v>
      </c>
      <c r="U14" s="107">
        <v>0</v>
      </c>
      <c r="V14" s="6">
        <f>374+96</f>
        <v>470</v>
      </c>
      <c r="W14" s="108">
        <v>260420</v>
      </c>
      <c r="X14" s="84">
        <v>0</v>
      </c>
      <c r="Y14" s="84">
        <v>0</v>
      </c>
      <c r="Z14" s="89">
        <f t="shared" si="8"/>
        <v>0</v>
      </c>
      <c r="AA14" s="94">
        <f t="shared" si="6"/>
        <v>2.6041999999999999E-2</v>
      </c>
      <c r="AB14" s="95" t="str">
        <f t="shared" si="1"/>
        <v/>
      </c>
      <c r="AC14" s="12" t="str">
        <f t="shared" si="2"/>
        <v/>
      </c>
      <c r="AD14" s="98">
        <f t="shared" si="3"/>
        <v>23419.203747072599</v>
      </c>
      <c r="AE14" s="95" t="str">
        <f t="shared" si="4"/>
        <v/>
      </c>
      <c r="AF14" s="7" t="str">
        <f t="shared" si="5"/>
        <v/>
      </c>
    </row>
    <row r="15" spans="1:33" ht="14.45" customHeight="1" x14ac:dyDescent="0.25">
      <c r="A15" s="29" t="s">
        <v>297</v>
      </c>
      <c r="B15" s="17" t="s">
        <v>298</v>
      </c>
      <c r="C15" s="17" t="s">
        <v>171</v>
      </c>
      <c r="D15" s="17"/>
      <c r="E15" s="17"/>
      <c r="F15" s="17"/>
      <c r="G15" s="17" t="s">
        <v>182</v>
      </c>
      <c r="H15" s="63" t="e">
        <v>#VALUE!</v>
      </c>
      <c r="I15" s="29">
        <v>2016</v>
      </c>
      <c r="J15" s="17">
        <v>2021</v>
      </c>
      <c r="K15" s="66">
        <f t="shared" si="0"/>
        <v>6</v>
      </c>
      <c r="L15" s="4" t="s">
        <v>39</v>
      </c>
      <c r="M15" s="66" t="s">
        <v>139</v>
      </c>
      <c r="N15" s="72">
        <f>AVERAGE('Poli Stab'!BI25:BN25)</f>
        <v>-1.0633762677510565</v>
      </c>
      <c r="O15" s="28">
        <f>AVERAGE(Inflation!BI25:BN25)</f>
        <v>5.5979904555783735</v>
      </c>
      <c r="P15" s="63" t="s">
        <v>49</v>
      </c>
      <c r="Q15" s="5">
        <v>1074811</v>
      </c>
      <c r="R15" s="84">
        <f>65*Q15</f>
        <v>69862715</v>
      </c>
      <c r="S15" s="3">
        <v>24480000</v>
      </c>
      <c r="T15" s="89">
        <v>0</v>
      </c>
      <c r="U15" s="107">
        <v>0</v>
      </c>
      <c r="V15" s="6">
        <v>0</v>
      </c>
      <c r="W15" s="108">
        <v>3390000</v>
      </c>
      <c r="X15" s="84">
        <f>348678262+30615196</f>
        <v>379293458</v>
      </c>
      <c r="Y15" s="84">
        <v>0</v>
      </c>
      <c r="Z15" s="89">
        <f t="shared" si="8"/>
        <v>65</v>
      </c>
      <c r="AA15" s="94">
        <f t="shared" si="6"/>
        <v>0.13848039215686275</v>
      </c>
      <c r="AB15" s="95">
        <f t="shared" si="1"/>
        <v>15.494013807189543</v>
      </c>
      <c r="AC15" s="12">
        <f>IF(X15&gt;0,X15/S15,"")</f>
        <v>15.494013807189543</v>
      </c>
      <c r="AD15" s="98" t="str">
        <f t="shared" si="3"/>
        <v/>
      </c>
      <c r="AE15" s="95" t="str">
        <f t="shared" si="4"/>
        <v/>
      </c>
      <c r="AF15" s="7">
        <f t="shared" si="5"/>
        <v>2.8538690767973858</v>
      </c>
    </row>
    <row r="16" spans="1:33" ht="14.45" customHeight="1" x14ac:dyDescent="0.25">
      <c r="A16" s="29" t="s">
        <v>43</v>
      </c>
      <c r="B16" s="17" t="s">
        <v>1591</v>
      </c>
      <c r="C16" s="17" t="s">
        <v>45</v>
      </c>
      <c r="D16" s="17"/>
      <c r="E16" s="17"/>
      <c r="F16" s="17"/>
      <c r="G16" s="17" t="s">
        <v>46</v>
      </c>
      <c r="H16" s="63" t="e">
        <v>#VALUE!</v>
      </c>
      <c r="I16" s="29">
        <v>2017</v>
      </c>
      <c r="J16" s="17">
        <v>2020</v>
      </c>
      <c r="K16" s="66">
        <f t="shared" si="0"/>
        <v>4</v>
      </c>
      <c r="L16" s="4" t="s">
        <v>39</v>
      </c>
      <c r="M16" s="66" t="s">
        <v>47</v>
      </c>
      <c r="N16" s="72">
        <f>AVERAGE('Poli Stab'!BJ189:BM189)</f>
        <v>-2.17384085059166</v>
      </c>
      <c r="O16" s="28">
        <f>AVERAGE(Inflation!BJ189:BM189)</f>
        <v>7.3704464696130687</v>
      </c>
      <c r="P16" s="63" t="s">
        <v>49</v>
      </c>
      <c r="Q16" s="5">
        <v>4418</v>
      </c>
      <c r="R16" s="84">
        <v>0</v>
      </c>
      <c r="S16" s="3">
        <v>700000</v>
      </c>
      <c r="T16" s="89">
        <v>0</v>
      </c>
      <c r="U16" s="107">
        <f>136+500</f>
        <v>636</v>
      </c>
      <c r="V16" s="6">
        <v>130</v>
      </c>
      <c r="W16" s="108">
        <v>0</v>
      </c>
      <c r="X16" s="84">
        <v>0</v>
      </c>
      <c r="Y16" s="84">
        <v>0</v>
      </c>
      <c r="Z16" s="89">
        <f t="shared" si="8"/>
        <v>0</v>
      </c>
      <c r="AA16" s="94" t="str">
        <f t="shared" si="6"/>
        <v/>
      </c>
      <c r="AB16" s="95" t="str">
        <f t="shared" si="1"/>
        <v/>
      </c>
      <c r="AC16" s="12" t="str">
        <f t="shared" ref="AC16:AC47" si="9">IF(Y16&gt;0,Y16/S16,"")</f>
        <v/>
      </c>
      <c r="AD16" s="98" t="str">
        <f t="shared" si="3"/>
        <v/>
      </c>
      <c r="AE16" s="95">
        <f t="shared" si="4"/>
        <v>1100.6289308176101</v>
      </c>
      <c r="AF16" s="7" t="str">
        <f t="shared" si="5"/>
        <v/>
      </c>
    </row>
    <row r="17" spans="1:32" ht="14.45" customHeight="1" x14ac:dyDescent="0.25">
      <c r="A17" s="4" t="s">
        <v>275</v>
      </c>
      <c r="B17" t="s">
        <v>276</v>
      </c>
      <c r="C17" s="17" t="s">
        <v>137</v>
      </c>
      <c r="D17" s="17"/>
      <c r="E17" s="17"/>
      <c r="F17" s="17"/>
      <c r="G17" s="17" t="s">
        <v>277</v>
      </c>
      <c r="H17" s="66" t="e">
        <v>#VALUE!</v>
      </c>
      <c r="I17" s="4">
        <v>2014</v>
      </c>
      <c r="J17">
        <v>2020</v>
      </c>
      <c r="K17" s="66">
        <f t="shared" si="0"/>
        <v>7</v>
      </c>
      <c r="L17" s="4" t="s">
        <v>278</v>
      </c>
      <c r="M17" s="63" t="s">
        <v>93</v>
      </c>
      <c r="N17" s="72">
        <f>AVERAGE('Poli Stab'!BG269:BM269)</f>
        <v>5.8651084346430619E-2</v>
      </c>
      <c r="O17" s="28">
        <f>AVERAGE(Inflation!BG269:BM269)</f>
        <v>10.677494127256198</v>
      </c>
      <c r="P17" s="63" t="s">
        <v>49</v>
      </c>
      <c r="Q17" s="83">
        <v>26460</v>
      </c>
      <c r="R17" s="84">
        <v>0</v>
      </c>
      <c r="S17" s="3">
        <v>21100000</v>
      </c>
      <c r="T17" s="89">
        <v>39435</v>
      </c>
      <c r="U17" s="107">
        <v>0</v>
      </c>
      <c r="V17" s="6">
        <v>25726</v>
      </c>
      <c r="W17" s="108">
        <f>414422128*1.388</f>
        <v>575217913.66399992</v>
      </c>
      <c r="X17" s="84">
        <f>746971*1.388</f>
        <v>1036795.7479999999</v>
      </c>
      <c r="Y17" s="84">
        <v>0</v>
      </c>
      <c r="Z17" s="89">
        <f t="shared" si="8"/>
        <v>0</v>
      </c>
      <c r="AA17" s="94">
        <f t="shared" si="6"/>
        <v>27.261512495924165</v>
      </c>
      <c r="AB17" s="95">
        <f t="shared" si="1"/>
        <v>4.9137239241706154E-2</v>
      </c>
      <c r="AC17" s="12" t="str">
        <f t="shared" si="9"/>
        <v/>
      </c>
      <c r="AD17" s="98">
        <f t="shared" si="3"/>
        <v>535.05768986940529</v>
      </c>
      <c r="AE17" s="84" t="str">
        <f t="shared" si="4"/>
        <v/>
      </c>
      <c r="AF17" s="7" t="str">
        <f t="shared" si="5"/>
        <v/>
      </c>
    </row>
    <row r="18" spans="1:32" ht="14.45" customHeight="1" x14ac:dyDescent="0.25">
      <c r="A18" s="4" t="s">
        <v>385</v>
      </c>
      <c r="B18" t="s">
        <v>386</v>
      </c>
      <c r="C18" s="17" t="s">
        <v>137</v>
      </c>
      <c r="D18" s="17"/>
      <c r="E18" s="17"/>
      <c r="F18" s="17"/>
      <c r="G18" s="17" t="s">
        <v>230</v>
      </c>
      <c r="H18" s="66" t="e">
        <v>#VALUE!</v>
      </c>
      <c r="I18" s="4">
        <v>2013</v>
      </c>
      <c r="J18">
        <v>2020</v>
      </c>
      <c r="K18" s="66">
        <f t="shared" si="0"/>
        <v>8</v>
      </c>
      <c r="L18" s="4" t="s">
        <v>387</v>
      </c>
      <c r="M18" s="63" t="s">
        <v>93</v>
      </c>
      <c r="N18" s="72">
        <f>AVERAGE('Poli Stab'!BF77:BM77)</f>
        <v>-1.4837734550237649</v>
      </c>
      <c r="O18" s="28">
        <f>AVERAGE(Inflation!BF77:BM77)</f>
        <v>11.404650511542888</v>
      </c>
      <c r="P18" s="63" t="s">
        <v>42</v>
      </c>
      <c r="Q18" s="5">
        <v>105878</v>
      </c>
      <c r="R18" s="84">
        <v>0</v>
      </c>
      <c r="S18" s="3">
        <f>43000000*1.41</f>
        <v>60630000</v>
      </c>
      <c r="T18" s="89">
        <f>48861</f>
        <v>48861</v>
      </c>
      <c r="U18" s="107">
        <v>28292</v>
      </c>
      <c r="V18" s="6">
        <v>15757</v>
      </c>
      <c r="W18" s="108">
        <f>294700000*1.41</f>
        <v>415527000</v>
      </c>
      <c r="X18" s="84">
        <f>29500000*1.41</f>
        <v>41595000</v>
      </c>
      <c r="Y18" s="84">
        <v>0</v>
      </c>
      <c r="Z18" s="89">
        <f t="shared" si="8"/>
        <v>0</v>
      </c>
      <c r="AA18" s="94">
        <f t="shared" si="6"/>
        <v>6.8534883720930235</v>
      </c>
      <c r="AB18" s="95">
        <f t="shared" si="1"/>
        <v>0.68604651162790697</v>
      </c>
      <c r="AC18" s="12" t="str">
        <f t="shared" si="9"/>
        <v/>
      </c>
      <c r="AD18" s="98">
        <f t="shared" si="3"/>
        <v>1240.8669491005096</v>
      </c>
      <c r="AE18" s="84">
        <f t="shared" si="4"/>
        <v>2143.0086243461051</v>
      </c>
      <c r="AF18" s="7" t="str">
        <f t="shared" si="5"/>
        <v/>
      </c>
    </row>
    <row r="19" spans="1:32" ht="14.45" customHeight="1" x14ac:dyDescent="0.25">
      <c r="A19" s="29" t="s">
        <v>232</v>
      </c>
      <c r="B19" s="17" t="s">
        <v>233</v>
      </c>
      <c r="C19" s="17" t="s">
        <v>234</v>
      </c>
      <c r="D19" s="17"/>
      <c r="E19" s="17"/>
      <c r="F19" s="17"/>
      <c r="G19" s="17" t="s">
        <v>235</v>
      </c>
      <c r="H19" s="63" t="s">
        <v>236</v>
      </c>
      <c r="I19" s="29">
        <v>2017</v>
      </c>
      <c r="J19" s="17">
        <v>2021</v>
      </c>
      <c r="K19" s="66">
        <f t="shared" si="0"/>
        <v>5</v>
      </c>
      <c r="L19" s="29" t="s">
        <v>237</v>
      </c>
      <c r="M19" s="63" t="s">
        <v>238</v>
      </c>
      <c r="N19" s="72">
        <f>(AVERAGE('Poli Stab'!BJ24:BN24)+AVERAGE('Poli Stab'!BJ77:BN77)+AVERAGE('Poli Stab'!BJ212:BN212)+AVERAGE('Poli Stab'!BJ208:BN208))/4</f>
        <v>-0.73671676218509685</v>
      </c>
      <c r="O19" s="28">
        <f>(AVERAGE(Inflation!BJ24:BN24)+AVERAGE(Inflation!BJ77:BN77)+AVERAGE(Inflation!BJ212:BN212)+AVERAGE(Inflation!BJ208:BN208))/4</f>
        <v>6.11535740701283</v>
      </c>
      <c r="P19" s="63" t="s">
        <v>240</v>
      </c>
      <c r="Q19" s="5">
        <f>181000+57000+124000+127000</f>
        <v>489000</v>
      </c>
      <c r="R19" s="84">
        <v>0</v>
      </c>
      <c r="S19" s="3">
        <v>17000000</v>
      </c>
      <c r="T19" s="89">
        <v>0</v>
      </c>
      <c r="U19" s="107">
        <v>0</v>
      </c>
      <c r="V19" s="6">
        <v>31</v>
      </c>
      <c r="W19" s="108">
        <v>1800000</v>
      </c>
      <c r="X19" s="84">
        <v>0</v>
      </c>
      <c r="Y19" s="84">
        <v>0</v>
      </c>
      <c r="Z19" s="89">
        <f t="shared" si="8"/>
        <v>0</v>
      </c>
      <c r="AA19" s="94">
        <f t="shared" si="6"/>
        <v>0.10588235294117647</v>
      </c>
      <c r="AB19" s="95" t="str">
        <f t="shared" si="1"/>
        <v/>
      </c>
      <c r="AC19" s="12" t="str">
        <f t="shared" si="9"/>
        <v/>
      </c>
      <c r="AD19" s="98" t="str">
        <f t="shared" si="3"/>
        <v/>
      </c>
      <c r="AE19" s="84" t="str">
        <f t="shared" si="4"/>
        <v/>
      </c>
      <c r="AF19" s="7" t="str">
        <f t="shared" si="5"/>
        <v/>
      </c>
    </row>
    <row r="20" spans="1:32" ht="14.45" customHeight="1" x14ac:dyDescent="0.25">
      <c r="A20" s="29" t="s">
        <v>354</v>
      </c>
      <c r="B20" s="17" t="s">
        <v>355</v>
      </c>
      <c r="C20" s="17" t="s">
        <v>356</v>
      </c>
      <c r="D20" s="17" t="s">
        <v>137</v>
      </c>
      <c r="E20" s="17"/>
      <c r="F20" s="17"/>
      <c r="G20" s="17" t="s">
        <v>356</v>
      </c>
      <c r="H20" s="63" t="e">
        <v>#VALUE!</v>
      </c>
      <c r="I20" s="29">
        <v>2007</v>
      </c>
      <c r="J20" s="17">
        <v>2022</v>
      </c>
      <c r="K20" s="66">
        <f t="shared" si="0"/>
        <v>16</v>
      </c>
      <c r="L20" s="4" t="s">
        <v>39</v>
      </c>
      <c r="M20" s="63" t="s">
        <v>93</v>
      </c>
      <c r="N20" s="72">
        <f>AVERAGE('Poli Stab'!AZ251:BO251)</f>
        <v>-0.2957336076651701</v>
      </c>
      <c r="O20" s="28">
        <f>AVERAGE(Inflation!AZ251:BO251)</f>
        <v>7.0445354038093262</v>
      </c>
      <c r="P20" s="63" t="s">
        <v>49</v>
      </c>
      <c r="Q20" s="5">
        <v>170000</v>
      </c>
      <c r="R20" s="84">
        <v>0</v>
      </c>
      <c r="S20" s="3">
        <v>50000000</v>
      </c>
      <c r="T20" s="89">
        <v>0</v>
      </c>
      <c r="U20" s="107">
        <v>5400</v>
      </c>
      <c r="V20" s="6">
        <v>575</v>
      </c>
      <c r="W20" s="108">
        <v>0</v>
      </c>
      <c r="X20" s="84">
        <v>6500000</v>
      </c>
      <c r="Y20" s="84">
        <v>22000000</v>
      </c>
      <c r="Z20" s="89">
        <f t="shared" si="8"/>
        <v>0</v>
      </c>
      <c r="AA20" s="94" t="str">
        <f t="shared" si="6"/>
        <v/>
      </c>
      <c r="AB20" s="95">
        <f t="shared" si="1"/>
        <v>0.13</v>
      </c>
      <c r="AC20" s="12">
        <f t="shared" si="9"/>
        <v>0.44</v>
      </c>
      <c r="AD20" s="98" t="str">
        <f t="shared" si="3"/>
        <v/>
      </c>
      <c r="AE20" s="84">
        <f t="shared" si="4"/>
        <v>9259.2592592592591</v>
      </c>
      <c r="AF20" s="7" t="str">
        <f t="shared" si="5"/>
        <v/>
      </c>
    </row>
    <row r="21" spans="1:32" ht="14.45" customHeight="1" x14ac:dyDescent="0.25">
      <c r="A21" s="29" t="s">
        <v>306</v>
      </c>
      <c r="B21" s="15" t="s">
        <v>307</v>
      </c>
      <c r="C21" s="17" t="s">
        <v>137</v>
      </c>
      <c r="D21" s="17"/>
      <c r="E21" s="17"/>
      <c r="F21" s="17"/>
      <c r="G21" s="17" t="s">
        <v>230</v>
      </c>
      <c r="H21" s="63" t="e">
        <v>#VALUE!</v>
      </c>
      <c r="I21" s="4">
        <v>2013</v>
      </c>
      <c r="J21">
        <v>2020</v>
      </c>
      <c r="K21" s="66">
        <f t="shared" si="0"/>
        <v>8</v>
      </c>
      <c r="L21" s="4" t="s">
        <v>39</v>
      </c>
      <c r="M21" s="63" t="s">
        <v>84</v>
      </c>
      <c r="N21" s="72">
        <f>AVERAGE('Poli Stab'!BF179:BM179)</f>
        <v>-1.9917204082012188</v>
      </c>
      <c r="O21" s="28">
        <f>AVERAGE(Inflation!BF179:BM179)</f>
        <v>11.81112442224857</v>
      </c>
      <c r="P21" s="63" t="s">
        <v>42</v>
      </c>
      <c r="Q21" s="5">
        <v>551521</v>
      </c>
      <c r="R21" s="84">
        <v>64860000</v>
      </c>
      <c r="S21" s="3">
        <f>18600000+8800000</f>
        <v>27400000</v>
      </c>
      <c r="T21" s="89">
        <v>0</v>
      </c>
      <c r="U21" s="107">
        <v>307722</v>
      </c>
      <c r="V21" s="6">
        <f>36+1982</f>
        <v>2018</v>
      </c>
      <c r="W21" s="108">
        <f>8546000*1.41</f>
        <v>12049860</v>
      </c>
      <c r="X21" s="84">
        <f>(15790000+19766000+2800000)*1.41</f>
        <v>54081960</v>
      </c>
      <c r="Y21" s="84">
        <v>0</v>
      </c>
      <c r="Z21" s="89">
        <f t="shared" si="8"/>
        <v>117.60204960463881</v>
      </c>
      <c r="AA21" s="94">
        <f t="shared" si="6"/>
        <v>0.43977591240875913</v>
      </c>
      <c r="AB21" s="95">
        <f t="shared" si="1"/>
        <v>1.9737941605839415</v>
      </c>
      <c r="AC21" s="12" t="str">
        <f t="shared" si="9"/>
        <v/>
      </c>
      <c r="AD21" s="98" t="str">
        <f t="shared" si="3"/>
        <v/>
      </c>
      <c r="AE21" s="84">
        <f t="shared" si="4"/>
        <v>89.041407504175851</v>
      </c>
      <c r="AF21" s="7">
        <f t="shared" si="5"/>
        <v>2.3671532846715326</v>
      </c>
    </row>
    <row r="22" spans="1:32" ht="14.45" customHeight="1" x14ac:dyDescent="0.25">
      <c r="A22" s="29" t="s">
        <v>280</v>
      </c>
      <c r="B22" t="s">
        <v>281</v>
      </c>
      <c r="C22" s="17" t="s">
        <v>104</v>
      </c>
      <c r="D22" s="17"/>
      <c r="E22" s="17"/>
      <c r="F22" s="17"/>
      <c r="G22" s="17" t="s">
        <v>230</v>
      </c>
      <c r="H22" s="63" t="e">
        <v>#VALUE!</v>
      </c>
      <c r="I22" s="4">
        <v>2010</v>
      </c>
      <c r="J22">
        <v>2021</v>
      </c>
      <c r="K22" s="66">
        <f t="shared" si="0"/>
        <v>12</v>
      </c>
      <c r="L22" s="4" t="s">
        <v>39</v>
      </c>
      <c r="M22" s="63" t="s">
        <v>84</v>
      </c>
      <c r="N22" s="72">
        <f>AVERAGE('Poli Stab'!BC170:BN170)</f>
        <v>-0.50970529268185338</v>
      </c>
      <c r="O22" s="28">
        <f>AVERAGE(Inflation!BC170:BN170)</f>
        <v>7.1420135159062283</v>
      </c>
      <c r="P22" s="63" t="s">
        <v>42</v>
      </c>
      <c r="Q22" s="5">
        <v>37786</v>
      </c>
      <c r="R22" s="84">
        <v>34370000</v>
      </c>
      <c r="S22" s="3">
        <v>21700000</v>
      </c>
      <c r="T22" s="89">
        <v>0</v>
      </c>
      <c r="U22" s="101">
        <v>37786</v>
      </c>
      <c r="V22" s="6">
        <f>12+84+34</f>
        <v>130</v>
      </c>
      <c r="W22" s="108">
        <v>0</v>
      </c>
      <c r="X22" s="84">
        <v>10550000</v>
      </c>
      <c r="Y22" s="84"/>
      <c r="Z22" s="89">
        <f t="shared" si="8"/>
        <v>909.59614672100781</v>
      </c>
      <c r="AA22" s="94" t="str">
        <f t="shared" si="6"/>
        <v/>
      </c>
      <c r="AB22" s="95">
        <f t="shared" si="1"/>
        <v>0.48617511520737328</v>
      </c>
      <c r="AC22" s="12" t="str">
        <f t="shared" si="9"/>
        <v/>
      </c>
      <c r="AD22" s="98" t="str">
        <f t="shared" si="3"/>
        <v/>
      </c>
      <c r="AE22" s="84">
        <f t="shared" si="4"/>
        <v>574.28677287884398</v>
      </c>
      <c r="AF22" s="7">
        <f t="shared" si="5"/>
        <v>1.5838709677419356</v>
      </c>
    </row>
    <row r="23" spans="1:32" ht="14.45" customHeight="1" x14ac:dyDescent="0.25">
      <c r="A23" s="29" t="s">
        <v>252</v>
      </c>
      <c r="B23" t="s">
        <v>253</v>
      </c>
      <c r="C23" s="17" t="s">
        <v>137</v>
      </c>
      <c r="D23" s="17" t="s">
        <v>254</v>
      </c>
      <c r="E23" s="17"/>
      <c r="F23" s="17"/>
      <c r="G23" s="17" t="s">
        <v>230</v>
      </c>
      <c r="H23" s="63" t="e">
        <v>#VALUE!</v>
      </c>
      <c r="I23" s="4">
        <v>2015</v>
      </c>
      <c r="J23">
        <v>2019</v>
      </c>
      <c r="K23" s="66">
        <f t="shared" si="0"/>
        <v>5</v>
      </c>
      <c r="L23" s="4" t="s">
        <v>39</v>
      </c>
      <c r="M23" s="63" t="s">
        <v>93</v>
      </c>
      <c r="N23" s="72">
        <f>AVERAGE('Poli Stab'!BH218:BL218)</f>
        <v>-2.3205353736877443</v>
      </c>
      <c r="O23" s="33" t="e">
        <f>AVERAGE(Inflation!BH218:BL218)</f>
        <v>#DIV/0!</v>
      </c>
      <c r="P23" s="63" t="s">
        <v>42</v>
      </c>
      <c r="Q23" s="5">
        <v>68209</v>
      </c>
      <c r="R23" s="84">
        <v>34300000</v>
      </c>
      <c r="S23" s="3">
        <v>18300000</v>
      </c>
      <c r="T23" s="89">
        <v>11637</v>
      </c>
      <c r="U23" s="107">
        <v>0</v>
      </c>
      <c r="V23" s="6">
        <f>26+41</f>
        <v>67</v>
      </c>
      <c r="W23" s="108">
        <v>17300000</v>
      </c>
      <c r="X23" s="84">
        <v>0</v>
      </c>
      <c r="Y23" s="84">
        <v>60800</v>
      </c>
      <c r="Z23" s="89">
        <f t="shared" si="8"/>
        <v>502.86619067864945</v>
      </c>
      <c r="AA23" s="94">
        <f t="shared" si="6"/>
        <v>0.94535519125683065</v>
      </c>
      <c r="AB23" s="95" t="str">
        <f t="shared" si="1"/>
        <v/>
      </c>
      <c r="AC23" s="12">
        <f t="shared" si="9"/>
        <v>3.3224043715846994E-3</v>
      </c>
      <c r="AD23" s="98">
        <f t="shared" si="3"/>
        <v>1572.5702500644495</v>
      </c>
      <c r="AE23" s="84" t="str">
        <f t="shared" si="4"/>
        <v/>
      </c>
      <c r="AF23" s="7">
        <f t="shared" si="5"/>
        <v>1.8743169398907105</v>
      </c>
    </row>
    <row r="24" spans="1:32" ht="14.45" customHeight="1" x14ac:dyDescent="0.25">
      <c r="A24" s="29" t="s">
        <v>382</v>
      </c>
      <c r="B24" t="s">
        <v>383</v>
      </c>
      <c r="C24" s="17" t="s">
        <v>45</v>
      </c>
      <c r="D24" s="17"/>
      <c r="E24" s="17"/>
      <c r="F24" s="17"/>
      <c r="G24" s="17" t="s">
        <v>138</v>
      </c>
      <c r="H24" s="63" t="e">
        <v>#VALUE!</v>
      </c>
      <c r="I24" s="4">
        <v>2013</v>
      </c>
      <c r="J24">
        <v>2018</v>
      </c>
      <c r="K24" s="66">
        <f t="shared" si="0"/>
        <v>6</v>
      </c>
      <c r="L24" s="4" t="s">
        <v>39</v>
      </c>
      <c r="M24" s="63" t="s">
        <v>93</v>
      </c>
      <c r="N24" s="72">
        <f>AVERAGE('Poli Stab'!BF111:BK111)</f>
        <v>-0.49878624578316999</v>
      </c>
      <c r="O24" s="28">
        <f>AVERAGE(Inflation!BF111:BK111)</f>
        <v>4.9505824465433212</v>
      </c>
      <c r="P24" s="63" t="s">
        <v>49</v>
      </c>
      <c r="Q24" s="5">
        <f>345001+320833+3906+11394+8868</f>
        <v>690002</v>
      </c>
      <c r="R24" s="84">
        <f>129500000+108000000+3300000+3100000+14600000</f>
        <v>258500000</v>
      </c>
      <c r="S24" s="3">
        <v>57000000</v>
      </c>
      <c r="T24" s="89">
        <v>1062</v>
      </c>
      <c r="U24" s="107">
        <v>334386</v>
      </c>
      <c r="V24" s="6">
        <f>9746+9499+83+89+75</f>
        <v>19492</v>
      </c>
      <c r="W24" s="108">
        <f>(85000000+642714+6450000)*0.79</f>
        <v>72753244.060000002</v>
      </c>
      <c r="X24" s="84">
        <f>45500000+38000000+2800000+1800000+2700000</f>
        <v>90800000</v>
      </c>
      <c r="Y24" s="84">
        <v>0</v>
      </c>
      <c r="Z24" s="89">
        <f t="shared" si="8"/>
        <v>374.63659525624564</v>
      </c>
      <c r="AA24" s="94">
        <f t="shared" si="6"/>
        <v>1.2763727028070175</v>
      </c>
      <c r="AB24" s="95">
        <f t="shared" si="1"/>
        <v>1.5929824561403509</v>
      </c>
      <c r="AC24" s="12" t="str">
        <f t="shared" si="9"/>
        <v/>
      </c>
      <c r="AD24" s="98">
        <f t="shared" si="3"/>
        <v>53672.316384180791</v>
      </c>
      <c r="AE24" s="84">
        <f t="shared" si="4"/>
        <v>170.46168200821805</v>
      </c>
      <c r="AF24" s="7">
        <f t="shared" si="5"/>
        <v>4.5350877192982457</v>
      </c>
    </row>
    <row r="25" spans="1:32" ht="14.45" customHeight="1" x14ac:dyDescent="0.25">
      <c r="A25" s="29" t="s">
        <v>401</v>
      </c>
      <c r="B25" t="s">
        <v>402</v>
      </c>
      <c r="C25" s="17" t="s">
        <v>45</v>
      </c>
      <c r="D25" s="17"/>
      <c r="E25" s="17"/>
      <c r="F25" s="17"/>
      <c r="G25" s="17" t="s">
        <v>138</v>
      </c>
      <c r="H25" s="63" t="e">
        <v>#VALUE!</v>
      </c>
      <c r="I25" s="4">
        <v>2019</v>
      </c>
      <c r="J25">
        <v>2023</v>
      </c>
      <c r="K25" s="66">
        <f t="shared" si="0"/>
        <v>5</v>
      </c>
      <c r="L25" s="4" t="s">
        <v>39</v>
      </c>
      <c r="M25" s="63" t="s">
        <v>40</v>
      </c>
      <c r="N25" s="72">
        <f>AVERAGE('Poli Stab'!BL111:BP111)</f>
        <v>-0.4908346295356748</v>
      </c>
      <c r="O25" s="28">
        <f>AVERAGE(Inflation!BL111:BP111)</f>
        <v>2.8778699795406659</v>
      </c>
      <c r="P25" s="63" t="s">
        <v>49</v>
      </c>
      <c r="Q25" s="5">
        <v>1224574</v>
      </c>
      <c r="R25" s="84">
        <v>0</v>
      </c>
      <c r="S25" s="3">
        <v>95000000</v>
      </c>
      <c r="T25" s="89">
        <v>0</v>
      </c>
      <c r="U25" s="101">
        <v>1224574</v>
      </c>
      <c r="V25" s="85">
        <v>264</v>
      </c>
      <c r="W25" s="108">
        <v>16700000</v>
      </c>
      <c r="X25" s="84">
        <f>65600000+11800000</f>
        <v>77400000</v>
      </c>
      <c r="Y25" s="84">
        <v>0</v>
      </c>
      <c r="Z25" s="89">
        <f t="shared" si="8"/>
        <v>0</v>
      </c>
      <c r="AA25" s="94">
        <f t="shared" si="6"/>
        <v>0.17578947368421052</v>
      </c>
      <c r="AB25" s="95">
        <f t="shared" si="1"/>
        <v>0.8147368421052632</v>
      </c>
      <c r="AC25" s="12" t="str">
        <f t="shared" si="9"/>
        <v/>
      </c>
      <c r="AD25" s="98" t="str">
        <f t="shared" si="3"/>
        <v/>
      </c>
      <c r="AE25" s="84">
        <f t="shared" si="4"/>
        <v>77.577998552966179</v>
      </c>
      <c r="AF25" s="7" t="str">
        <f t="shared" si="5"/>
        <v/>
      </c>
    </row>
    <row r="26" spans="1:32" ht="14.45" customHeight="1" x14ac:dyDescent="0.25">
      <c r="A26" s="4" t="s">
        <v>166</v>
      </c>
      <c r="B26" t="s">
        <v>167</v>
      </c>
      <c r="C26" s="17" t="s">
        <v>609</v>
      </c>
      <c r="D26" s="17"/>
      <c r="E26" s="17"/>
      <c r="F26" s="17"/>
      <c r="G26" s="17" t="s">
        <v>38</v>
      </c>
      <c r="H26" s="63" t="e">
        <v>#VALUE!</v>
      </c>
      <c r="I26" s="4">
        <v>2015</v>
      </c>
      <c r="J26">
        <v>2020</v>
      </c>
      <c r="K26" s="66">
        <f t="shared" si="0"/>
        <v>6</v>
      </c>
      <c r="L26" s="4" t="s">
        <v>39</v>
      </c>
      <c r="M26" s="63" t="s">
        <v>93</v>
      </c>
      <c r="N26" s="72">
        <f>AVERAGE('Poli Stab'!BH7:BM7)</f>
        <v>-2.6880764961242662</v>
      </c>
      <c r="O26" s="28">
        <f>AVERAGE(Inflation!BH7:BM7)</f>
        <v>2.8714239791871936</v>
      </c>
      <c r="P26" s="63" t="s">
        <v>42</v>
      </c>
      <c r="Q26" s="5">
        <v>49890</v>
      </c>
      <c r="R26" s="84">
        <v>14230000</v>
      </c>
      <c r="S26" s="3">
        <v>9400000</v>
      </c>
      <c r="T26" s="89">
        <v>5500</v>
      </c>
      <c r="U26" s="107">
        <v>49890</v>
      </c>
      <c r="V26" s="85">
        <f>27+12</f>
        <v>39</v>
      </c>
      <c r="W26" s="108">
        <v>0</v>
      </c>
      <c r="X26" s="84">
        <v>0</v>
      </c>
      <c r="Y26" s="84">
        <v>0</v>
      </c>
      <c r="Z26" s="89">
        <f t="shared" si="8"/>
        <v>285.22750050110244</v>
      </c>
      <c r="AA26" s="94" t="str">
        <f t="shared" si="6"/>
        <v/>
      </c>
      <c r="AB26" s="95" t="str">
        <f t="shared" si="1"/>
        <v/>
      </c>
      <c r="AC26" s="12" t="str">
        <f t="shared" si="9"/>
        <v/>
      </c>
      <c r="AD26" s="98">
        <f t="shared" si="3"/>
        <v>1709.090909090909</v>
      </c>
      <c r="AE26" s="84">
        <f t="shared" si="4"/>
        <v>188.41451192623774</v>
      </c>
      <c r="AF26" s="7">
        <f t="shared" si="5"/>
        <v>1.5138297872340425</v>
      </c>
    </row>
    <row r="27" spans="1:32" ht="14.45" customHeight="1" x14ac:dyDescent="0.25">
      <c r="A27" s="4" t="s">
        <v>65</v>
      </c>
      <c r="B27" t="s">
        <v>66</v>
      </c>
      <c r="C27" s="17" t="s">
        <v>45</v>
      </c>
      <c r="D27" s="17" t="s">
        <v>67</v>
      </c>
      <c r="E27" s="17" t="s">
        <v>68</v>
      </c>
      <c r="F27" s="17"/>
      <c r="G27" s="17" t="s">
        <v>69</v>
      </c>
      <c r="H27" s="63" t="e">
        <v>#VALUE!</v>
      </c>
      <c r="I27" s="4">
        <v>2017</v>
      </c>
      <c r="J27">
        <v>2022</v>
      </c>
      <c r="K27" s="66">
        <f t="shared" si="0"/>
        <v>6</v>
      </c>
      <c r="L27" s="4" t="s">
        <v>39</v>
      </c>
      <c r="M27" s="63" t="s">
        <v>40</v>
      </c>
      <c r="N27" s="72">
        <f>AVERAGE('Poli Stab'!BJ111:BO111)</f>
        <v>-0.51779509584108963</v>
      </c>
      <c r="O27" s="28">
        <f>AVERAGE(Inflation!BJ111:BO111)</f>
        <v>2.9545182475458613</v>
      </c>
      <c r="P27" s="63" t="s">
        <v>49</v>
      </c>
      <c r="Q27" s="5">
        <v>35667</v>
      </c>
      <c r="R27" s="84">
        <v>4160000</v>
      </c>
      <c r="S27" s="3">
        <v>2800000</v>
      </c>
      <c r="T27" s="89">
        <v>0</v>
      </c>
      <c r="U27" s="107">
        <v>35667</v>
      </c>
      <c r="V27" s="6">
        <v>12</v>
      </c>
      <c r="W27" s="108">
        <v>3830000</v>
      </c>
      <c r="X27" s="84">
        <f>1200000*0.727</f>
        <v>872400</v>
      </c>
      <c r="Y27" s="84">
        <v>0</v>
      </c>
      <c r="Z27" s="89">
        <f t="shared" si="8"/>
        <v>116.634423977346</v>
      </c>
      <c r="AA27" s="94">
        <f t="shared" si="6"/>
        <v>1.3678571428571429</v>
      </c>
      <c r="AB27" s="95">
        <f t="shared" si="1"/>
        <v>0.31157142857142855</v>
      </c>
      <c r="AC27" s="12" t="str">
        <f t="shared" si="9"/>
        <v/>
      </c>
      <c r="AD27" s="98" t="str">
        <f t="shared" si="3"/>
        <v/>
      </c>
      <c r="AE27" s="84">
        <f t="shared" si="4"/>
        <v>78.503939215521356</v>
      </c>
      <c r="AF27" s="7">
        <f t="shared" si="5"/>
        <v>1.4857142857142858</v>
      </c>
    </row>
    <row r="28" spans="1:32" ht="14.45" customHeight="1" x14ac:dyDescent="0.25">
      <c r="A28" s="29" t="s">
        <v>394</v>
      </c>
      <c r="B28" t="s">
        <v>395</v>
      </c>
      <c r="C28" s="17" t="s">
        <v>171</v>
      </c>
      <c r="D28" s="17"/>
      <c r="E28" s="17"/>
      <c r="F28" s="17"/>
      <c r="G28" s="17" t="s">
        <v>53</v>
      </c>
      <c r="H28" s="66" t="e">
        <v>#VALUE!</v>
      </c>
      <c r="I28" s="4">
        <v>2012</v>
      </c>
      <c r="J28">
        <v>2019</v>
      </c>
      <c r="K28" s="66">
        <f t="shared" si="0"/>
        <v>8</v>
      </c>
      <c r="L28" s="4" t="s">
        <v>39</v>
      </c>
      <c r="M28" s="63" t="s">
        <v>139</v>
      </c>
      <c r="N28" s="72">
        <f>AVERAGE('Poli Stab'!BE77:BL77)</f>
        <v>-1.4600944966077798</v>
      </c>
      <c r="O28" s="28">
        <f>AVERAGE(Inflation!BE77:BL77)</f>
        <v>11.810159364219249</v>
      </c>
      <c r="P28" s="63" t="s">
        <v>42</v>
      </c>
      <c r="Q28" s="5">
        <v>2252404</v>
      </c>
      <c r="R28" s="84">
        <f>(2287-1589)*321772</f>
        <v>224596856</v>
      </c>
      <c r="S28" s="3">
        <v>70000000</v>
      </c>
      <c r="T28" s="89">
        <v>5668</v>
      </c>
      <c r="U28" s="107">
        <v>0</v>
      </c>
      <c r="V28" s="6">
        <v>0</v>
      </c>
      <c r="W28" s="108">
        <v>18000000</v>
      </c>
      <c r="X28" s="84">
        <v>0</v>
      </c>
      <c r="Y28" s="84">
        <v>0</v>
      </c>
      <c r="Z28" s="89">
        <f t="shared" si="8"/>
        <v>99.714285714285708</v>
      </c>
      <c r="AA28" s="94">
        <f t="shared" si="6"/>
        <v>0.25714285714285712</v>
      </c>
      <c r="AB28" s="95" t="str">
        <f t="shared" si="1"/>
        <v/>
      </c>
      <c r="AC28" s="12" t="str">
        <f t="shared" si="9"/>
        <v/>
      </c>
      <c r="AD28" s="98">
        <f t="shared" si="3"/>
        <v>12350.035285815102</v>
      </c>
      <c r="AE28" s="84" t="str">
        <f t="shared" si="4"/>
        <v/>
      </c>
      <c r="AF28" s="7">
        <f t="shared" si="5"/>
        <v>3.2085265142857144</v>
      </c>
    </row>
    <row r="29" spans="1:32" ht="14.45" customHeight="1" x14ac:dyDescent="0.25">
      <c r="A29" s="29" t="s">
        <v>144</v>
      </c>
      <c r="B29" t="s">
        <v>145</v>
      </c>
      <c r="C29" s="17" t="s">
        <v>104</v>
      </c>
      <c r="D29" s="17"/>
      <c r="E29" s="17"/>
      <c r="F29" s="17"/>
      <c r="G29" s="17" t="s">
        <v>146</v>
      </c>
      <c r="H29" s="63" t="e">
        <v>#VALUE!</v>
      </c>
      <c r="I29" s="4">
        <v>2016</v>
      </c>
      <c r="J29">
        <v>2020</v>
      </c>
      <c r="K29" s="66">
        <f t="shared" si="0"/>
        <v>5</v>
      </c>
      <c r="L29" s="4" t="s">
        <v>39</v>
      </c>
      <c r="M29" s="63" t="s">
        <v>139</v>
      </c>
      <c r="N29" s="72">
        <f>AVERAGE('Poli Stab'!BI25:BM25)</f>
        <v>-1.0686749696731559</v>
      </c>
      <c r="O29" s="28">
        <f>AVERAGE(Inflation!BI25:BM25)</f>
        <v>5.6084576851471022</v>
      </c>
      <c r="P29" s="63" t="s">
        <v>49</v>
      </c>
      <c r="Q29" s="5">
        <v>82957</v>
      </c>
      <c r="R29" s="84">
        <f>4532000000*0.01234</f>
        <v>55924880</v>
      </c>
      <c r="S29" s="3">
        <v>7400000</v>
      </c>
      <c r="T29" s="89">
        <v>0</v>
      </c>
      <c r="U29" s="101">
        <v>82957</v>
      </c>
      <c r="V29" s="6">
        <f>7+328</f>
        <v>335</v>
      </c>
      <c r="W29" s="108">
        <v>0</v>
      </c>
      <c r="X29" s="84">
        <v>4048</v>
      </c>
      <c r="Y29" s="84">
        <v>0</v>
      </c>
      <c r="Z29" s="89">
        <f t="shared" si="8"/>
        <v>674.14298974167343</v>
      </c>
      <c r="AA29" s="94" t="str">
        <f t="shared" si="6"/>
        <v/>
      </c>
      <c r="AB29" s="95">
        <f t="shared" si="1"/>
        <v>5.4702702702702705E-4</v>
      </c>
      <c r="AC29" s="12" t="str">
        <f t="shared" si="9"/>
        <v/>
      </c>
      <c r="AD29" s="98" t="str">
        <f t="shared" si="3"/>
        <v/>
      </c>
      <c r="AE29" s="84">
        <f t="shared" si="4"/>
        <v>89.202840025555403</v>
      </c>
      <c r="AF29" s="7">
        <f t="shared" si="5"/>
        <v>7.5574162162162164</v>
      </c>
    </row>
    <row r="30" spans="1:32" ht="14.45" customHeight="1" x14ac:dyDescent="0.25">
      <c r="A30" s="4" t="s">
        <v>331</v>
      </c>
      <c r="B30" t="s">
        <v>332</v>
      </c>
      <c r="C30" s="17" t="s">
        <v>137</v>
      </c>
      <c r="D30" s="17" t="s">
        <v>104</v>
      </c>
      <c r="E30" s="17" t="s">
        <v>609</v>
      </c>
      <c r="F30" s="17"/>
      <c r="G30" s="17" t="s">
        <v>74</v>
      </c>
      <c r="H30" s="63" t="e">
        <v>#VALUE!</v>
      </c>
      <c r="I30" s="4">
        <v>2003</v>
      </c>
      <c r="J30">
        <v>2008</v>
      </c>
      <c r="K30" s="66">
        <f t="shared" si="0"/>
        <v>6</v>
      </c>
      <c r="L30" s="4" t="s">
        <v>333</v>
      </c>
      <c r="M30" s="63" t="s">
        <v>93</v>
      </c>
      <c r="N30" s="72">
        <f>AVERAGE('Poli Stab'!AV25:BA25)</f>
        <v>-1.48306620121002</v>
      </c>
      <c r="O30" s="28">
        <f>AVERAGE(Inflation!AV25:BA25)</f>
        <v>7.5128422193224971</v>
      </c>
      <c r="P30" s="63" t="s">
        <v>49</v>
      </c>
      <c r="Q30" s="5">
        <f>166000+285000</f>
        <v>451000</v>
      </c>
      <c r="R30" s="84">
        <v>0</v>
      </c>
      <c r="S30" s="3">
        <v>32000000</v>
      </c>
      <c r="T30" s="89">
        <v>200000</v>
      </c>
      <c r="U30" s="107">
        <v>700000</v>
      </c>
      <c r="V30" s="6">
        <v>0</v>
      </c>
      <c r="W30" s="108">
        <v>0</v>
      </c>
      <c r="X30" s="84">
        <v>0</v>
      </c>
      <c r="Y30" s="84">
        <v>0</v>
      </c>
      <c r="Z30" s="89">
        <f t="shared" si="8"/>
        <v>0</v>
      </c>
      <c r="AA30" s="94" t="str">
        <f t="shared" si="6"/>
        <v/>
      </c>
      <c r="AB30" s="95" t="str">
        <f t="shared" si="1"/>
        <v/>
      </c>
      <c r="AC30" s="12" t="str">
        <f t="shared" si="9"/>
        <v/>
      </c>
      <c r="AD30" s="98">
        <f t="shared" si="3"/>
        <v>160</v>
      </c>
      <c r="AE30" s="84">
        <f t="shared" si="4"/>
        <v>45.714285714285715</v>
      </c>
      <c r="AF30" s="7" t="str">
        <f t="shared" si="5"/>
        <v/>
      </c>
    </row>
    <row r="31" spans="1:32" ht="14.45" customHeight="1" x14ac:dyDescent="0.25">
      <c r="A31" s="4" t="s">
        <v>358</v>
      </c>
      <c r="B31" t="s">
        <v>359</v>
      </c>
      <c r="C31" s="17" t="s">
        <v>137</v>
      </c>
      <c r="D31" s="17" t="s">
        <v>104</v>
      </c>
      <c r="E31" s="17" t="s">
        <v>609</v>
      </c>
      <c r="F31" s="17" t="s">
        <v>360</v>
      </c>
      <c r="G31" s="17" t="s">
        <v>74</v>
      </c>
      <c r="H31" s="63" t="e">
        <v>#VALUE!</v>
      </c>
      <c r="I31" s="4">
        <v>2008</v>
      </c>
      <c r="J31">
        <v>2013</v>
      </c>
      <c r="K31" s="66">
        <f t="shared" si="0"/>
        <v>6</v>
      </c>
      <c r="L31" s="4" t="s">
        <v>333</v>
      </c>
      <c r="M31" s="63" t="s">
        <v>93</v>
      </c>
      <c r="N31" s="72">
        <f>AVERAGE('Poli Stab'!BA25:BF25)</f>
        <v>-1.4820961554845169</v>
      </c>
      <c r="O31" s="28">
        <f>AVERAGE(Inflation!BA25:BF25)</f>
        <v>7.9325282388603311</v>
      </c>
      <c r="P31" s="63" t="s">
        <v>49</v>
      </c>
      <c r="Q31" s="5">
        <v>2000000</v>
      </c>
      <c r="R31" s="84">
        <v>161000000</v>
      </c>
      <c r="S31" s="3">
        <v>50000000</v>
      </c>
      <c r="T31" s="89">
        <v>0</v>
      </c>
      <c r="U31" s="101">
        <v>2000000</v>
      </c>
      <c r="V31" s="6">
        <v>20300</v>
      </c>
      <c r="W31" s="108">
        <v>0</v>
      </c>
      <c r="X31" s="84">
        <v>161000000</v>
      </c>
      <c r="Y31" s="84">
        <v>0</v>
      </c>
      <c r="Z31" s="89">
        <f t="shared" si="8"/>
        <v>80.5</v>
      </c>
      <c r="AA31" s="94" t="str">
        <f t="shared" si="6"/>
        <v/>
      </c>
      <c r="AB31" s="95">
        <f t="shared" si="1"/>
        <v>3.22</v>
      </c>
      <c r="AC31" s="12" t="str">
        <f t="shared" si="9"/>
        <v/>
      </c>
      <c r="AD31" s="98" t="str">
        <f t="shared" si="3"/>
        <v/>
      </c>
      <c r="AE31" s="84">
        <f t="shared" si="4"/>
        <v>25</v>
      </c>
      <c r="AF31" s="7">
        <f t="shared" si="5"/>
        <v>3.22</v>
      </c>
    </row>
    <row r="32" spans="1:32" ht="14.45" customHeight="1" x14ac:dyDescent="0.25">
      <c r="A32" s="67" t="s">
        <v>407</v>
      </c>
      <c r="B32" s="36" t="s">
        <v>408</v>
      </c>
      <c r="C32" s="35" t="s">
        <v>137</v>
      </c>
      <c r="D32" s="35" t="s">
        <v>104</v>
      </c>
      <c r="E32" s="35" t="s">
        <v>609</v>
      </c>
      <c r="F32" s="35" t="s">
        <v>360</v>
      </c>
      <c r="G32" s="35" t="s">
        <v>74</v>
      </c>
      <c r="H32" s="65" t="e">
        <v>#VALUE!</v>
      </c>
      <c r="I32" s="67">
        <v>2003</v>
      </c>
      <c r="J32" s="36">
        <v>2013</v>
      </c>
      <c r="K32" s="69">
        <f t="shared" si="0"/>
        <v>11</v>
      </c>
      <c r="L32" s="67" t="s">
        <v>333</v>
      </c>
      <c r="M32" s="65" t="s">
        <v>93</v>
      </c>
      <c r="N32" s="73">
        <f>AVERAGE('Poli Stab'!AV25:BF25)</f>
        <v>-1.4802402583035545</v>
      </c>
      <c r="O32" s="37">
        <f>AVERAGE(Inflation!AV25:BF25)</f>
        <v>7.6154798049495867</v>
      </c>
      <c r="P32" s="65" t="s">
        <v>49</v>
      </c>
      <c r="Q32" s="81">
        <f t="shared" ref="Q32:Z32" si="10">SUM(Q30:Q31)</f>
        <v>2451000</v>
      </c>
      <c r="R32" s="82">
        <f t="shared" si="10"/>
        <v>161000000</v>
      </c>
      <c r="S32" s="81">
        <f t="shared" si="10"/>
        <v>82000000</v>
      </c>
      <c r="T32" s="90">
        <f t="shared" si="10"/>
        <v>200000</v>
      </c>
      <c r="U32" s="82">
        <f t="shared" si="10"/>
        <v>2700000</v>
      </c>
      <c r="V32" s="81">
        <f t="shared" si="10"/>
        <v>20300</v>
      </c>
      <c r="W32" s="90">
        <f t="shared" si="10"/>
        <v>0</v>
      </c>
      <c r="X32" s="82">
        <f t="shared" si="10"/>
        <v>161000000</v>
      </c>
      <c r="Y32" s="82">
        <f t="shared" si="10"/>
        <v>0</v>
      </c>
      <c r="Z32" s="90">
        <f t="shared" si="10"/>
        <v>80.5</v>
      </c>
      <c r="AA32" s="96" t="str">
        <f t="shared" si="6"/>
        <v/>
      </c>
      <c r="AB32" s="97">
        <f t="shared" si="1"/>
        <v>1.9634146341463414</v>
      </c>
      <c r="AC32" s="39" t="str">
        <f t="shared" si="9"/>
        <v/>
      </c>
      <c r="AD32" s="99">
        <f t="shared" si="3"/>
        <v>410</v>
      </c>
      <c r="AE32" s="100">
        <f t="shared" si="4"/>
        <v>30.37037037037037</v>
      </c>
      <c r="AF32" s="91">
        <f t="shared" si="5"/>
        <v>1.9634146341463414</v>
      </c>
    </row>
    <row r="33" spans="1:32" ht="14.45" customHeight="1" x14ac:dyDescent="0.25">
      <c r="A33" s="4" t="s">
        <v>503</v>
      </c>
      <c r="B33" t="s">
        <v>1592</v>
      </c>
      <c r="C33" s="17" t="s">
        <v>137</v>
      </c>
      <c r="D33" s="17"/>
      <c r="E33" s="17"/>
      <c r="F33" s="17"/>
      <c r="G33" s="17" t="s">
        <v>138</v>
      </c>
      <c r="H33" s="63" t="e">
        <v>#VALUE!</v>
      </c>
      <c r="I33" s="4">
        <v>2015</v>
      </c>
      <c r="J33">
        <v>2022</v>
      </c>
      <c r="K33" s="66">
        <f t="shared" si="0"/>
        <v>8</v>
      </c>
      <c r="L33" s="4" t="s">
        <v>39</v>
      </c>
      <c r="M33" s="63" t="s">
        <v>40</v>
      </c>
      <c r="N33" s="72">
        <f>AVERAGE('Poli Stab'!BH252:BH252)</f>
        <v>-0.80457580089569103</v>
      </c>
      <c r="O33" s="28">
        <f>AVERAGE(Inflation!BH252:BH252)</f>
        <v>5.589686062517254</v>
      </c>
      <c r="P33" s="63" t="s">
        <v>42</v>
      </c>
      <c r="Q33" s="5">
        <v>104000</v>
      </c>
      <c r="R33" s="84">
        <v>0</v>
      </c>
      <c r="S33" s="3">
        <v>24400000</v>
      </c>
      <c r="T33" s="89">
        <v>0</v>
      </c>
      <c r="U33" s="107">
        <v>0</v>
      </c>
      <c r="V33" s="6">
        <v>70</v>
      </c>
      <c r="W33" s="108">
        <f>37000000*1.2993</f>
        <v>48074100</v>
      </c>
      <c r="X33" s="84">
        <f>25000000*1.2993</f>
        <v>32482499.999999996</v>
      </c>
      <c r="Y33" s="84">
        <v>0</v>
      </c>
      <c r="Z33" s="89">
        <f>R33/Q33</f>
        <v>0</v>
      </c>
      <c r="AA33" s="94">
        <f t="shared" si="6"/>
        <v>1.9702500000000001</v>
      </c>
      <c r="AB33" s="95">
        <f t="shared" si="1"/>
        <v>1.3312499999999998</v>
      </c>
      <c r="AC33" s="12" t="str">
        <f t="shared" si="9"/>
        <v/>
      </c>
      <c r="AD33" s="98" t="str">
        <f t="shared" si="3"/>
        <v/>
      </c>
      <c r="AE33" s="84" t="str">
        <f t="shared" si="4"/>
        <v/>
      </c>
      <c r="AF33" s="7" t="str">
        <f t="shared" si="5"/>
        <v/>
      </c>
    </row>
    <row r="34" spans="1:32" ht="14.45" customHeight="1" x14ac:dyDescent="0.25">
      <c r="A34" s="4" t="s">
        <v>346</v>
      </c>
      <c r="B34" t="s">
        <v>347</v>
      </c>
      <c r="C34" s="17" t="s">
        <v>45</v>
      </c>
      <c r="D34" s="17"/>
      <c r="E34" s="17"/>
      <c r="F34" s="17"/>
      <c r="G34" s="17" t="s">
        <v>348</v>
      </c>
      <c r="H34" s="63" t="s">
        <v>337</v>
      </c>
      <c r="I34" s="4">
        <v>2011</v>
      </c>
      <c r="J34">
        <v>2017</v>
      </c>
      <c r="K34" s="66">
        <f t="shared" si="0"/>
        <v>7</v>
      </c>
      <c r="L34" s="4" t="s">
        <v>312</v>
      </c>
      <c r="M34" s="63" t="s">
        <v>93</v>
      </c>
      <c r="N34" s="72">
        <f>(AVERAGE('Poli Stab'!BD81:BJ81)+AVERAGE('Poli Stab'!BD189:BJ189)+AVERAGE('Poli Stab'!BD194:BJ194)+AVERAGE('Poli Stab'!BD143:BJ143)+AVERAGE('Poli Stab'!BD242:BJ242))/5</f>
        <v>-0.6616871230836423</v>
      </c>
      <c r="O34" s="28">
        <f>(AVERAGE(Inflation!BD81:BJ81)+AVERAGE(Inflation!BD189:BJ189)+AVERAGE(Inflation!BD194:BJ194)+AVERAGE(Inflation!BD143:BJ143)+AVERAGE(Inflation!BD242:BJ242))/5</f>
        <v>5.2426679258609603</v>
      </c>
      <c r="P34" s="63" t="s">
        <v>240</v>
      </c>
      <c r="Q34" s="5">
        <f>24170+74380</f>
        <v>98550</v>
      </c>
      <c r="R34" s="84">
        <v>13275000</v>
      </c>
      <c r="S34" s="3">
        <v>36000000</v>
      </c>
      <c r="T34" s="89">
        <v>549</v>
      </c>
      <c r="U34" s="107">
        <v>14870</v>
      </c>
      <c r="V34" s="6">
        <v>0</v>
      </c>
      <c r="W34" s="108">
        <v>7810000</v>
      </c>
      <c r="X34" s="84">
        <v>20155000</v>
      </c>
      <c r="Y34" s="84"/>
      <c r="Z34" s="89">
        <f>R34/Q34</f>
        <v>134.70319634703196</v>
      </c>
      <c r="AA34" s="94">
        <f t="shared" si="6"/>
        <v>0.21694444444444444</v>
      </c>
      <c r="AB34" s="95">
        <f t="shared" si="1"/>
        <v>0.55986111111111114</v>
      </c>
      <c r="AC34" s="12" t="str">
        <f t="shared" si="9"/>
        <v/>
      </c>
      <c r="AD34" s="98">
        <f t="shared" si="3"/>
        <v>65573.770491803283</v>
      </c>
      <c r="AE34" s="84">
        <f t="shared" si="4"/>
        <v>2420.9818426361803</v>
      </c>
      <c r="AF34" s="7">
        <f t="shared" si="5"/>
        <v>0.36875000000000002</v>
      </c>
    </row>
    <row r="35" spans="1:32" ht="14.45" customHeight="1" x14ac:dyDescent="0.25">
      <c r="A35" s="4" t="s">
        <v>335</v>
      </c>
      <c r="B35" t="s">
        <v>336</v>
      </c>
      <c r="C35" s="17" t="s">
        <v>45</v>
      </c>
      <c r="D35" s="17"/>
      <c r="E35" s="17"/>
      <c r="F35" s="17"/>
      <c r="G35" s="17" t="s">
        <v>138</v>
      </c>
      <c r="H35" s="63" t="s">
        <v>337</v>
      </c>
      <c r="I35" s="4">
        <v>2017</v>
      </c>
      <c r="J35">
        <v>2022</v>
      </c>
      <c r="K35" s="66">
        <f t="shared" si="0"/>
        <v>6</v>
      </c>
      <c r="L35" s="4" t="s">
        <v>312</v>
      </c>
      <c r="M35" s="63" t="s">
        <v>93</v>
      </c>
      <c r="N35" s="72">
        <f>(AVERAGE('Poli Stab'!BJ81:BO81)+AVERAGE('Poli Stab'!BJ189:BO189)+AVERAGE('Poli Stab'!BJ194:BO194)+AVERAGE('Poli Stab'!BJ143:BO143)+AVERAGE('Poli Stab'!BJ242:BO242))/5</f>
        <v>-0.41241648495197331</v>
      </c>
      <c r="O35" s="28">
        <f>(AVERAGE(Inflation!BJ81:BO81)+AVERAGE(Inflation!BJ189:BO189)+AVERAGE(Inflation!BJ194:BO194)+AVERAGE(Inflation!BJ143:BO143)+AVERAGE(Inflation!BJ242:BO242))/5</f>
        <v>6.3292360646728643</v>
      </c>
      <c r="P35" s="63" t="s">
        <v>240</v>
      </c>
      <c r="Q35" s="5">
        <v>444512</v>
      </c>
      <c r="R35" s="84">
        <v>159000000</v>
      </c>
      <c r="S35" s="3">
        <f>(49846112-3003491)*0.715</f>
        <v>33492474.014999997</v>
      </c>
      <c r="T35" s="89">
        <v>6674</v>
      </c>
      <c r="U35" s="107">
        <v>0</v>
      </c>
      <c r="V35" s="85">
        <v>0</v>
      </c>
      <c r="W35" s="108">
        <v>25700000</v>
      </c>
      <c r="X35" s="84">
        <v>205000000</v>
      </c>
      <c r="Y35" s="84"/>
      <c r="Z35" s="89">
        <f>R35/Q35</f>
        <v>357.69563026419985</v>
      </c>
      <c r="AA35" s="94">
        <f t="shared" si="6"/>
        <v>0.76733656607421574</v>
      </c>
      <c r="AB35" s="95">
        <f t="shared" si="1"/>
        <v>6.1207780562340171</v>
      </c>
      <c r="AC35" s="12" t="str">
        <f t="shared" si="9"/>
        <v/>
      </c>
      <c r="AD35" s="98">
        <f t="shared" si="3"/>
        <v>5018.3509162421333</v>
      </c>
      <c r="AE35" s="84" t="str">
        <f t="shared" si="4"/>
        <v/>
      </c>
      <c r="AF35" s="7">
        <f t="shared" si="5"/>
        <v>4.7473351753229691</v>
      </c>
    </row>
    <row r="36" spans="1:32" ht="14.45" customHeight="1" x14ac:dyDescent="0.25">
      <c r="A36" s="67" t="s">
        <v>404</v>
      </c>
      <c r="B36" s="36" t="s">
        <v>405</v>
      </c>
      <c r="C36" s="35" t="s">
        <v>45</v>
      </c>
      <c r="D36" s="35"/>
      <c r="E36" s="35"/>
      <c r="F36" s="35"/>
      <c r="G36" s="35" t="s">
        <v>406</v>
      </c>
      <c r="H36" s="65" t="s">
        <v>337</v>
      </c>
      <c r="I36" s="67">
        <v>2011</v>
      </c>
      <c r="J36" s="36">
        <v>2022</v>
      </c>
      <c r="K36" s="69">
        <f t="shared" si="0"/>
        <v>12</v>
      </c>
      <c r="L36" s="67" t="s">
        <v>312</v>
      </c>
      <c r="M36" s="65" t="s">
        <v>93</v>
      </c>
      <c r="N36" s="73">
        <f>(AVERAGE('Poli Stab'!BD81:BO81)+AVERAGE('Poli Stab'!BD189:BO189)+AVERAGE('Poli Stab'!BD194:BO194)+AVERAGE('Poli Stab'!BD143:BO143)+AVERAGE('Poli Stab'!BD242:BO242))/5</f>
        <v>-0.55032919431105254</v>
      </c>
      <c r="O36" s="37">
        <f>(AVERAGE(Inflation!BD81:BO81)+AVERAGE(Inflation!BD189:BO189)+AVERAGE(Inflation!BD194:BO194)+AVERAGE(Inflation!BD143:BO143)+AVERAGE(Inflation!BD242:BO242))/5</f>
        <v>5.8709018070206724</v>
      </c>
      <c r="P36" s="65" t="s">
        <v>240</v>
      </c>
      <c r="Q36" s="81">
        <f t="shared" ref="Q36:Z36" si="11">SUM(Q34:Q35)</f>
        <v>543062</v>
      </c>
      <c r="R36" s="82">
        <f t="shared" si="11"/>
        <v>172275000</v>
      </c>
      <c r="S36" s="81">
        <f t="shared" si="11"/>
        <v>69492474.015000001</v>
      </c>
      <c r="T36" s="90">
        <f t="shared" si="11"/>
        <v>7223</v>
      </c>
      <c r="U36" s="82">
        <f t="shared" si="11"/>
        <v>14870</v>
      </c>
      <c r="V36" s="81">
        <f t="shared" si="11"/>
        <v>0</v>
      </c>
      <c r="W36" s="90">
        <f t="shared" si="11"/>
        <v>33510000</v>
      </c>
      <c r="X36" s="82">
        <f t="shared" si="11"/>
        <v>225155000</v>
      </c>
      <c r="Y36" s="82">
        <f t="shared" si="11"/>
        <v>0</v>
      </c>
      <c r="Z36" s="90">
        <f t="shared" si="11"/>
        <v>492.39882661123181</v>
      </c>
      <c r="AA36" s="96">
        <f t="shared" si="6"/>
        <v>0.48221049077583339</v>
      </c>
      <c r="AB36" s="97">
        <f t="shared" si="1"/>
        <v>3.2399911384850126</v>
      </c>
      <c r="AC36" s="39" t="str">
        <f t="shared" si="9"/>
        <v/>
      </c>
      <c r="AD36" s="99">
        <f t="shared" si="3"/>
        <v>9620.9987560570407</v>
      </c>
      <c r="AE36" s="100">
        <f t="shared" si="4"/>
        <v>4673.3338275050437</v>
      </c>
      <c r="AF36" s="91">
        <f t="shared" si="5"/>
        <v>2.479045428182832</v>
      </c>
    </row>
    <row r="37" spans="1:32" ht="14.45" customHeight="1" x14ac:dyDescent="0.25">
      <c r="A37" s="4" t="s">
        <v>89</v>
      </c>
      <c r="B37" t="s">
        <v>90</v>
      </c>
      <c r="C37" s="17" t="s">
        <v>57</v>
      </c>
      <c r="D37" s="17"/>
      <c r="E37" s="17"/>
      <c r="F37" s="17"/>
      <c r="G37" s="17" t="s">
        <v>91</v>
      </c>
      <c r="H37" s="63" t="s">
        <v>92</v>
      </c>
      <c r="I37" s="4">
        <v>2015</v>
      </c>
      <c r="J37">
        <v>2018</v>
      </c>
      <c r="K37" s="66">
        <f t="shared" ref="K37:K65" si="12">J37-I37+1</f>
        <v>4</v>
      </c>
      <c r="L37" s="4" t="s">
        <v>39</v>
      </c>
      <c r="M37" s="63" t="s">
        <v>93</v>
      </c>
      <c r="N37" s="72">
        <f>(AVERAGE('Poli Stab'!BH17:BK17)+AVERAGE('Poli Stab'!BH35:BK35)+AVERAGE('Poli Stab'!BH31:BK31)+AVERAGE('Poli Stab'!BH62:BK62)+AVERAGE('Poli Stab'!BH64:BK64)+AVERAGE('Poli Stab'!BH99:BK99)+AVERAGE('Poli Stab'!BH122:BK122)+AVERAGE('Poli Stab'!BH138:BK138)+AVERAGE('Poli Stab'!BH258:BK258)+AVERAGE('Poli Stab'!BH225:BK225)+AVERAGE('Poli Stab'!BH247:BK247))/11</f>
        <v>0.50380232746564702</v>
      </c>
      <c r="O37" s="28">
        <f>(AVERAGE(Inflation!BH17:BK17)+AVERAGE(Inflation!BH35:BK35)+AVERAGE(Inflation!BH31:BK31)+AVERAGE(Inflation!BH62:BK62)+AVERAGE(Inflation!BH64:BK64)+AVERAGE(Inflation!BH99:BK99)+AVERAGE(Inflation!BH122:BK122)+AVERAGE(Inflation!BH138:BK138)+AVERAGE(Inflation!BH258:BK258)+AVERAGE(Inflation!BH225:BK225)+AVERAGE(Inflation!BH247:BK247))/11</f>
        <v>3.7387947506717452</v>
      </c>
      <c r="P37" s="63" t="s">
        <v>49</v>
      </c>
      <c r="Q37" s="5">
        <v>5000</v>
      </c>
      <c r="R37" s="84">
        <v>0</v>
      </c>
      <c r="S37" s="3">
        <f>4000000*1.1225</f>
        <v>4490000</v>
      </c>
      <c r="T37" s="89">
        <v>0</v>
      </c>
      <c r="U37" s="107">
        <v>2041</v>
      </c>
      <c r="V37" s="6">
        <v>48</v>
      </c>
      <c r="W37" s="108">
        <v>40000000</v>
      </c>
      <c r="X37" s="84">
        <v>0</v>
      </c>
      <c r="Y37" s="84">
        <v>0</v>
      </c>
      <c r="Z37" s="89">
        <f t="shared" ref="Z37:Z65" si="13">R37/Q37</f>
        <v>0</v>
      </c>
      <c r="AA37" s="94">
        <f t="shared" si="6"/>
        <v>8.908685968819599</v>
      </c>
      <c r="AB37" s="95" t="str">
        <f t="shared" ref="AB37:AB65" si="14">IF(X37&gt;0,X37/S37,"")</f>
        <v/>
      </c>
      <c r="AC37" s="12" t="str">
        <f t="shared" si="9"/>
        <v/>
      </c>
      <c r="AD37" s="98" t="str">
        <f t="shared" ref="AD37:AD65" si="15">IF(T37&gt;0,S37/T37,"")</f>
        <v/>
      </c>
      <c r="AE37" s="84">
        <f t="shared" ref="AE37:AE65" si="16">IF(U37&gt;0,S37/U37,"")</f>
        <v>2199.9020088192065</v>
      </c>
      <c r="AF37" s="7" t="str">
        <f t="shared" si="5"/>
        <v/>
      </c>
    </row>
    <row r="38" spans="1:32" ht="14.45" customHeight="1" x14ac:dyDescent="0.25">
      <c r="A38" s="4" t="s">
        <v>309</v>
      </c>
      <c r="B38" t="s">
        <v>310</v>
      </c>
      <c r="C38" s="17" t="s">
        <v>137</v>
      </c>
      <c r="D38" s="17" t="s">
        <v>57</v>
      </c>
      <c r="E38" s="17"/>
      <c r="F38" s="17"/>
      <c r="G38" s="17" t="s">
        <v>230</v>
      </c>
      <c r="H38" s="63" t="s">
        <v>311</v>
      </c>
      <c r="I38" s="4">
        <v>2013</v>
      </c>
      <c r="J38">
        <v>2018</v>
      </c>
      <c r="K38" s="66">
        <f t="shared" si="12"/>
        <v>6</v>
      </c>
      <c r="L38" s="4" t="s">
        <v>312</v>
      </c>
      <c r="M38" s="63" t="s">
        <v>93</v>
      </c>
      <c r="N38" s="74"/>
      <c r="O38" s="33"/>
      <c r="P38" s="63" t="s">
        <v>42</v>
      </c>
      <c r="Q38" s="5">
        <f>522+144+115+130+205</f>
        <v>1116</v>
      </c>
      <c r="R38" s="84">
        <v>0</v>
      </c>
      <c r="S38" s="3">
        <f>20000000*1.4533</f>
        <v>29066000</v>
      </c>
      <c r="T38" s="89">
        <f>41+12+59+50</f>
        <v>162</v>
      </c>
      <c r="U38" s="101">
        <f>522+144+115+130+205</f>
        <v>1116</v>
      </c>
      <c r="V38" s="6">
        <f>6+11+7</f>
        <v>24</v>
      </c>
      <c r="W38" s="108">
        <v>0</v>
      </c>
      <c r="X38" s="84">
        <f>(818864+2864424+861792+468875+60662+274500+64000+146285)*1.4533</f>
        <v>8079478.9265999999</v>
      </c>
      <c r="Y38" s="84"/>
      <c r="Z38" s="89">
        <f t="shared" si="13"/>
        <v>0</v>
      </c>
      <c r="AA38" s="94" t="str">
        <f t="shared" ref="AA38:AA65" si="17">IF(W38&gt;0,W38/S38,"")</f>
        <v/>
      </c>
      <c r="AB38" s="95">
        <f t="shared" si="14"/>
        <v>0.2779701</v>
      </c>
      <c r="AC38" s="12" t="str">
        <f t="shared" si="9"/>
        <v/>
      </c>
      <c r="AD38" s="98">
        <f t="shared" si="15"/>
        <v>179419.75308641975</v>
      </c>
      <c r="AE38" s="84">
        <f t="shared" si="16"/>
        <v>26044.802867383514</v>
      </c>
      <c r="AF38" s="7" t="str">
        <f t="shared" si="5"/>
        <v/>
      </c>
    </row>
    <row r="39" spans="1:32" ht="14.45" customHeight="1" x14ac:dyDescent="0.25">
      <c r="A39" s="4" t="s">
        <v>267</v>
      </c>
      <c r="B39" t="s">
        <v>268</v>
      </c>
      <c r="C39" s="17" t="s">
        <v>171</v>
      </c>
      <c r="D39" s="17"/>
      <c r="E39" s="17"/>
      <c r="F39" s="17"/>
      <c r="G39" s="17" t="s">
        <v>230</v>
      </c>
      <c r="H39" s="63" t="e">
        <v>#VALUE!</v>
      </c>
      <c r="I39" s="4">
        <v>2017</v>
      </c>
      <c r="J39">
        <v>2022</v>
      </c>
      <c r="K39" s="66">
        <f t="shared" si="12"/>
        <v>6</v>
      </c>
      <c r="L39" s="4" t="s">
        <v>39</v>
      </c>
      <c r="M39" s="63" t="s">
        <v>40</v>
      </c>
      <c r="N39" s="72">
        <f>AVERAGE('Poli Stab'!BJ170:BO170)</f>
        <v>-1.0538027087847395</v>
      </c>
      <c r="O39" s="28">
        <f>AVERAGE(Inflation!BJ170:BO170)</f>
        <v>6.999843147192979</v>
      </c>
      <c r="P39" s="63" t="s">
        <v>42</v>
      </c>
      <c r="Q39" s="5">
        <v>180000</v>
      </c>
      <c r="R39" s="84">
        <v>0</v>
      </c>
      <c r="S39" s="3">
        <v>20900000</v>
      </c>
      <c r="T39" s="89"/>
      <c r="U39" s="107">
        <v>5725</v>
      </c>
      <c r="V39" s="6">
        <f>15+200+500+334</f>
        <v>1049</v>
      </c>
      <c r="W39" s="108">
        <v>1900000</v>
      </c>
      <c r="X39" s="84">
        <v>17200000</v>
      </c>
      <c r="Y39" s="84">
        <v>0</v>
      </c>
      <c r="Z39" s="89">
        <f t="shared" si="13"/>
        <v>0</v>
      </c>
      <c r="AA39" s="94">
        <f t="shared" si="17"/>
        <v>9.0909090909090912E-2</v>
      </c>
      <c r="AB39" s="95">
        <f t="shared" si="14"/>
        <v>0.82296650717703346</v>
      </c>
      <c r="AC39" s="12" t="str">
        <f t="shared" si="9"/>
        <v/>
      </c>
      <c r="AD39" s="98" t="str">
        <f t="shared" si="15"/>
        <v/>
      </c>
      <c r="AE39" s="84">
        <f t="shared" si="16"/>
        <v>3650.6550218340612</v>
      </c>
      <c r="AF39" s="7" t="str">
        <f t="shared" si="5"/>
        <v/>
      </c>
    </row>
    <row r="40" spans="1:32" ht="14.45" customHeight="1" x14ac:dyDescent="0.25">
      <c r="A40" t="s">
        <v>156</v>
      </c>
      <c r="B40" t="s">
        <v>157</v>
      </c>
      <c r="C40" s="17" t="s">
        <v>104</v>
      </c>
      <c r="G40" s="17" t="s">
        <v>74</v>
      </c>
      <c r="H40" s="66" t="e">
        <v>#VALUE!</v>
      </c>
      <c r="I40" s="4">
        <v>2016</v>
      </c>
      <c r="J40">
        <v>2020</v>
      </c>
      <c r="K40" s="66">
        <f t="shared" si="12"/>
        <v>5</v>
      </c>
      <c r="L40" s="4" t="s">
        <v>39</v>
      </c>
      <c r="M40" s="63" t="s">
        <v>93</v>
      </c>
      <c r="N40" s="28">
        <f>AVERAGE('Poli Stab'!BI183:BM183)</f>
        <v>-0.52113158404827131</v>
      </c>
      <c r="O40" s="28">
        <f>AVERAGE(Inflation!BI183:BM183)</f>
        <v>5.3192992039255742</v>
      </c>
      <c r="P40" s="63" t="s">
        <v>49</v>
      </c>
      <c r="Q40" s="5">
        <v>51867</v>
      </c>
      <c r="R40" s="3">
        <f>(3193*7889+31752*12755+10264*9111+6658*21324)*0.008439</f>
        <v>5617646.7936869999</v>
      </c>
      <c r="S40" s="3">
        <v>7700000</v>
      </c>
      <c r="T40" s="89">
        <v>2072</v>
      </c>
      <c r="U40" s="5">
        <v>51867</v>
      </c>
      <c r="V40" s="6">
        <v>0</v>
      </c>
      <c r="W40" s="3">
        <v>0</v>
      </c>
      <c r="X40" s="3">
        <v>0</v>
      </c>
      <c r="Y40" s="3">
        <v>0</v>
      </c>
      <c r="Z40" s="89">
        <f t="shared" si="13"/>
        <v>108.30868941112846</v>
      </c>
      <c r="AA40" s="94" t="str">
        <f t="shared" si="17"/>
        <v/>
      </c>
      <c r="AB40" s="95" t="str">
        <f t="shared" si="14"/>
        <v/>
      </c>
      <c r="AC40" s="12" t="str">
        <f t="shared" si="9"/>
        <v/>
      </c>
      <c r="AD40" s="98">
        <f t="shared" si="15"/>
        <v>3716.2162162162163</v>
      </c>
      <c r="AE40" s="84">
        <f t="shared" si="16"/>
        <v>148.45662945610889</v>
      </c>
      <c r="AF40" s="7">
        <f t="shared" si="5"/>
        <v>0.72956451866064931</v>
      </c>
    </row>
    <row r="41" spans="1:32" ht="14.45" customHeight="1" x14ac:dyDescent="0.25">
      <c r="A41" t="s">
        <v>177</v>
      </c>
      <c r="B41" t="s">
        <v>178</v>
      </c>
      <c r="C41" s="17" t="s">
        <v>104</v>
      </c>
      <c r="G41" s="17" t="s">
        <v>74</v>
      </c>
      <c r="H41" s="66" t="e">
        <v>#VALUE!</v>
      </c>
      <c r="I41" s="4">
        <v>2020</v>
      </c>
      <c r="J41">
        <v>2025</v>
      </c>
      <c r="K41" s="66">
        <f t="shared" si="12"/>
        <v>6</v>
      </c>
      <c r="L41" s="4" t="s">
        <v>39</v>
      </c>
      <c r="M41" s="63" t="s">
        <v>93</v>
      </c>
      <c r="N41" s="28">
        <f>AVERAGE('Poli Stab'!BI183:BP183)</f>
        <v>-0.4073436781764031</v>
      </c>
      <c r="O41" s="28">
        <f>AVERAGE(Inflation!BI183:BP183)</f>
        <v>5.6886677341432357</v>
      </c>
      <c r="P41" s="63" t="s">
        <v>49</v>
      </c>
      <c r="Q41" s="6">
        <v>41034</v>
      </c>
      <c r="R41" s="3">
        <f>163*41034</f>
        <v>6688542</v>
      </c>
      <c r="S41" s="3">
        <v>10200000</v>
      </c>
      <c r="T41" s="6">
        <v>1679</v>
      </c>
      <c r="U41" s="6">
        <v>41034</v>
      </c>
      <c r="V41" s="6">
        <v>0</v>
      </c>
      <c r="W41" s="3">
        <v>1180000</v>
      </c>
      <c r="X41" s="3">
        <v>194250000</v>
      </c>
      <c r="Y41" s="3">
        <v>0</v>
      </c>
      <c r="Z41" s="89">
        <f t="shared" si="13"/>
        <v>163</v>
      </c>
      <c r="AA41" s="94">
        <f t="shared" si="17"/>
        <v>0.11568627450980393</v>
      </c>
      <c r="AB41" s="95">
        <f t="shared" si="14"/>
        <v>19.044117647058822</v>
      </c>
      <c r="AC41" s="12" t="str">
        <f t="shared" si="9"/>
        <v/>
      </c>
      <c r="AD41" s="98">
        <f t="shared" si="15"/>
        <v>6075.0446694460989</v>
      </c>
      <c r="AE41" s="84">
        <f t="shared" si="16"/>
        <v>248.57435297558123</v>
      </c>
      <c r="AF41" s="7">
        <f t="shared" si="5"/>
        <v>0.65573941176470585</v>
      </c>
    </row>
    <row r="42" spans="1:32" ht="30" x14ac:dyDescent="0.25">
      <c r="A42" t="s">
        <v>397</v>
      </c>
      <c r="B42" t="s">
        <v>397</v>
      </c>
      <c r="C42" t="s">
        <v>137</v>
      </c>
      <c r="G42" t="s">
        <v>200</v>
      </c>
      <c r="H42" t="e">
        <v>#VALUE!</v>
      </c>
      <c r="I42" s="4">
        <v>2014</v>
      </c>
      <c r="J42">
        <v>2021</v>
      </c>
      <c r="K42" s="66">
        <f t="shared" si="12"/>
        <v>8</v>
      </c>
      <c r="L42" s="4" t="s">
        <v>39</v>
      </c>
      <c r="M42" s="63" t="s">
        <v>93</v>
      </c>
      <c r="N42" s="28">
        <f>AVERAGE('Poli Stab'!BG48:BN48)</f>
        <v>-2.0031317174434689</v>
      </c>
      <c r="O42" s="112">
        <f>AVERAGE(Inflation!BG48:BN48)</f>
        <v>1.6243629884297934</v>
      </c>
      <c r="P42" s="63" t="s">
        <v>42</v>
      </c>
      <c r="Q42" s="85">
        <f>223000+259000+130000+260900+4000+66500</f>
        <v>943400</v>
      </c>
      <c r="R42" s="3">
        <f>(12900000+5100000+9200000+8600000+240000+2800000)*1.2611</f>
        <v>48981124.000000007</v>
      </c>
      <c r="S42" s="3">
        <v>70000000</v>
      </c>
      <c r="T42" s="6">
        <v>0</v>
      </c>
      <c r="U42" s="6">
        <v>0</v>
      </c>
      <c r="V42" s="6">
        <v>0</v>
      </c>
      <c r="W42" s="3">
        <v>0</v>
      </c>
      <c r="X42" s="3">
        <v>0</v>
      </c>
      <c r="Y42" s="84">
        <f>5100000*1.2611</f>
        <v>6431610.0000000009</v>
      </c>
      <c r="Z42" s="89">
        <f t="shared" si="13"/>
        <v>51.919783760864966</v>
      </c>
      <c r="AA42" s="94" t="str">
        <f t="shared" si="17"/>
        <v/>
      </c>
      <c r="AB42" s="95" t="str">
        <f t="shared" si="14"/>
        <v/>
      </c>
      <c r="AC42" s="12">
        <f t="shared" si="9"/>
        <v>9.1880142857142869E-2</v>
      </c>
      <c r="AD42" s="98" t="str">
        <f t="shared" si="15"/>
        <v/>
      </c>
      <c r="AE42" s="84" t="str">
        <f t="shared" si="16"/>
        <v/>
      </c>
      <c r="AF42" s="7">
        <f t="shared" si="5"/>
        <v>0.69973034285714297</v>
      </c>
    </row>
    <row r="43" spans="1:32" x14ac:dyDescent="0.25">
      <c r="A43" t="s">
        <v>198</v>
      </c>
      <c r="B43" t="s">
        <v>199</v>
      </c>
      <c r="C43" s="17" t="s">
        <v>137</v>
      </c>
      <c r="G43" t="s">
        <v>200</v>
      </c>
      <c r="H43" t="e">
        <v>#VALUE!</v>
      </c>
      <c r="I43" s="4">
        <v>2013</v>
      </c>
      <c r="J43">
        <v>2017</v>
      </c>
      <c r="K43" s="66">
        <f t="shared" si="12"/>
        <v>5</v>
      </c>
      <c r="L43" s="4" t="s">
        <v>201</v>
      </c>
      <c r="M43" s="66" t="s">
        <v>40</v>
      </c>
      <c r="N43" s="13">
        <f>AVERAGE('Poli Stab'!BF215:BJ215)</f>
        <v>-0.11831410974264159</v>
      </c>
      <c r="O43" s="13">
        <f>AVERAGE(Inflation!BF215:BJ215)</f>
        <v>9.1920892921510209</v>
      </c>
      <c r="P43" s="63" t="s">
        <v>49</v>
      </c>
      <c r="Q43" s="5">
        <v>47100</v>
      </c>
      <c r="R43" s="3">
        <f>3077000*1.477</f>
        <v>4544729</v>
      </c>
      <c r="S43" s="3">
        <v>13000000</v>
      </c>
      <c r="T43" s="6">
        <v>0</v>
      </c>
      <c r="U43" s="6">
        <v>47100</v>
      </c>
      <c r="V43" s="6">
        <v>0</v>
      </c>
      <c r="W43" s="3">
        <f>4680000*1.4769</f>
        <v>6911892.0000000009</v>
      </c>
      <c r="X43" s="3">
        <v>0</v>
      </c>
      <c r="Y43" s="84">
        <v>0</v>
      </c>
      <c r="Z43" s="89">
        <f t="shared" si="13"/>
        <v>96.491061571125272</v>
      </c>
      <c r="AA43" s="94">
        <f t="shared" si="17"/>
        <v>0.53168400000000005</v>
      </c>
      <c r="AB43" s="95" t="str">
        <f t="shared" si="14"/>
        <v/>
      </c>
      <c r="AC43" s="12" t="str">
        <f t="shared" si="9"/>
        <v/>
      </c>
      <c r="AD43" s="98" t="str">
        <f t="shared" si="15"/>
        <v/>
      </c>
      <c r="AE43" s="84">
        <f t="shared" si="16"/>
        <v>276.0084925690021</v>
      </c>
      <c r="AF43" s="7">
        <f t="shared" si="5"/>
        <v>0.34959453846153848</v>
      </c>
    </row>
    <row r="44" spans="1:32" x14ac:dyDescent="0.25">
      <c r="A44" t="s">
        <v>215</v>
      </c>
      <c r="B44" t="s">
        <v>216</v>
      </c>
      <c r="C44" s="17" t="s">
        <v>216</v>
      </c>
      <c r="G44" t="s">
        <v>217</v>
      </c>
      <c r="H44" t="e">
        <v>#VALUE!</v>
      </c>
      <c r="I44" s="4">
        <v>2015</v>
      </c>
      <c r="J44">
        <v>2022</v>
      </c>
      <c r="K44" s="66">
        <f t="shared" si="12"/>
        <v>8</v>
      </c>
      <c r="L44" s="4" t="s">
        <v>39</v>
      </c>
      <c r="M44" s="66" t="s">
        <v>40</v>
      </c>
      <c r="N44" s="13">
        <f>AVERAGE('Poli Stab'!BH126:BO126)</f>
        <v>-1.1245846748352053</v>
      </c>
      <c r="O44" s="13">
        <f>AVERAGE(Inflation!BH126:BO126)</f>
        <v>6.2484323415190781</v>
      </c>
      <c r="P44" s="63" t="s">
        <v>49</v>
      </c>
      <c r="Q44" s="5">
        <v>28290</v>
      </c>
      <c r="R44" s="3">
        <v>0</v>
      </c>
      <c r="S44" s="3">
        <f>18700000*0.746</f>
        <v>13950200</v>
      </c>
      <c r="T44" s="6">
        <v>0</v>
      </c>
      <c r="U44" s="6">
        <v>28290</v>
      </c>
      <c r="V44" s="85">
        <v>250</v>
      </c>
      <c r="W44" s="3">
        <v>0</v>
      </c>
      <c r="X44" s="3">
        <v>0</v>
      </c>
      <c r="Y44" s="84">
        <v>0</v>
      </c>
      <c r="Z44" s="89">
        <f t="shared" si="13"/>
        <v>0</v>
      </c>
      <c r="AA44" s="94" t="str">
        <f t="shared" si="17"/>
        <v/>
      </c>
      <c r="AB44" s="95" t="str">
        <f t="shared" si="14"/>
        <v/>
      </c>
      <c r="AC44" s="12" t="str">
        <f t="shared" si="9"/>
        <v/>
      </c>
      <c r="AD44" s="98" t="str">
        <f t="shared" si="15"/>
        <v/>
      </c>
      <c r="AE44" s="84">
        <f t="shared" si="16"/>
        <v>493.11417462000708</v>
      </c>
      <c r="AF44" s="7" t="str">
        <f t="shared" si="5"/>
        <v/>
      </c>
    </row>
    <row r="45" spans="1:32" ht="30" x14ac:dyDescent="0.25">
      <c r="A45" t="s">
        <v>399</v>
      </c>
      <c r="B45" t="s">
        <v>399</v>
      </c>
      <c r="C45" s="17" t="s">
        <v>137</v>
      </c>
      <c r="G45" t="s">
        <v>138</v>
      </c>
      <c r="H45" t="e">
        <v>#VALUE!</v>
      </c>
      <c r="I45" s="4">
        <v>2012</v>
      </c>
      <c r="J45">
        <v>2021</v>
      </c>
      <c r="K45" s="66">
        <f t="shared" si="12"/>
        <v>10</v>
      </c>
      <c r="L45" s="4" t="s">
        <v>39</v>
      </c>
      <c r="M45" s="63" t="s">
        <v>93</v>
      </c>
      <c r="N45" s="13">
        <f>AVERAGE('Poli Stab'!BE179:BN179)</f>
        <v>-1.9763221621513369</v>
      </c>
      <c r="O45" s="13">
        <f>AVERAGE(Inflation!BE179:BN179)</f>
        <v>12.366608240220774</v>
      </c>
      <c r="P45" s="63" t="s">
        <v>42</v>
      </c>
      <c r="Q45" s="5">
        <v>1294244</v>
      </c>
      <c r="R45" s="3">
        <f>85487312*1.4239</f>
        <v>121725383.55679999</v>
      </c>
      <c r="S45" s="3">
        <f>59600000*1.4239</f>
        <v>84864440</v>
      </c>
      <c r="T45" s="6">
        <v>0</v>
      </c>
      <c r="U45" s="6">
        <v>1294244</v>
      </c>
      <c r="V45" s="6">
        <v>133</v>
      </c>
      <c r="W45" s="3">
        <f>85013545*1.4239</f>
        <v>121050786.7255</v>
      </c>
      <c r="X45" s="3">
        <v>0</v>
      </c>
      <c r="Y45" s="84">
        <v>0</v>
      </c>
      <c r="Z45" s="89">
        <f t="shared" si="13"/>
        <v>94.051340826613838</v>
      </c>
      <c r="AA45" s="94">
        <f t="shared" si="17"/>
        <v>1.4264017617449665</v>
      </c>
      <c r="AB45" s="95" t="str">
        <f t="shared" si="14"/>
        <v/>
      </c>
      <c r="AC45" s="12" t="str">
        <f t="shared" si="9"/>
        <v/>
      </c>
      <c r="AD45" s="98" t="str">
        <f t="shared" si="15"/>
        <v/>
      </c>
      <c r="AE45" s="84">
        <f t="shared" si="16"/>
        <v>65.570665191416765</v>
      </c>
      <c r="AF45" s="7">
        <f t="shared" si="5"/>
        <v>1.4343508724832215</v>
      </c>
    </row>
    <row r="46" spans="1:32" x14ac:dyDescent="0.25">
      <c r="A46" t="s">
        <v>184</v>
      </c>
      <c r="B46" t="s">
        <v>185</v>
      </c>
      <c r="C46" s="17" t="s">
        <v>104</v>
      </c>
      <c r="G46" t="s">
        <v>74</v>
      </c>
      <c r="H46" t="e">
        <v>#VALUE!</v>
      </c>
      <c r="I46" s="4">
        <v>2012</v>
      </c>
      <c r="J46">
        <v>2020</v>
      </c>
      <c r="K46" s="66">
        <f t="shared" si="12"/>
        <v>9</v>
      </c>
      <c r="L46" s="4" t="s">
        <v>39</v>
      </c>
      <c r="M46" s="66" t="s">
        <v>40</v>
      </c>
      <c r="N46" s="13">
        <f>AVERAGE('Poli Stab'!BE170:BM170)</f>
        <v>-0.62065527174207891</v>
      </c>
      <c r="O46" s="13">
        <f>AVERAGE(Inflation!BE170:BM170)</f>
        <v>6.1892819860905313</v>
      </c>
      <c r="P46" s="63" t="s">
        <v>42</v>
      </c>
      <c r="Q46" s="83">
        <v>6277</v>
      </c>
      <c r="R46" s="3">
        <v>1311000</v>
      </c>
      <c r="S46" s="3">
        <v>11500000</v>
      </c>
      <c r="T46" s="6">
        <v>0</v>
      </c>
      <c r="U46" s="6">
        <v>6277</v>
      </c>
      <c r="V46" s="6">
        <v>0</v>
      </c>
      <c r="W46" s="3">
        <v>0</v>
      </c>
      <c r="X46" s="3">
        <v>0</v>
      </c>
      <c r="Y46" s="84">
        <v>0</v>
      </c>
      <c r="Z46" s="89">
        <f t="shared" si="13"/>
        <v>208.85773458658596</v>
      </c>
      <c r="AA46" s="94" t="str">
        <f t="shared" si="17"/>
        <v/>
      </c>
      <c r="AB46" s="95" t="str">
        <f t="shared" si="14"/>
        <v/>
      </c>
      <c r="AC46" s="12" t="str">
        <f t="shared" si="9"/>
        <v/>
      </c>
      <c r="AD46" s="98" t="str">
        <f t="shared" si="15"/>
        <v/>
      </c>
      <c r="AE46" s="84">
        <f t="shared" si="16"/>
        <v>1832.085391110403</v>
      </c>
      <c r="AF46" s="7">
        <f t="shared" si="5"/>
        <v>0.114</v>
      </c>
    </row>
    <row r="47" spans="1:32" x14ac:dyDescent="0.25">
      <c r="A47" s="4" t="s">
        <v>244</v>
      </c>
      <c r="B47" t="s">
        <v>245</v>
      </c>
      <c r="C47" s="17" t="s">
        <v>104</v>
      </c>
      <c r="G47" t="s">
        <v>74</v>
      </c>
      <c r="H47" t="s">
        <v>246</v>
      </c>
      <c r="I47" s="4">
        <v>2010</v>
      </c>
      <c r="J47">
        <v>2017</v>
      </c>
      <c r="K47" s="66">
        <f t="shared" si="12"/>
        <v>8</v>
      </c>
      <c r="L47" s="4" t="s">
        <v>247</v>
      </c>
      <c r="M47" s="66" t="s">
        <v>248</v>
      </c>
      <c r="N47" s="113"/>
      <c r="O47" s="113"/>
      <c r="P47" s="63" t="s">
        <v>49</v>
      </c>
      <c r="Q47" s="5">
        <f>3635+30000</f>
        <v>33635</v>
      </c>
      <c r="R47" s="3">
        <v>0</v>
      </c>
      <c r="S47" s="3">
        <v>18000000</v>
      </c>
      <c r="T47" s="6">
        <v>0</v>
      </c>
      <c r="U47" s="6">
        <v>3635</v>
      </c>
      <c r="V47" s="6">
        <f>47+153</f>
        <v>200</v>
      </c>
      <c r="W47" s="3">
        <v>32000000</v>
      </c>
      <c r="X47" s="3">
        <v>0</v>
      </c>
      <c r="Y47" s="84">
        <v>0</v>
      </c>
      <c r="Z47" s="89">
        <f t="shared" si="13"/>
        <v>0</v>
      </c>
      <c r="AA47" s="94">
        <f t="shared" si="17"/>
        <v>1.7777777777777777</v>
      </c>
      <c r="AB47" s="95" t="str">
        <f t="shared" si="14"/>
        <v/>
      </c>
      <c r="AC47" s="12" t="str">
        <f t="shared" si="9"/>
        <v/>
      </c>
      <c r="AD47" s="98" t="str">
        <f t="shared" si="15"/>
        <v/>
      </c>
      <c r="AE47" s="84">
        <f t="shared" si="16"/>
        <v>4951.8569463548829</v>
      </c>
      <c r="AF47" s="7" t="str">
        <f t="shared" si="5"/>
        <v/>
      </c>
    </row>
    <row r="48" spans="1:32" x14ac:dyDescent="0.25">
      <c r="A48" t="s">
        <v>55</v>
      </c>
      <c r="B48" t="s">
        <v>56</v>
      </c>
      <c r="C48" s="17" t="s">
        <v>57</v>
      </c>
      <c r="G48" t="s">
        <v>58</v>
      </c>
      <c r="H48" t="s">
        <v>59</v>
      </c>
      <c r="I48" s="4">
        <v>2014</v>
      </c>
      <c r="J48">
        <v>2017</v>
      </c>
      <c r="K48" s="66">
        <f t="shared" si="12"/>
        <v>4</v>
      </c>
      <c r="L48" s="4" t="s">
        <v>39</v>
      </c>
      <c r="M48" s="66" t="s">
        <v>40</v>
      </c>
      <c r="N48" s="13">
        <f>(AVERAGE('Poli Stab'!BG33:BJ33)+AVERAGE('Poli Stab'!BJ191:BO191))/2</f>
        <v>-0.30084842195113498</v>
      </c>
      <c r="O48" s="13">
        <f>(AVERAGE(Inflation!BG33:BJ33)+AVERAGE(Inflation!BJ191:BO191))/2</f>
        <v>3.8143528392697315</v>
      </c>
      <c r="P48" s="63" t="s">
        <v>49</v>
      </c>
      <c r="Q48" s="5">
        <v>1321</v>
      </c>
      <c r="R48" s="3">
        <f>(15-1.5)*Q48</f>
        <v>17833.5</v>
      </c>
      <c r="S48" s="3">
        <v>1700000</v>
      </c>
      <c r="T48" s="6">
        <v>0</v>
      </c>
      <c r="U48" s="6">
        <v>1321</v>
      </c>
      <c r="V48" s="6">
        <v>75</v>
      </c>
      <c r="W48" s="3">
        <v>0</v>
      </c>
      <c r="X48" s="3">
        <v>0</v>
      </c>
      <c r="Y48" s="84">
        <v>0</v>
      </c>
      <c r="Z48" s="89">
        <f t="shared" si="13"/>
        <v>13.5</v>
      </c>
      <c r="AA48" s="94" t="str">
        <f t="shared" si="17"/>
        <v/>
      </c>
      <c r="AB48" s="95" t="str">
        <f t="shared" si="14"/>
        <v/>
      </c>
      <c r="AC48" s="12" t="str">
        <f t="shared" ref="AC48:AC65" si="18">IF(Y48&gt;0,Y48/S48,"")</f>
        <v/>
      </c>
      <c r="AD48" s="98" t="str">
        <f t="shared" si="15"/>
        <v/>
      </c>
      <c r="AE48" s="84">
        <f t="shared" si="16"/>
        <v>1286.9038607115822</v>
      </c>
      <c r="AF48" s="7">
        <f t="shared" si="5"/>
        <v>1.0490294117647059E-2</v>
      </c>
    </row>
    <row r="49" spans="1:32" x14ac:dyDescent="0.25">
      <c r="A49" t="s">
        <v>162</v>
      </c>
      <c r="B49" t="s">
        <v>163</v>
      </c>
      <c r="C49" s="17" t="s">
        <v>609</v>
      </c>
      <c r="G49" t="s">
        <v>164</v>
      </c>
      <c r="H49" t="e">
        <v>#VALUE!</v>
      </c>
      <c r="I49" s="4">
        <v>2013</v>
      </c>
      <c r="J49">
        <v>2019</v>
      </c>
      <c r="K49" s="66">
        <f t="shared" si="12"/>
        <v>7</v>
      </c>
      <c r="L49" s="4" t="s">
        <v>39</v>
      </c>
      <c r="M49" s="66" t="s">
        <v>40</v>
      </c>
      <c r="N49" s="13">
        <f>AVERAGE('Poli Stab'!BF269:BL269)</f>
        <v>0.13963858251060762</v>
      </c>
      <c r="O49" s="13">
        <f>AVERAGE(Inflation!BF269:BL269)</f>
        <v>9.4267249247942182</v>
      </c>
      <c r="P49" s="63" t="s">
        <v>49</v>
      </c>
      <c r="Q49" s="5">
        <v>10878</v>
      </c>
      <c r="R49" s="3">
        <v>0</v>
      </c>
      <c r="S49" s="3">
        <v>8200000</v>
      </c>
      <c r="T49" s="6">
        <v>0</v>
      </c>
      <c r="U49" s="6">
        <v>10878</v>
      </c>
      <c r="V49" s="6">
        <f>12+1</f>
        <v>13</v>
      </c>
      <c r="W49" s="3">
        <v>400000</v>
      </c>
      <c r="X49" s="3">
        <v>0</v>
      </c>
      <c r="Y49" s="84">
        <v>0</v>
      </c>
      <c r="Z49" s="89">
        <f t="shared" si="13"/>
        <v>0</v>
      </c>
      <c r="AA49" s="94">
        <f t="shared" si="17"/>
        <v>4.878048780487805E-2</v>
      </c>
      <c r="AB49" s="95" t="str">
        <f t="shared" si="14"/>
        <v/>
      </c>
      <c r="AC49" s="12" t="str">
        <f t="shared" si="18"/>
        <v/>
      </c>
      <c r="AD49" s="98" t="str">
        <f t="shared" si="15"/>
        <v/>
      </c>
      <c r="AE49" s="84">
        <f t="shared" si="16"/>
        <v>753.81503952932519</v>
      </c>
      <c r="AF49" s="7" t="str">
        <f t="shared" si="5"/>
        <v/>
      </c>
    </row>
    <row r="50" spans="1:32" x14ac:dyDescent="0.25">
      <c r="A50" t="s">
        <v>117</v>
      </c>
      <c r="B50" t="s">
        <v>118</v>
      </c>
      <c r="C50" s="17" t="s">
        <v>104</v>
      </c>
      <c r="G50" t="s">
        <v>119</v>
      </c>
      <c r="H50" t="e">
        <v>#VALUE!</v>
      </c>
      <c r="I50" s="4">
        <v>2011</v>
      </c>
      <c r="J50">
        <v>2018</v>
      </c>
      <c r="K50" s="66">
        <f t="shared" si="12"/>
        <v>8</v>
      </c>
      <c r="L50" s="4" t="s">
        <v>39</v>
      </c>
      <c r="M50" s="66" t="s">
        <v>40</v>
      </c>
      <c r="N50" s="13">
        <f>AVERAGE('Poli Stab'!BD87:BK87)</f>
        <v>-0.46441576257348077</v>
      </c>
      <c r="O50" s="13">
        <f>AVERAGE(Inflation!BD87:BK87)</f>
        <v>3.1181369357438418</v>
      </c>
      <c r="P50" s="63" t="s">
        <v>49</v>
      </c>
      <c r="Q50" s="83">
        <v>2000</v>
      </c>
      <c r="R50" s="3">
        <f>(789*(439-251)+270*(315-200))*1.0375</f>
        <v>186108.82500000001</v>
      </c>
      <c r="S50" s="3">
        <v>6200000</v>
      </c>
      <c r="T50" s="6">
        <v>0</v>
      </c>
      <c r="U50">
        <f>789+270</f>
        <v>1059</v>
      </c>
      <c r="V50">
        <f>789+270</f>
        <v>1059</v>
      </c>
      <c r="W50" s="3">
        <v>0</v>
      </c>
      <c r="X50" s="3">
        <v>0</v>
      </c>
      <c r="Y50" s="84">
        <v>0</v>
      </c>
      <c r="Z50" s="89">
        <f t="shared" si="13"/>
        <v>93.054412500000012</v>
      </c>
      <c r="AA50" s="94" t="str">
        <f t="shared" si="17"/>
        <v/>
      </c>
      <c r="AB50" s="95" t="str">
        <f t="shared" si="14"/>
        <v/>
      </c>
      <c r="AC50" s="12" t="str">
        <f t="shared" si="18"/>
        <v/>
      </c>
      <c r="AD50" s="98" t="str">
        <f t="shared" si="15"/>
        <v/>
      </c>
      <c r="AE50" s="84">
        <f t="shared" si="16"/>
        <v>5854.5797922568463</v>
      </c>
      <c r="AF50" s="7">
        <f t="shared" si="5"/>
        <v>3.0017552419354842E-2</v>
      </c>
    </row>
    <row r="51" spans="1:32" ht="30" x14ac:dyDescent="0.25">
      <c r="A51" s="4" t="s">
        <v>341</v>
      </c>
      <c r="B51" t="s">
        <v>342</v>
      </c>
      <c r="C51" t="s">
        <v>171</v>
      </c>
      <c r="G51" t="s">
        <v>230</v>
      </c>
      <c r="H51" t="e">
        <v>#VALUE!</v>
      </c>
      <c r="I51">
        <v>2013</v>
      </c>
      <c r="J51">
        <v>2019</v>
      </c>
      <c r="K51">
        <f t="shared" si="12"/>
        <v>7</v>
      </c>
      <c r="L51" t="s">
        <v>39</v>
      </c>
      <c r="M51" s="63" t="s">
        <v>93</v>
      </c>
      <c r="N51" s="13">
        <f>AVERAGE('Poli Stab'!BF25:BL25)</f>
        <v>-1.165821969509125</v>
      </c>
      <c r="O51" s="13">
        <f>AVERAGE(Inflation!BF25:BL25)</f>
        <v>6.1525056013519199</v>
      </c>
      <c r="P51" s="63" t="s">
        <v>49</v>
      </c>
      <c r="Q51" s="83">
        <v>307419</v>
      </c>
      <c r="R51" s="3">
        <f>22159820*0.91/0.75</f>
        <v>26887248.266666666</v>
      </c>
      <c r="S51" s="3">
        <v>34200000</v>
      </c>
      <c r="T51" s="6">
        <v>111662</v>
      </c>
      <c r="U51" s="6">
        <v>0</v>
      </c>
      <c r="V51" s="6">
        <v>6370</v>
      </c>
      <c r="W51" s="3">
        <v>19170000</v>
      </c>
      <c r="X51" s="3">
        <v>117000000</v>
      </c>
      <c r="Y51" s="3">
        <v>0</v>
      </c>
      <c r="Z51" s="89">
        <f t="shared" si="13"/>
        <v>87.461244316931172</v>
      </c>
      <c r="AA51" s="94">
        <f t="shared" si="17"/>
        <v>0.56052631578947365</v>
      </c>
      <c r="AB51" s="95">
        <f t="shared" si="14"/>
        <v>3.4210526315789473</v>
      </c>
      <c r="AC51" s="12" t="str">
        <f t="shared" si="18"/>
        <v/>
      </c>
      <c r="AD51" s="98">
        <f t="shared" si="15"/>
        <v>306.28145653848219</v>
      </c>
      <c r="AE51" s="84" t="str">
        <f t="shared" si="16"/>
        <v/>
      </c>
      <c r="AF51" s="7">
        <f t="shared" si="5"/>
        <v>0.78617684990253411</v>
      </c>
    </row>
    <row r="52" spans="1:32" x14ac:dyDescent="0.25">
      <c r="A52" t="s">
        <v>159</v>
      </c>
      <c r="B52" t="s">
        <v>159</v>
      </c>
      <c r="C52" s="17" t="s">
        <v>104</v>
      </c>
      <c r="G52" t="s">
        <v>160</v>
      </c>
      <c r="H52" t="e">
        <v>#VALUE!</v>
      </c>
      <c r="I52">
        <v>2014</v>
      </c>
      <c r="J52">
        <v>2017</v>
      </c>
      <c r="K52">
        <f t="shared" si="12"/>
        <v>4</v>
      </c>
      <c r="L52" t="s">
        <v>39</v>
      </c>
      <c r="M52" s="66" t="s">
        <v>40</v>
      </c>
      <c r="N52" s="13">
        <f>AVERAGE('Poli Stab'!BG33:BJ33)</f>
        <v>-0.28434941172599798</v>
      </c>
      <c r="O52" s="13">
        <f>AVERAGE(Inflation!BG33:BJ33)</f>
        <v>4.0680458825652419</v>
      </c>
      <c r="P52" s="63" t="s">
        <v>49</v>
      </c>
      <c r="Q52" s="5">
        <v>32000</v>
      </c>
      <c r="R52" s="3">
        <f>S52/AF52</f>
        <v>3073929.9610894942</v>
      </c>
      <c r="S52" s="3">
        <v>7900000</v>
      </c>
      <c r="T52" s="6">
        <v>0</v>
      </c>
      <c r="U52" s="6">
        <v>17000</v>
      </c>
      <c r="V52" s="6">
        <v>0</v>
      </c>
      <c r="W52" s="3">
        <v>0</v>
      </c>
      <c r="X52" s="3">
        <v>0</v>
      </c>
      <c r="Y52" s="3">
        <v>0</v>
      </c>
      <c r="Z52" s="89">
        <f t="shared" si="13"/>
        <v>96.060311284046691</v>
      </c>
      <c r="AA52" s="94" t="str">
        <f t="shared" si="17"/>
        <v/>
      </c>
      <c r="AB52" s="95" t="str">
        <f t="shared" si="14"/>
        <v/>
      </c>
      <c r="AC52" s="12" t="str">
        <f t="shared" si="18"/>
        <v/>
      </c>
      <c r="AD52" s="98" t="str">
        <f t="shared" si="15"/>
        <v/>
      </c>
      <c r="AE52" s="84">
        <f t="shared" si="16"/>
        <v>464.70588235294116</v>
      </c>
      <c r="AF52">
        <v>2.57</v>
      </c>
    </row>
    <row r="53" spans="1:32" x14ac:dyDescent="0.25">
      <c r="A53" t="s">
        <v>315</v>
      </c>
      <c r="B53" t="s">
        <v>316</v>
      </c>
      <c r="C53" s="17" t="s">
        <v>137</v>
      </c>
      <c r="D53" t="s">
        <v>610</v>
      </c>
      <c r="E53" t="s">
        <v>318</v>
      </c>
      <c r="G53" t="s">
        <v>319</v>
      </c>
      <c r="H53" t="e">
        <v>#VALUE!</v>
      </c>
      <c r="I53">
        <v>2012</v>
      </c>
      <c r="J53">
        <v>2015</v>
      </c>
      <c r="K53">
        <f t="shared" si="12"/>
        <v>4</v>
      </c>
      <c r="L53" t="s">
        <v>39</v>
      </c>
      <c r="M53" s="66" t="s">
        <v>115</v>
      </c>
      <c r="N53" s="13">
        <f>AVERAGE('Poli Stab'!BE126:BH126)</f>
        <v>-1.2534918189048749</v>
      </c>
      <c r="O53" s="13">
        <f>AVERAGE(Inflation!BE126:BH126)</f>
        <v>7.1388932228651472</v>
      </c>
      <c r="P53" s="63" t="s">
        <v>49</v>
      </c>
      <c r="Q53" s="5">
        <v>170200</v>
      </c>
      <c r="R53" s="3">
        <f>Q53*119*1.5815</f>
        <v>32031384.699999999</v>
      </c>
      <c r="S53" s="3">
        <v>30000000</v>
      </c>
      <c r="T53" s="6">
        <v>67000</v>
      </c>
      <c r="U53" s="6">
        <v>118</v>
      </c>
      <c r="V53" s="6">
        <v>0</v>
      </c>
      <c r="W53" s="114">
        <f>10000000*1.5815</f>
        <v>15814999.999999998</v>
      </c>
      <c r="X53" s="3">
        <v>0</v>
      </c>
      <c r="Y53" s="3">
        <v>0</v>
      </c>
      <c r="Z53" s="89">
        <f t="shared" si="13"/>
        <v>188.1985</v>
      </c>
      <c r="AA53" s="94">
        <f t="shared" si="17"/>
        <v>0.52716666666666656</v>
      </c>
      <c r="AB53" s="95" t="str">
        <f t="shared" si="14"/>
        <v/>
      </c>
      <c r="AC53" s="12" t="str">
        <f t="shared" si="18"/>
        <v/>
      </c>
      <c r="AD53" s="98">
        <f t="shared" si="15"/>
        <v>447.76119402985074</v>
      </c>
      <c r="AE53" s="84">
        <f t="shared" si="16"/>
        <v>254237.28813559323</v>
      </c>
      <c r="AF53" s="13">
        <f t="shared" ref="AF53:AF65" si="19">IF(R53&gt;0,R53/S53,"")</f>
        <v>1.0677128233333333</v>
      </c>
    </row>
    <row r="54" spans="1:32" ht="30" x14ac:dyDescent="0.25">
      <c r="A54" t="s">
        <v>203</v>
      </c>
      <c r="B54" t="s">
        <v>204</v>
      </c>
      <c r="C54" s="17" t="s">
        <v>205</v>
      </c>
      <c r="G54" t="s">
        <v>38</v>
      </c>
      <c r="H54" t="e">
        <v>#VALUE!</v>
      </c>
      <c r="I54">
        <v>2013</v>
      </c>
      <c r="J54">
        <v>2018</v>
      </c>
      <c r="K54">
        <f t="shared" si="12"/>
        <v>6</v>
      </c>
      <c r="L54" t="s">
        <v>39</v>
      </c>
      <c r="M54" s="66" t="s">
        <v>115</v>
      </c>
      <c r="N54" s="13">
        <f>AVERAGE('Poli Stab'!BF269:BK269)</f>
        <v>0.18240995580951372</v>
      </c>
      <c r="O54" s="13">
        <f>AVERAGE(Inflation!BF269:BK269)</f>
        <v>9.4727930050660962</v>
      </c>
      <c r="P54" s="63" t="s">
        <v>49</v>
      </c>
      <c r="Q54" s="5">
        <v>14300</v>
      </c>
      <c r="R54" s="3">
        <v>0</v>
      </c>
      <c r="S54" s="3">
        <v>13200000</v>
      </c>
      <c r="T54" s="6">
        <v>2880</v>
      </c>
      <c r="U54" s="6">
        <v>2900</v>
      </c>
      <c r="V54" s="6">
        <v>1160</v>
      </c>
      <c r="W54" s="3">
        <v>0</v>
      </c>
      <c r="X54" s="3">
        <v>0</v>
      </c>
      <c r="Y54" s="3">
        <v>0</v>
      </c>
      <c r="Z54" s="89">
        <f t="shared" si="13"/>
        <v>0</v>
      </c>
      <c r="AA54" s="94" t="str">
        <f t="shared" si="17"/>
        <v/>
      </c>
      <c r="AB54" s="95" t="str">
        <f t="shared" si="14"/>
        <v/>
      </c>
      <c r="AC54" s="12" t="str">
        <f t="shared" si="18"/>
        <v/>
      </c>
      <c r="AD54" s="98">
        <f t="shared" si="15"/>
        <v>4583.333333333333</v>
      </c>
      <c r="AE54" s="84">
        <f t="shared" si="16"/>
        <v>4551.7241379310344</v>
      </c>
      <c r="AF54" s="13" t="str">
        <f t="shared" si="19"/>
        <v/>
      </c>
    </row>
    <row r="55" spans="1:32" x14ac:dyDescent="0.25">
      <c r="A55" s="4" t="s">
        <v>207</v>
      </c>
      <c r="B55" t="s">
        <v>208</v>
      </c>
      <c r="C55" t="s">
        <v>104</v>
      </c>
      <c r="G55" t="s">
        <v>74</v>
      </c>
      <c r="H55" t="e">
        <v>#VALUE!</v>
      </c>
      <c r="I55">
        <v>2017</v>
      </c>
      <c r="J55">
        <v>2025</v>
      </c>
      <c r="K55">
        <f t="shared" si="12"/>
        <v>9</v>
      </c>
      <c r="L55" t="s">
        <v>209</v>
      </c>
      <c r="M55" s="66" t="s">
        <v>115</v>
      </c>
      <c r="N55" s="13">
        <f>AVERAGE('Poli Stab'!BJ266:BP266)</f>
        <v>-0.31180437334946232</v>
      </c>
      <c r="O55" s="13">
        <f>AVERAGE(Inflation!BJ266:BP266)</f>
        <v>3.6135397465801344</v>
      </c>
      <c r="P55" s="63" t="s">
        <v>49</v>
      </c>
      <c r="Q55" s="5">
        <f>4156+3144</f>
        <v>7300</v>
      </c>
      <c r="R55" s="3">
        <f>7000000+5160000</f>
        <v>12160000</v>
      </c>
      <c r="S55" s="3">
        <f>1680000*K55</f>
        <v>15120000</v>
      </c>
      <c r="T55" s="6">
        <f>1292+1362</f>
        <v>2654</v>
      </c>
      <c r="U55" s="6">
        <v>0</v>
      </c>
      <c r="V55" s="6">
        <v>272</v>
      </c>
      <c r="W55" s="3">
        <f>6500000+5500000</f>
        <v>12000000</v>
      </c>
      <c r="X55" s="3">
        <v>0</v>
      </c>
      <c r="Y55" s="3">
        <v>0</v>
      </c>
      <c r="Z55" s="89">
        <f t="shared" si="13"/>
        <v>1665.7534246575342</v>
      </c>
      <c r="AA55" s="94">
        <f t="shared" si="17"/>
        <v>0.79365079365079361</v>
      </c>
      <c r="AB55" s="95" t="str">
        <f t="shared" si="14"/>
        <v/>
      </c>
      <c r="AC55" s="12" t="str">
        <f t="shared" si="18"/>
        <v/>
      </c>
      <c r="AD55" s="98">
        <f t="shared" si="15"/>
        <v>5697.0610399397137</v>
      </c>
      <c r="AE55" s="84" t="str">
        <f t="shared" si="16"/>
        <v/>
      </c>
      <c r="AF55" s="13">
        <f t="shared" si="19"/>
        <v>0.80423280423280419</v>
      </c>
    </row>
    <row r="56" spans="1:32" ht="30" x14ac:dyDescent="0.25">
      <c r="A56" s="4" t="s">
        <v>223</v>
      </c>
      <c r="B56" t="s">
        <v>224</v>
      </c>
      <c r="C56" t="s">
        <v>104</v>
      </c>
      <c r="G56" t="s">
        <v>225</v>
      </c>
      <c r="H56" t="e">
        <v>#VALUE!</v>
      </c>
      <c r="I56">
        <v>2012</v>
      </c>
      <c r="J56">
        <v>2023</v>
      </c>
      <c r="K56">
        <f t="shared" si="12"/>
        <v>12</v>
      </c>
      <c r="L56" t="s">
        <v>226</v>
      </c>
      <c r="M56" s="63" t="s">
        <v>93</v>
      </c>
      <c r="N56" s="13">
        <f>AVERAGE('Poli Stab'!BE29:BP29)</f>
        <v>-0.38766857453932363</v>
      </c>
      <c r="O56" s="28">
        <f>AVERAGE(Inflation!BE29:BP29)</f>
        <v>1.8574519644443452</v>
      </c>
      <c r="P56" s="63" t="s">
        <v>49</v>
      </c>
      <c r="Q56" s="5">
        <v>774210</v>
      </c>
      <c r="R56" s="3">
        <v>0</v>
      </c>
      <c r="S56" s="3">
        <v>14520000</v>
      </c>
      <c r="T56" s="6">
        <v>4900</v>
      </c>
      <c r="U56" s="6">
        <v>0</v>
      </c>
      <c r="V56" s="6">
        <f>139+157</f>
        <v>296</v>
      </c>
      <c r="W56" s="3">
        <f>14500000+2900000</f>
        <v>17400000</v>
      </c>
      <c r="X56" s="3">
        <v>0</v>
      </c>
      <c r="Y56" s="3">
        <v>0</v>
      </c>
      <c r="Z56" s="89">
        <f t="shared" si="13"/>
        <v>0</v>
      </c>
      <c r="AA56" s="94">
        <f t="shared" si="17"/>
        <v>1.1983471074380165</v>
      </c>
      <c r="AB56" s="95" t="str">
        <f t="shared" si="14"/>
        <v/>
      </c>
      <c r="AC56" s="12" t="str">
        <f t="shared" si="18"/>
        <v/>
      </c>
      <c r="AD56" s="98">
        <f t="shared" si="15"/>
        <v>2963.2653061224491</v>
      </c>
      <c r="AE56" s="84" t="str">
        <f t="shared" si="16"/>
        <v/>
      </c>
      <c r="AF56" s="13" t="str">
        <f t="shared" si="19"/>
        <v/>
      </c>
    </row>
    <row r="57" spans="1:32" x14ac:dyDescent="0.25">
      <c r="A57" t="s">
        <v>270</v>
      </c>
      <c r="B57" t="s">
        <v>271</v>
      </c>
      <c r="C57" s="17" t="s">
        <v>104</v>
      </c>
      <c r="G57" t="s">
        <v>272</v>
      </c>
      <c r="H57" s="63" t="e">
        <v>#VALUE!</v>
      </c>
      <c r="I57">
        <v>2012</v>
      </c>
      <c r="J57">
        <v>2024</v>
      </c>
      <c r="K57">
        <f t="shared" si="12"/>
        <v>13</v>
      </c>
      <c r="L57" t="s">
        <v>273</v>
      </c>
      <c r="M57" s="66" t="s">
        <v>40</v>
      </c>
      <c r="N57" s="13">
        <f>AVERAGE('Poli Stab'!BE25:BP25)</f>
        <v>-1.1206384350856147</v>
      </c>
      <c r="O57" s="13">
        <f>AVERAGE(Inflation!BE25:BP25)</f>
        <v>6.5085191579095172</v>
      </c>
      <c r="P57" s="63" t="s">
        <v>49</v>
      </c>
      <c r="Q57" s="5">
        <v>203000</v>
      </c>
      <c r="R57" s="3">
        <v>38300000</v>
      </c>
      <c r="S57" s="3">
        <v>20900000</v>
      </c>
      <c r="T57" s="6">
        <v>0</v>
      </c>
      <c r="U57" s="6">
        <v>203000</v>
      </c>
      <c r="V57">
        <f>10+1600+3200+10</f>
        <v>4820</v>
      </c>
      <c r="W57" s="6">
        <v>0</v>
      </c>
      <c r="X57" s="3">
        <v>0</v>
      </c>
      <c r="Y57" s="3">
        <v>0</v>
      </c>
      <c r="Z57" s="89">
        <f t="shared" si="13"/>
        <v>188.66995073891624</v>
      </c>
      <c r="AA57" s="94" t="str">
        <f t="shared" si="17"/>
        <v/>
      </c>
      <c r="AB57" s="95" t="str">
        <f t="shared" si="14"/>
        <v/>
      </c>
      <c r="AC57" s="12" t="str">
        <f t="shared" si="18"/>
        <v/>
      </c>
      <c r="AD57" s="98" t="str">
        <f t="shared" si="15"/>
        <v/>
      </c>
      <c r="AE57" s="84">
        <f t="shared" si="16"/>
        <v>102.95566502463055</v>
      </c>
      <c r="AF57" s="13">
        <f t="shared" si="19"/>
        <v>1.832535885167464</v>
      </c>
    </row>
    <row r="58" spans="1:32" x14ac:dyDescent="0.25">
      <c r="A58" t="s">
        <v>187</v>
      </c>
      <c r="B58" t="s">
        <v>188</v>
      </c>
      <c r="C58" s="17" t="s">
        <v>137</v>
      </c>
      <c r="G58" t="s">
        <v>189</v>
      </c>
      <c r="H58" t="e">
        <v>#VALUE!</v>
      </c>
      <c r="I58">
        <v>2013</v>
      </c>
      <c r="J58">
        <v>2017</v>
      </c>
      <c r="K58">
        <f t="shared" si="12"/>
        <v>5</v>
      </c>
      <c r="L58" t="s">
        <v>39</v>
      </c>
      <c r="M58" s="66" t="s">
        <v>40</v>
      </c>
      <c r="N58" s="13">
        <f>AVERAGE('Poli Stab'!BF251:BJ251)</f>
        <v>-0.4402217984199524</v>
      </c>
      <c r="O58" s="13">
        <f>AVERAGE(Inflation!BF251:BJ251)</f>
        <v>6.0167979701033847</v>
      </c>
      <c r="P58" s="63" t="s">
        <v>49</v>
      </c>
      <c r="Q58" s="5">
        <v>77200</v>
      </c>
      <c r="R58" s="3">
        <v>0</v>
      </c>
      <c r="S58" s="3">
        <v>11500000</v>
      </c>
      <c r="T58" s="6">
        <v>0</v>
      </c>
      <c r="U58" s="6">
        <v>77200</v>
      </c>
      <c r="V58" s="6">
        <v>89</v>
      </c>
      <c r="W58" s="6">
        <v>722300</v>
      </c>
      <c r="X58" s="3">
        <v>0</v>
      </c>
      <c r="Y58" s="3">
        <v>0</v>
      </c>
      <c r="Z58" s="89">
        <f t="shared" si="13"/>
        <v>0</v>
      </c>
      <c r="AA58" s="94">
        <f t="shared" si="17"/>
        <v>6.280869565217391E-2</v>
      </c>
      <c r="AB58" s="95" t="str">
        <f t="shared" si="14"/>
        <v/>
      </c>
      <c r="AC58" s="12" t="str">
        <f t="shared" si="18"/>
        <v/>
      </c>
      <c r="AD58" s="98" t="str">
        <f t="shared" si="15"/>
        <v/>
      </c>
      <c r="AE58" s="84">
        <f t="shared" si="16"/>
        <v>148.96373056994818</v>
      </c>
      <c r="AF58" s="13" t="str">
        <f t="shared" si="19"/>
        <v/>
      </c>
    </row>
    <row r="59" spans="1:32" x14ac:dyDescent="0.25">
      <c r="A59" t="s">
        <v>112</v>
      </c>
      <c r="B59" t="s">
        <v>113</v>
      </c>
      <c r="C59" s="17" t="s">
        <v>104</v>
      </c>
      <c r="G59" t="s">
        <v>74</v>
      </c>
      <c r="H59" t="e">
        <v>#VALUE!</v>
      </c>
      <c r="I59">
        <v>2015</v>
      </c>
      <c r="J59">
        <v>2019</v>
      </c>
      <c r="K59">
        <f t="shared" si="12"/>
        <v>5</v>
      </c>
      <c r="L59" t="s">
        <v>114</v>
      </c>
      <c r="M59" s="66" t="s">
        <v>115</v>
      </c>
      <c r="N59" s="13">
        <f>AVERAGE('Poli Stab'!BH162:BL162)</f>
        <v>-0.22211006972938768</v>
      </c>
      <c r="O59" s="13">
        <f>AVERAGE(Inflation!BH162:BL162)</f>
        <v>0.60743203839786963</v>
      </c>
      <c r="P59" s="63" t="s">
        <v>49</v>
      </c>
      <c r="Q59" s="5">
        <v>3036</v>
      </c>
      <c r="R59" s="3">
        <f>1625114*0.98</f>
        <v>1592611.72</v>
      </c>
      <c r="S59" s="3">
        <f>6250000*0.98</f>
        <v>6125000</v>
      </c>
      <c r="T59" s="6">
        <v>2939</v>
      </c>
      <c r="U59" s="6">
        <v>5024</v>
      </c>
      <c r="V59" s="6">
        <v>172</v>
      </c>
      <c r="W59" s="6">
        <f>961350*0.98</f>
        <v>942123</v>
      </c>
      <c r="X59" s="3">
        <f>6702140*0.98</f>
        <v>6568097.2000000002</v>
      </c>
      <c r="Y59" s="3">
        <v>0</v>
      </c>
      <c r="Z59" s="127">
        <f t="shared" si="13"/>
        <v>524.57566534914361</v>
      </c>
      <c r="AA59" s="94">
        <f t="shared" si="17"/>
        <v>0.15381600000000001</v>
      </c>
      <c r="AB59" s="95">
        <f t="shared" si="14"/>
        <v>1.0723424000000001</v>
      </c>
      <c r="AC59" s="12" t="str">
        <f t="shared" si="18"/>
        <v/>
      </c>
      <c r="AD59" s="98">
        <f t="shared" si="15"/>
        <v>2084.0421912215038</v>
      </c>
      <c r="AE59" s="84">
        <f t="shared" si="16"/>
        <v>1219.1480891719746</v>
      </c>
      <c r="AF59" s="13">
        <f t="shared" si="19"/>
        <v>0.26001824000000001</v>
      </c>
    </row>
    <row r="60" spans="1:32" x14ac:dyDescent="0.25">
      <c r="A60" t="s">
        <v>373</v>
      </c>
      <c r="B60" s="18" t="s">
        <v>374</v>
      </c>
      <c r="C60" s="17" t="s">
        <v>137</v>
      </c>
      <c r="G60" t="s">
        <v>172</v>
      </c>
      <c r="H60" t="e">
        <v>#VALUE!</v>
      </c>
      <c r="I60">
        <v>2009</v>
      </c>
      <c r="J60">
        <v>2017</v>
      </c>
      <c r="K60">
        <f t="shared" si="12"/>
        <v>9</v>
      </c>
      <c r="L60" t="s">
        <v>375</v>
      </c>
      <c r="M60" s="66" t="s">
        <v>115</v>
      </c>
      <c r="N60" s="13">
        <f>AVERAGE('Poli Stab'!BB179:BJ179)</f>
        <v>-2.0239191187752623</v>
      </c>
      <c r="O60" s="13">
        <f>AVERAGE(Inflation!BB179:BJ179)</f>
        <v>11.89774460578583</v>
      </c>
      <c r="P60" s="63" t="s">
        <v>42</v>
      </c>
      <c r="Q60" s="5">
        <v>2104291</v>
      </c>
      <c r="R60" s="114">
        <f>703639765*1.29</f>
        <v>907695296.85000002</v>
      </c>
      <c r="S60" s="3">
        <f>(5997032+12798726+16848920)*1.52</f>
        <v>54179910.560000002</v>
      </c>
      <c r="T60" s="6">
        <v>32432</v>
      </c>
      <c r="U60" s="5">
        <v>2104291</v>
      </c>
      <c r="V60" s="6">
        <v>591397</v>
      </c>
      <c r="W60" s="6">
        <v>0</v>
      </c>
      <c r="X60" s="3">
        <f>365309021*1.52</f>
        <v>555269711.91999996</v>
      </c>
      <c r="Y60" s="3">
        <v>0</v>
      </c>
      <c r="Z60" s="130">
        <f t="shared" si="13"/>
        <v>431.35445470707236</v>
      </c>
      <c r="AA60" s="12" t="str">
        <f t="shared" si="17"/>
        <v/>
      </c>
      <c r="AB60" s="12">
        <f t="shared" si="14"/>
        <v>10.248627326637653</v>
      </c>
      <c r="AC60" s="12" t="str">
        <f t="shared" si="18"/>
        <v/>
      </c>
      <c r="AD60" s="131">
        <f t="shared" si="15"/>
        <v>1670.5695165268871</v>
      </c>
      <c r="AE60" s="3">
        <f t="shared" si="16"/>
        <v>25.747346997159614</v>
      </c>
      <c r="AF60" s="13">
        <f t="shared" si="19"/>
        <v>16.753355394427953</v>
      </c>
    </row>
    <row r="61" spans="1:32" x14ac:dyDescent="0.25">
      <c r="A61" t="s">
        <v>169</v>
      </c>
      <c r="B61" t="s">
        <v>170</v>
      </c>
      <c r="C61" s="17" t="s">
        <v>171</v>
      </c>
      <c r="G61" t="s">
        <v>172</v>
      </c>
      <c r="H61" t="e">
        <v>#VALUE!</v>
      </c>
      <c r="I61">
        <v>2012</v>
      </c>
      <c r="J61">
        <v>2017</v>
      </c>
      <c r="K61">
        <f t="shared" si="12"/>
        <v>6</v>
      </c>
      <c r="L61" t="s">
        <v>39</v>
      </c>
      <c r="M61" s="66" t="s">
        <v>40</v>
      </c>
      <c r="N61" s="13">
        <f>AVERAGE('Poli Stab'!BE252:BJ252)</f>
        <v>-0.79026403029759706</v>
      </c>
      <c r="O61" s="13">
        <f>AVERAGE(Inflation!BE252:BJ252)</f>
        <v>6.1942885561365557</v>
      </c>
      <c r="P61" s="63" t="s">
        <v>49</v>
      </c>
      <c r="Q61" s="5">
        <v>49287</v>
      </c>
      <c r="R61" s="3">
        <v>0</v>
      </c>
      <c r="S61" s="3">
        <v>10000000</v>
      </c>
      <c r="T61" s="6">
        <v>0</v>
      </c>
      <c r="U61" s="5">
        <v>49287</v>
      </c>
      <c r="V61" s="6">
        <v>3280</v>
      </c>
      <c r="W61" s="6">
        <v>1831173</v>
      </c>
      <c r="X61" s="3">
        <v>1150000</v>
      </c>
      <c r="Y61" s="3">
        <v>0</v>
      </c>
      <c r="Z61" s="130">
        <f t="shared" si="13"/>
        <v>0</v>
      </c>
      <c r="AA61" s="12">
        <f t="shared" si="17"/>
        <v>0.18311730000000001</v>
      </c>
      <c r="AB61" s="12">
        <f t="shared" si="14"/>
        <v>0.115</v>
      </c>
      <c r="AC61" s="12" t="str">
        <f t="shared" si="18"/>
        <v/>
      </c>
      <c r="AD61" s="131" t="str">
        <f t="shared" si="15"/>
        <v/>
      </c>
      <c r="AE61" s="3">
        <f t="shared" si="16"/>
        <v>202.89325785704142</v>
      </c>
      <c r="AF61" s="13" t="str">
        <f t="shared" si="19"/>
        <v/>
      </c>
    </row>
    <row r="62" spans="1:32" x14ac:dyDescent="0.25">
      <c r="A62" s="4" t="s">
        <v>285</v>
      </c>
      <c r="B62" t="s">
        <v>286</v>
      </c>
      <c r="C62" t="s">
        <v>609</v>
      </c>
      <c r="G62" t="s">
        <v>200</v>
      </c>
      <c r="H62" t="e">
        <v>#VALUE!</v>
      </c>
      <c r="I62">
        <v>2013</v>
      </c>
      <c r="J62">
        <v>2022</v>
      </c>
      <c r="K62">
        <f t="shared" si="12"/>
        <v>10</v>
      </c>
      <c r="L62" t="s">
        <v>39</v>
      </c>
      <c r="M62" s="66" t="s">
        <v>40</v>
      </c>
      <c r="N62" s="13">
        <f>AVERAGE('Poli Stab'!BF136:BJ136)</f>
        <v>-0.53405618071556105</v>
      </c>
      <c r="O62" s="13">
        <f>AVERAGE(Inflation!BF136:BJ136)</f>
        <v>9.288199524690981</v>
      </c>
      <c r="P62" s="63" t="s">
        <v>49</v>
      </c>
      <c r="Q62" s="5">
        <v>39200</v>
      </c>
      <c r="R62" s="3">
        <v>13734000</v>
      </c>
      <c r="S62" s="3">
        <v>22000000</v>
      </c>
      <c r="T62" s="6">
        <v>5630</v>
      </c>
      <c r="U62" s="5">
        <v>39200</v>
      </c>
      <c r="V62" s="6">
        <v>242</v>
      </c>
      <c r="W62" s="3">
        <v>3772000</v>
      </c>
      <c r="X62" s="3">
        <v>4957000</v>
      </c>
      <c r="Y62" s="3">
        <v>3534000</v>
      </c>
      <c r="Z62" s="130">
        <f t="shared" si="13"/>
        <v>350.35714285714283</v>
      </c>
      <c r="AA62" s="12">
        <f t="shared" si="17"/>
        <v>0.17145454545454544</v>
      </c>
      <c r="AB62" s="12">
        <f t="shared" si="14"/>
        <v>0.22531818181818181</v>
      </c>
      <c r="AC62" s="12">
        <f t="shared" si="18"/>
        <v>0.16063636363636363</v>
      </c>
      <c r="AD62" s="131">
        <f t="shared" si="15"/>
        <v>3907.6376554174067</v>
      </c>
      <c r="AE62" s="3">
        <f t="shared" si="16"/>
        <v>561.22448979591832</v>
      </c>
      <c r="AF62" s="13">
        <f t="shared" si="19"/>
        <v>0.62427272727272731</v>
      </c>
    </row>
    <row r="63" spans="1:32" x14ac:dyDescent="0.25">
      <c r="A63" t="s">
        <v>366</v>
      </c>
      <c r="B63" t="s">
        <v>367</v>
      </c>
      <c r="C63" s="17" t="s">
        <v>137</v>
      </c>
      <c r="G63" t="s">
        <v>368</v>
      </c>
      <c r="H63" t="s">
        <v>369</v>
      </c>
      <c r="I63">
        <v>2014</v>
      </c>
      <c r="J63">
        <v>2019</v>
      </c>
      <c r="K63">
        <f t="shared" si="12"/>
        <v>6</v>
      </c>
      <c r="L63" t="s">
        <v>39</v>
      </c>
      <c r="M63" s="66" t="s">
        <v>115</v>
      </c>
      <c r="N63" s="113"/>
      <c r="O63" s="133"/>
      <c r="P63" s="63" t="s">
        <v>240</v>
      </c>
      <c r="Q63" s="5">
        <v>748148</v>
      </c>
      <c r="R63" s="3">
        <f>35355545*1.405</f>
        <v>49674540.725000001</v>
      </c>
      <c r="S63" s="3">
        <v>51100000</v>
      </c>
      <c r="T63" s="6">
        <v>70098</v>
      </c>
      <c r="U63" s="6">
        <v>0</v>
      </c>
      <c r="V63" s="6">
        <v>214</v>
      </c>
      <c r="W63" s="6">
        <v>0</v>
      </c>
      <c r="X63" s="6">
        <v>0</v>
      </c>
      <c r="Y63" s="6">
        <v>0</v>
      </c>
      <c r="Z63" s="130">
        <f t="shared" si="13"/>
        <v>66.396676493153763</v>
      </c>
      <c r="AA63" s="12" t="str">
        <f t="shared" si="17"/>
        <v/>
      </c>
      <c r="AB63" s="12" t="str">
        <f t="shared" si="14"/>
        <v/>
      </c>
      <c r="AC63" s="12" t="str">
        <f t="shared" si="18"/>
        <v/>
      </c>
      <c r="AD63" s="131">
        <f t="shared" si="15"/>
        <v>728.97942879968048</v>
      </c>
      <c r="AE63" s="3" t="str">
        <f t="shared" si="16"/>
        <v/>
      </c>
      <c r="AF63" s="13">
        <f t="shared" si="19"/>
        <v>0.97210451516634055</v>
      </c>
    </row>
    <row r="64" spans="1:32" ht="14.45" customHeight="1" x14ac:dyDescent="0.25">
      <c r="A64" s="4" t="s">
        <v>325</v>
      </c>
      <c r="B64" t="s">
        <v>326</v>
      </c>
      <c r="C64" s="17" t="s">
        <v>104</v>
      </c>
      <c r="D64" s="17" t="s">
        <v>327</v>
      </c>
      <c r="E64" s="17"/>
      <c r="F64" s="17"/>
      <c r="G64" s="17" t="s">
        <v>612</v>
      </c>
      <c r="H64" s="63" t="s">
        <v>328</v>
      </c>
      <c r="I64" s="4">
        <v>2017</v>
      </c>
      <c r="J64">
        <v>2022</v>
      </c>
      <c r="K64" s="66">
        <f t="shared" si="12"/>
        <v>6</v>
      </c>
      <c r="L64" s="4" t="s">
        <v>39</v>
      </c>
      <c r="M64" s="63" t="s">
        <v>329</v>
      </c>
      <c r="N64" s="72">
        <f>(AVERAGE('Poli Stab'!BJ15:BO15)+AVERAGE('Poli Stab'!BJ20:BO20)+AVERAGE('Poli Stab'!BJ87:BO87))/3</f>
        <v>-0.62222512728638124</v>
      </c>
      <c r="O64" s="28">
        <f>(AVERAGE(Inflation!BJ15:BO15)+AVERAGE(Inflation!BJ20:BO20)+AVERAGE(Inflation!BJ87:BO87))/3</f>
        <v>5.7343792473968733</v>
      </c>
      <c r="P64" s="63" t="s">
        <v>49</v>
      </c>
      <c r="Q64" s="5">
        <v>2151000</v>
      </c>
      <c r="R64" s="84">
        <f>30570000+9810000+3490000</f>
        <v>43870000</v>
      </c>
      <c r="S64" s="3">
        <f>7820000*1.0423</f>
        <v>8150786</v>
      </c>
      <c r="T64" s="89">
        <v>806</v>
      </c>
      <c r="U64" s="107">
        <v>0</v>
      </c>
      <c r="V64" s="6">
        <f>41</f>
        <v>41</v>
      </c>
      <c r="W64" s="108">
        <v>0</v>
      </c>
      <c r="X64" s="84">
        <v>0</v>
      </c>
      <c r="Y64" s="84">
        <v>1319700</v>
      </c>
      <c r="Z64" s="89">
        <f t="shared" si="13"/>
        <v>20.395165039516503</v>
      </c>
      <c r="AA64" s="94" t="str">
        <f t="shared" si="17"/>
        <v/>
      </c>
      <c r="AB64" s="95" t="str">
        <f t="shared" si="14"/>
        <v/>
      </c>
      <c r="AC64" s="12">
        <f t="shared" si="18"/>
        <v>0.16191076541575256</v>
      </c>
      <c r="AD64" s="98">
        <f t="shared" si="15"/>
        <v>10112.637717121588</v>
      </c>
      <c r="AE64" s="84" t="str">
        <f t="shared" si="16"/>
        <v/>
      </c>
      <c r="AF64" s="7">
        <f t="shared" si="19"/>
        <v>5.3823030073418687</v>
      </c>
    </row>
    <row r="65" spans="1:32" ht="14.45" customHeight="1" x14ac:dyDescent="0.25">
      <c r="A65" s="4" t="s">
        <v>260</v>
      </c>
      <c r="B65" t="s">
        <v>261</v>
      </c>
      <c r="C65" s="17" t="s">
        <v>137</v>
      </c>
      <c r="D65" s="17"/>
      <c r="E65" s="17"/>
      <c r="F65" s="17"/>
      <c r="G65" s="17" t="s">
        <v>230</v>
      </c>
      <c r="H65" s="66" t="e">
        <v>#VALUE!</v>
      </c>
      <c r="I65" s="4">
        <v>2013</v>
      </c>
      <c r="J65">
        <v>2020</v>
      </c>
      <c r="K65" s="66">
        <f t="shared" si="12"/>
        <v>8</v>
      </c>
      <c r="L65" s="4" t="s">
        <v>39</v>
      </c>
      <c r="M65" s="63" t="s">
        <v>40</v>
      </c>
      <c r="N65" s="72">
        <f>AVERAGE('Poli Stab'!BF88:BM88)</f>
        <v>1.3810529373586086E-2</v>
      </c>
      <c r="O65" s="28">
        <f>AVERAGE(Inflation!BF88:BM88)</f>
        <v>12.371503607649888</v>
      </c>
      <c r="P65" s="63" t="s">
        <v>49</v>
      </c>
      <c r="Q65" s="5">
        <f>139000+70000</f>
        <v>209000</v>
      </c>
      <c r="R65" s="84">
        <f>658*1.1787*109867</f>
        <v>85211153.248199999</v>
      </c>
      <c r="S65" s="3">
        <v>19000000</v>
      </c>
      <c r="T65" s="4">
        <v>0</v>
      </c>
      <c r="U65" s="101">
        <f>139000+70000</f>
        <v>209000</v>
      </c>
      <c r="V65">
        <v>114</v>
      </c>
      <c r="W65" s="108">
        <f>54900000*1.285</f>
        <v>70546500</v>
      </c>
      <c r="X65" s="84">
        <v>0</v>
      </c>
      <c r="Y65" s="84">
        <v>0</v>
      </c>
      <c r="Z65" s="89">
        <f t="shared" si="13"/>
        <v>407.70886721626795</v>
      </c>
      <c r="AA65" s="94">
        <f t="shared" si="17"/>
        <v>3.7129736842105263</v>
      </c>
      <c r="AB65" s="95" t="str">
        <f t="shared" si="14"/>
        <v/>
      </c>
      <c r="AC65" s="12" t="str">
        <f t="shared" si="18"/>
        <v/>
      </c>
      <c r="AD65" s="98" t="str">
        <f t="shared" si="15"/>
        <v/>
      </c>
      <c r="AE65" s="84">
        <f t="shared" si="16"/>
        <v>90.909090909090907</v>
      </c>
      <c r="AF65" s="7">
        <f t="shared" si="19"/>
        <v>4.4847975393789472</v>
      </c>
    </row>
    <row r="71" spans="1:32" x14ac:dyDescent="0.25">
      <c r="A71" s="124" t="s">
        <v>1593</v>
      </c>
    </row>
    <row r="72" spans="1:32" ht="86.45" customHeight="1" x14ac:dyDescent="0.25">
      <c r="A72" s="2" t="s">
        <v>632</v>
      </c>
      <c r="B72" s="19" t="s">
        <v>26</v>
      </c>
      <c r="C72" s="23" t="s">
        <v>27</v>
      </c>
      <c r="D72" s="23" t="s">
        <v>28</v>
      </c>
      <c r="E72" s="19" t="s">
        <v>1585</v>
      </c>
      <c r="F72" s="23" t="s">
        <v>30</v>
      </c>
      <c r="G72" s="23" t="s">
        <v>32</v>
      </c>
      <c r="H72" s="19" t="s">
        <v>34</v>
      </c>
    </row>
    <row r="73" spans="1:32" x14ac:dyDescent="0.25">
      <c r="A73" s="40" t="s">
        <v>1594</v>
      </c>
      <c r="B73" s="41">
        <f>AVERAGE(Z5:Z71)</f>
        <v>190.02222860216375</v>
      </c>
      <c r="C73" s="55">
        <f>AVERAGE(AA5:AA71)</f>
        <v>1.7675063863629048</v>
      </c>
      <c r="D73" s="55">
        <f>AVERAGE(AB5:AB72)</f>
        <v>2.7729136096074321</v>
      </c>
      <c r="E73" s="55">
        <f>AVERAGE(AC5:AC72)</f>
        <v>2.3855967292662359</v>
      </c>
      <c r="F73" s="41">
        <f>AVERAGE(AD5:AD72)</f>
        <v>14541.262932536518</v>
      </c>
      <c r="G73" s="41">
        <f>AVERAGE(AE5:AE72)</f>
        <v>8020.8278867700874</v>
      </c>
      <c r="H73" s="57">
        <f>AVERAGE(AF5:AF72)</f>
        <v>2.3303580538784123</v>
      </c>
    </row>
    <row r="74" spans="1:32" x14ac:dyDescent="0.25">
      <c r="A74" s="8" t="s">
        <v>1595</v>
      </c>
      <c r="B74" s="9">
        <f>AVERAGEIF($L$5:$L$71, "Agriculture", Z5:Z71)</f>
        <v>198.38720353909827</v>
      </c>
      <c r="C74" s="56">
        <f>AVERAGEIF($L$5:$L$71, "Agriculture", AA5:AA71)</f>
        <v>1.0573661566119612</v>
      </c>
      <c r="D74" s="56">
        <f>AVERAGEIF($L$5:$L$71, "Agriculture", AB5:AB72)</f>
        <v>3.1589859580639885</v>
      </c>
      <c r="E74" s="56">
        <f>AVERAGEIF($L$5:$L$71, "Agriculture", AC5:AC72)</f>
        <v>2.3855967292662359</v>
      </c>
      <c r="F74" s="9">
        <f>AVERAGEIF($L$5:$L$71, "Agriculture", AD5:AD72)</f>
        <v>8016.1308242679461</v>
      </c>
      <c r="G74" s="9">
        <f>AVERAGEIF($L$5:$L$71, "Agriculture", AE5:AE72)</f>
        <v>10347.455107275076</v>
      </c>
      <c r="H74" s="58">
        <f>AVERAGEIF($L$5:$L$71, "Agriculture", AF5:AF72)</f>
        <v>1.9794431812429394</v>
      </c>
    </row>
    <row r="75" spans="1:32" x14ac:dyDescent="0.25">
      <c r="A75" s="10" t="s">
        <v>1596</v>
      </c>
      <c r="B75" s="11">
        <f>AVERAGEIF($L$5:$L$71, "&lt;&gt;Agriculture", Z5:Z71)</f>
        <v>176.20183522809805</v>
      </c>
      <c r="C75" s="54">
        <f>AVERAGEIF($L$5:$L$71, "&lt;&gt;Agriculture", AA5:AA71)</f>
        <v>2.809045389997622</v>
      </c>
      <c r="D75" s="54">
        <f>AVERAGEIF($L$5:$L$71, "&lt;&gt;Agriculture", AB5:AB72)</f>
        <v>2.2903231740367374</v>
      </c>
      <c r="E75" s="54" t="e">
        <f>AVERAGEIF($L$5:$L$71, "&lt;&gt;Agriculture", AC5:AC72)</f>
        <v>#DIV/0!</v>
      </c>
      <c r="F75" s="11">
        <f>AVERAGEIF($L$5:$L$71, "&lt;&gt;Agriculture", AD5:AD72)</f>
        <v>19531.069838859545</v>
      </c>
      <c r="G75" s="11">
        <f>AVERAGEIF($L$5:$L$71, "&lt;&gt;Agriculture", AE5:AE72)</f>
        <v>3949.2302508863595</v>
      </c>
      <c r="H75" s="59">
        <f>AVERAGEIF($L$5:$L$71, "&lt;&gt;Agriculture", AF5:AF72)</f>
        <v>3.2778282099941904</v>
      </c>
    </row>
    <row r="76" spans="1:32" x14ac:dyDescent="0.25">
      <c r="A76" s="2" t="s">
        <v>1597</v>
      </c>
      <c r="B76" s="60"/>
      <c r="C76" s="61"/>
      <c r="D76" s="61"/>
      <c r="E76" s="61"/>
      <c r="F76" s="60"/>
      <c r="G76" s="60"/>
      <c r="H76" s="61"/>
    </row>
    <row r="77" spans="1:32" x14ac:dyDescent="0.25">
      <c r="A77" s="40" t="s">
        <v>1598</v>
      </c>
      <c r="B77" s="41">
        <f ca="1">AVERAGEIF($C$5:$F$71, "FCDO", Z5:Z71)</f>
        <v>121.75625604760658</v>
      </c>
      <c r="C77" s="55">
        <f ca="1">AVERAGEIF($C$5:$F$71, "FCDO", AA5:AA71)</f>
        <v>3.7274959027866896</v>
      </c>
      <c r="D77" s="55">
        <f ca="1">AVERAGEIF($C$5:$F$71, "FCDO", AB5:AB72)</f>
        <v>2.1811503538739467</v>
      </c>
      <c r="E77" s="55">
        <f ca="1">AVERAGEIF($C$5:$F$71, "FCDO", $AC$5:$AC$71)</f>
        <v>0.14753872287399838</v>
      </c>
      <c r="F77" s="41">
        <f ca="1">AVERAGEIF($C$5:$F$71, "FCDO", AD5:AD72)</f>
        <v>18224.783053590836</v>
      </c>
      <c r="G77" s="41">
        <f ca="1">AVERAGEIF($C$5:$F$71, "FCDO", AE5:AE72)</f>
        <v>23601.868751429025</v>
      </c>
      <c r="H77" s="57">
        <f ca="1">AVERAGEIF($C$5:$F$71, "FCDO", AF5:AF72)</f>
        <v>3.0319716934890022</v>
      </c>
    </row>
    <row r="78" spans="1:32" x14ac:dyDescent="0.25">
      <c r="A78" s="8" t="s">
        <v>1599</v>
      </c>
      <c r="B78" s="9">
        <f ca="1">AVERAGEIF($C$5:$F$71, "SDC", Z5:Z71)</f>
        <v>358.46747166830852</v>
      </c>
      <c r="C78" s="56">
        <f ca="1">AVERAGEIF($C$5:$F$71, "SDC", AA5:AA71)</f>
        <v>1.0172437305788742</v>
      </c>
      <c r="D78" s="56">
        <f ca="1">AVERAGEIF($C$5:$F$71, "SDC", AB5:AB72)</f>
        <v>3.4414819600417199</v>
      </c>
      <c r="E78" s="56">
        <f ca="1">AVERAGEIF($C$5:$F$71,"SDC", $AC$5:$AC$71)</f>
        <v>190.05397025513858</v>
      </c>
      <c r="F78" s="9">
        <f ca="1">AVERAGEIF($C$5:$F$71, "SDC", AD5:AD72)</f>
        <v>4997.2768743376337</v>
      </c>
      <c r="G78" s="9">
        <f ca="1">AVERAGEIF($C$5:$F$71, "SDC", AE5:AE72)</f>
        <v>2335.0831183680612</v>
      </c>
      <c r="H78" s="58">
        <f ca="1">AVERAGEIF($C$5:$F$71, "SDC", AF5:AF72)</f>
        <v>1.92042686102988</v>
      </c>
    </row>
    <row r="79" spans="1:32" x14ac:dyDescent="0.25">
      <c r="A79" s="8" t="s">
        <v>1600</v>
      </c>
      <c r="B79" s="9">
        <f ca="1">AVERAGEIF($C$5:$F$71, "DFAT", Z5:Z71)</f>
        <v>210.86695320800791</v>
      </c>
      <c r="C79" s="56">
        <f ca="1">AVERAGEIF($C$5:$F$71, "DFAT", AA5:AA71)</f>
        <v>0.7144184701071441</v>
      </c>
      <c r="D79" s="56">
        <f ca="1">AVERAGEIF($C$5:$F$71, "DFAT", AB5:AB72)</f>
        <v>2.1066535054411974</v>
      </c>
      <c r="E79" s="9" t="e">
        <f ca="1">AVERAGEIF($C$5:$F$71, "DFAT", $AC$5:$AC$72)</f>
        <v>#DIV/0!</v>
      </c>
      <c r="F79" s="9">
        <f ca="1">AVERAGEIF($C$5:$F$71, "DFAT", AD5:AD72)</f>
        <v>33471.359137070809</v>
      </c>
      <c r="G79" s="9">
        <f ca="1">AVERAGEIF($C$5:$F$71, "DFAT", AE5:AE72)</f>
        <v>1420.2480367892567</v>
      </c>
      <c r="H79" s="58">
        <f ca="1">AVERAGEIF($C$5:$F$71, "DFAT", AF5:AF72)</f>
        <v>2.7231865217036666</v>
      </c>
    </row>
    <row r="80" spans="1:32" x14ac:dyDescent="0.25">
      <c r="A80" s="8" t="s">
        <v>1601</v>
      </c>
      <c r="B80" s="9">
        <f ca="1">AVERAGEIF($C$5:$F$71, "USAID", Z5:Z71)</f>
        <v>50.43510600624338</v>
      </c>
      <c r="C80" s="56">
        <f ca="1">AVERAGEIF($C$5:$F$71, "USAID", AA5:AA71)</f>
        <v>0.24603519119965686</v>
      </c>
      <c r="D80" s="56">
        <f ca="1">AVERAGEIF($C$5:$F$71, "USAID", AB5:AB72)</f>
        <v>4.9632582364863804</v>
      </c>
      <c r="E80" s="56">
        <f ca="1">AVERAGEIF($C$5:$F$71, "USAID", $AC$5:$AC$72)</f>
        <v>15.494013807189543</v>
      </c>
      <c r="F80" s="9">
        <f ca="1">AVERAGEIF($C$5:$F$71, "USAID", AD5:AD72)</f>
        <v>6328.1583711767917</v>
      </c>
      <c r="G80" s="9">
        <f ca="1">AVERAGEIF($C$5:$F$71, "USAID", AE5:AE72)</f>
        <v>1926.7741398455514</v>
      </c>
      <c r="H80" s="58">
        <f ca="1">AVERAGEIF($C$5:$F$71, "USAID", AF5:AF72)</f>
        <v>2.2828574803285449</v>
      </c>
    </row>
    <row r="81" spans="1:8" x14ac:dyDescent="0.25">
      <c r="A81" s="8" t="s">
        <v>1602</v>
      </c>
      <c r="B81" s="9">
        <f ca="1">AVERAGEIF($C$5:$F$71, "SIDA", Z5:Z71)</f>
        <v>128.15361159847834</v>
      </c>
      <c r="C81" s="9">
        <f ca="1">AVERAGEIF($C$5:$F$71, "SIDA", AA5:AA71)</f>
        <v>0.11011751662971175</v>
      </c>
      <c r="D81" s="56">
        <f ca="1">AVERAGEIF($C$5:$F$71, "SIDA", AB5:AB72)</f>
        <v>190.07510606060609</v>
      </c>
      <c r="E81" s="56">
        <f ca="1">AVERAGEIF($C$5:$F$71, "SIDA", $AC$5:$AC$72)</f>
        <v>25.311323112073111</v>
      </c>
      <c r="F81" s="9">
        <f ca="1">AVERAGEIF($C$5:$F$71, "SIDA", AD5:AD72)</f>
        <v>1405.4779947856155</v>
      </c>
      <c r="G81" s="9">
        <f ca="1">AVERAGEIF($C$5:$F$71, "SIDA", AE5:AE72)</f>
        <v>501.15134708382703</v>
      </c>
      <c r="H81" s="58">
        <f ca="1">AVERAGEIF($C$5:$F$71, "SIDA", AF5:AF72)</f>
        <v>1.0690512572533848</v>
      </c>
    </row>
    <row r="82" spans="1:8" x14ac:dyDescent="0.25">
      <c r="A82" s="10" t="s">
        <v>1603</v>
      </c>
      <c r="B82" s="11">
        <f ca="1">AVERAGEIF($C$5:$F$71, "EU", Z5:Z71)</f>
        <v>18.5</v>
      </c>
      <c r="C82" s="54">
        <f ca="1">AVERAGEIF($C$5:$F$71, "EU", AA5:AA71)</f>
        <v>3.0668809989747245</v>
      </c>
      <c r="D82" s="11" t="e">
        <f ca="1">AVERAGEIF($C$5:$F$71, "EU", AB5:AB72)</f>
        <v>#DIV/0!</v>
      </c>
      <c r="E82" s="125">
        <f ca="1">AVERAGEIF($C$5:$F$59, "EU", $AC$5:$AC$59)</f>
        <v>179419.75308641975</v>
      </c>
      <c r="F82" s="11">
        <f ca="1">AVERAGEIF($C$5:$F$71, "EU", AD5:AD72)</f>
        <v>26044.802867383514</v>
      </c>
      <c r="G82" s="11">
        <f ca="1">AVERAGEIF($C$5:$F$71, "EU", AE5:AE72)</f>
        <v>1743.4029347653943</v>
      </c>
      <c r="H82" s="54">
        <f ca="1">AVERAGEIF($C$5:$F$71, "EU", AF5:AF72)</f>
        <v>6.5159656862745094E-2</v>
      </c>
    </row>
    <row r="85" spans="1:8" x14ac:dyDescent="0.25">
      <c r="A85" s="2"/>
    </row>
  </sheetData>
  <mergeCells count="1">
    <mergeCell ref="A2:E2"/>
  </mergeCells>
  <dataValidations count="1">
    <dataValidation type="list" allowBlank="1" showInputMessage="1" showErrorMessage="1" sqref="P5:P39 P40:P63 P64:P65" xr:uid="{00000000-0002-0000-0E00-000000000000}">
      <formula1>"Stable, FCAS, Both"</formula1>
    </dataValidation>
  </dataValidations>
  <pageMargins left="0.7" right="0.7" top="0.75" bottom="0.75" header="0.3" footer="0.3"/>
  <pageSetup orientation="portrait"/>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AF57"/>
  <sheetViews>
    <sheetView zoomScale="85" zoomScaleNormal="85" workbookViewId="0">
      <selection activeCell="T24" sqref="T24"/>
    </sheetView>
  </sheetViews>
  <sheetFormatPr defaultRowHeight="15" x14ac:dyDescent="0.25"/>
  <cols>
    <col min="1" max="1" width="48.7109375" customWidth="1"/>
    <col min="2" max="2" width="16.42578125" customWidth="1"/>
    <col min="3" max="3" width="14.7109375" customWidth="1"/>
    <col min="4" max="4" width="16.7109375" customWidth="1"/>
    <col min="5" max="5" width="15" customWidth="1"/>
    <col min="6" max="6" width="8" customWidth="1"/>
    <col min="7" max="7" width="8.7109375" customWidth="1"/>
    <col min="8" max="8" width="11.28515625" customWidth="1"/>
    <col min="9" max="9" width="15" customWidth="1"/>
    <col min="10" max="10" width="19.28515625" customWidth="1"/>
    <col min="11" max="12" width="18.140625" customWidth="1"/>
    <col min="13" max="13" width="15.7109375" customWidth="1"/>
    <col min="14" max="14" width="17.28515625" customWidth="1"/>
    <col min="15" max="15" width="19.7109375" hidden="1" customWidth="1"/>
    <col min="16" max="16" width="18.5703125" hidden="1" customWidth="1"/>
    <col min="17" max="28" width="18.140625" customWidth="1"/>
    <col min="29" max="29" width="16.5703125" customWidth="1"/>
    <col min="30" max="30" width="17.7109375" customWidth="1"/>
    <col min="31" max="31" width="12.7109375" customWidth="1"/>
    <col min="32" max="32" width="17.7109375" customWidth="1"/>
    <col min="33" max="33" width="16.140625" customWidth="1"/>
  </cols>
  <sheetData>
    <row r="1" spans="1:32" ht="16.899999999999999" customHeight="1" x14ac:dyDescent="0.25"/>
    <row r="2" spans="1:32" ht="37.15" customHeight="1" x14ac:dyDescent="0.25">
      <c r="A2" s="47" t="s">
        <v>0</v>
      </c>
      <c r="B2" s="47" t="s">
        <v>1</v>
      </c>
      <c r="C2" s="47" t="s">
        <v>741</v>
      </c>
      <c r="D2" s="47" t="s">
        <v>6</v>
      </c>
      <c r="E2" s="47" t="s">
        <v>7</v>
      </c>
      <c r="F2" s="47" t="s">
        <v>8</v>
      </c>
      <c r="G2" s="47" t="s">
        <v>9</v>
      </c>
      <c r="H2" s="47" t="s">
        <v>10</v>
      </c>
      <c r="I2" s="47" t="s">
        <v>11</v>
      </c>
      <c r="J2" s="47" t="s">
        <v>12</v>
      </c>
      <c r="K2" s="43" t="s">
        <v>14</v>
      </c>
      <c r="L2" s="43" t="s">
        <v>565</v>
      </c>
      <c r="M2" s="43" t="s">
        <v>15</v>
      </c>
      <c r="N2" s="43" t="s">
        <v>565</v>
      </c>
      <c r="O2" s="43" t="s">
        <v>1604</v>
      </c>
      <c r="P2" s="43" t="s">
        <v>565</v>
      </c>
      <c r="Q2" s="110" t="s">
        <v>568</v>
      </c>
      <c r="R2" s="110" t="s">
        <v>569</v>
      </c>
      <c r="S2" s="110" t="s">
        <v>570</v>
      </c>
      <c r="T2" s="110" t="s">
        <v>571</v>
      </c>
      <c r="U2" s="111" t="s">
        <v>572</v>
      </c>
      <c r="V2" s="111" t="s">
        <v>573</v>
      </c>
      <c r="W2" s="111" t="s">
        <v>574</v>
      </c>
      <c r="X2" s="111" t="s">
        <v>575</v>
      </c>
      <c r="Y2" s="111" t="s">
        <v>576</v>
      </c>
      <c r="Z2" s="111" t="s">
        <v>577</v>
      </c>
      <c r="AA2" s="111" t="s">
        <v>578</v>
      </c>
      <c r="AB2" s="44"/>
      <c r="AD2" s="42" t="s">
        <v>579</v>
      </c>
      <c r="AE2" s="42" t="s">
        <v>580</v>
      </c>
      <c r="AF2" s="42" t="s">
        <v>581</v>
      </c>
    </row>
    <row r="3" spans="1:32" ht="14.45" customHeight="1" x14ac:dyDescent="0.25">
      <c r="A3" s="14" t="s">
        <v>191</v>
      </c>
      <c r="B3" s="17" t="s">
        <v>192</v>
      </c>
      <c r="C3" s="16" t="s">
        <v>104</v>
      </c>
      <c r="D3" t="s">
        <v>193</v>
      </c>
      <c r="E3" s="16" t="e">
        <v>#VALUE!</v>
      </c>
      <c r="F3" s="17">
        <v>2014</v>
      </c>
      <c r="G3" s="17">
        <v>2022</v>
      </c>
      <c r="H3">
        <f t="shared" ref="H3:H39" si="0">G3-F3+1</f>
        <v>9</v>
      </c>
      <c r="I3" t="s">
        <v>39</v>
      </c>
      <c r="J3" t="s">
        <v>194</v>
      </c>
      <c r="K3" s="28">
        <f>AVERAGE('Poli Stab'!BG128:BO128)</f>
        <v>-1.8838691628640797E-3</v>
      </c>
      <c r="L3" s="28" t="str">
        <f t="array" ref="L3">_xlfn.IFS(
K3&lt;= $AD$3, "1st Quintile (Lowest)",
K3&lt;= $AE$3, "2nd Quintile (Median)",
K3&lt;= $AF$3, "3rd Quintile",
TRUE, "Above 3rd Quintile"
)</f>
        <v>Above 3rd Quintile</v>
      </c>
      <c r="M3" s="28">
        <f>AVERAGE(Inflation!BG128:BO128)</f>
        <v>2.9575320693461555</v>
      </c>
      <c r="N3" s="28" t="str">
        <f t="array" ref="N3">_xlfn.IFS(
M3&lt;= $AD$4, "1st Quintile (Lowest)",
M3&lt;= $AE$4, "2nd Quintile (Median)",
M3&lt;= $AF$4, "3rd Quintile",
TRUE, "Above 3rd Quintile"
)</f>
        <v>1st Quintile (Lowest)</v>
      </c>
      <c r="O3" s="32">
        <f>AVERAGE('GDP Per Capita'!BG128:BO128)</f>
        <v>5467.4887181042568</v>
      </c>
      <c r="P3" t="str">
        <f t="array" ref="P3">_xlfn.IFS(
O3&lt;= $AD$5, "1st Quintile (Lowest)",
O3&lt;= $AE$5, "2nd Quintile (Median)",
O3&lt;= $AF$5, "3rd Quintile",
TRUE, "Above 3rd Quintile"
)</f>
        <v>2nd Quintile (Median)</v>
      </c>
      <c r="Q3" s="46" t="str">
        <f t="array" ref="Q3">_xlfn.IFS(
    (L3="1st Quintile (Lowest)")+(N3="Above 3rd Quintile"), "Group 1",
    ((L3="2nd Quintile (Median)")+(L3="3rd Quintile")+(N3="2nd Quintile")+(N3="3rd Quintile")), "Group 2",
    TRUE, "Group 3"
)</f>
        <v>Group 3</v>
      </c>
      <c r="R3" t="str">
        <f t="array" ref="R3:R18">_xlfn._xlws.FILTER(B3:B39, Q3:Q39="Group 1")</f>
        <v>FORESITE</v>
      </c>
      <c r="S3" t="str">
        <f t="array" ref="S3:S13">_xlfn._xlws.FILTER(B3:B39,Q3:Q39="Group 2")</f>
        <v>EYE - PH3</v>
      </c>
      <c r="T3" t="str">
        <f t="array" ref="T3:T12">_xlfn._xlws.FILTER(B3:B39, Q3:Q39="Group 3")</f>
        <v>CHAIN</v>
      </c>
      <c r="U3" t="str">
        <f t="array" ref="U3">_xlfn.IFS(
    ((L3="1st Quintile (Lowest)")+(N3="Above 3rd Quintile"))*(H3&gt;5), "Group 1 - Long",
    ((L3="1st Quintile (Lowest)")+(N3="Above 3rd Quintile"))*(H3&lt;=5), "Group 1 - Short",
    ((L3="2nd Quintile (Median)")+(L3="3rd Quintile")+(N3="2nd Quintile")+(N3="3rd Quintile"))*(H3&gt;5), "Group 2 - Long",
    ((L3="2nd Quintile (Median)")+(L3="3rd Quintile")+(N3="2nd Quintile")+(N3="3rd Quintile"))*(H3&lt;=5), "Group 2 - Short",
    H3&gt;5, "Group 3 - Long",
    H3&lt;=5, "Group 3 - Short"
)</f>
        <v>Group 3 - Long</v>
      </c>
      <c r="V3" t="str">
        <f t="array" ref="V3:V14">_xlfn._xlws.FILTER(B3:B39, U3:U39="Group 1 - Long")</f>
        <v>PEPZ</v>
      </c>
      <c r="W3" t="str">
        <f t="array" ref="W3:W6">_xlfn._xlws.FILTER(B3:B39, U3:U39="Group 1 - Short")</f>
        <v>FORESITE</v>
      </c>
      <c r="X3" t="str">
        <f t="array" ref="X3:X9">_xlfn._xlws.FILTER(B3:B39, U3:U39="Group 2 - Long")</f>
        <v>RDC</v>
      </c>
      <c r="Y3" t="str">
        <f t="array" ref="Y3:Y6">_xlfn._xlws.FILTER(B3:B39, U3:U39="Group 2 - Short")</f>
        <v>EYE - PH3</v>
      </c>
      <c r="Z3" t="str">
        <f t="array" ref="Z3:Z7">_xlfn._xlws.FILTER(B3:B39, U3:U39="Group 3 - Long")</f>
        <v>CHAIN</v>
      </c>
      <c r="AA3" t="str">
        <f t="array" ref="AA3:AA7">_xlfn._xlws.FILTER(B3:B39, U3:U39="Group 3 - Short")</f>
        <v>EYE - PH1</v>
      </c>
      <c r="AC3" s="15" t="s">
        <v>585</v>
      </c>
      <c r="AD3" s="48">
        <f t="array" ref="AD3">_xlfn.PERCENTILE.INC(_xlfn._xlws.FILTER(K3:K39, K3:K39&lt;&gt;0), 0.2)</f>
        <v>-1.4820961554845169</v>
      </c>
      <c r="AE3" s="49">
        <f t="array" ref="AE3">_xlfn.PERCENTILE.INC(_xlfn._xlws.FILTER(K3:K39, K3:K39&lt;&gt;0), 0.5)</f>
        <v>-0.58627716079871695</v>
      </c>
      <c r="AF3" s="50">
        <f t="array" ref="AF3">_xlfn.PERCENTILE.INC(_xlfn._xlws.FILTER(K3:K39, K3:K39&lt;&gt;0), 0.6)</f>
        <v>-0.49878624578316999</v>
      </c>
    </row>
    <row r="4" spans="1:32" ht="14.45" customHeight="1" x14ac:dyDescent="0.25">
      <c r="A4" s="17" t="s">
        <v>151</v>
      </c>
      <c r="B4" s="17" t="s">
        <v>152</v>
      </c>
      <c r="C4" s="17" t="s">
        <v>1605</v>
      </c>
      <c r="D4" s="17" t="s">
        <v>154</v>
      </c>
      <c r="E4" s="17" t="e">
        <v>#VALUE!</v>
      </c>
      <c r="F4" s="17">
        <v>2019</v>
      </c>
      <c r="G4" s="17">
        <v>2023</v>
      </c>
      <c r="H4">
        <f t="shared" si="0"/>
        <v>5</v>
      </c>
      <c r="I4" t="s">
        <v>39</v>
      </c>
      <c r="J4" t="s">
        <v>139</v>
      </c>
      <c r="K4" s="28">
        <f>AVERAGE('Poli Stab'!BL221:BP221)</f>
        <v>-2.2793479919433617</v>
      </c>
      <c r="L4" s="28" t="str">
        <f t="array" ref="L4">_xlfn.IFS(
K4&lt;= $AD$3, "1st Quintile (Lowest)",
K4&lt;= $AE$3, "2nd Quintile (Median)",
K4&lt;= $AF$3, "3rd Quintile",
TRUE, "Above 3rd Quintile"
)</f>
        <v>1st Quintile (Lowest)</v>
      </c>
      <c r="M4" s="28">
        <f>AVERAGE(Inflation!BL221:BP221)</f>
        <v>24.625881387861419</v>
      </c>
      <c r="N4" s="28" t="str">
        <f t="array" ref="N4">_xlfn.IFS(
M4&lt;= $AD$4, "1st Quintile (Lowest)",
M4&lt;= $AE$4, "2nd Quintile (Median)",
M4&lt;= $AF$4, "3rd Quintile",
TRUE, "Above 3rd Quintile"
)</f>
        <v>Above 3rd Quintile</v>
      </c>
      <c r="O4" s="31"/>
      <c r="Q4" s="46" t="str">
        <f t="array" ref="Q4">_xlfn.IFS(
    (L4="1st Quintile (Lowest)")+(N4="Above 3rd Quintile"), "Group 1",
    ((L4="2nd Quintile (Median)")+(L4="3rd Quintile")+(N4="2nd Quintile")+(N4="3rd Quintile")), "Group 2",
    TRUE, "Group 3"
)</f>
        <v>Group 1</v>
      </c>
      <c r="R4" t="str">
        <v>IMSAR</v>
      </c>
      <c r="S4" t="str">
        <v>SDVC</v>
      </c>
      <c r="T4" t="str">
        <v>EYE - PH1</v>
      </c>
      <c r="U4" t="str">
        <f t="array" ref="U4">_xlfn.IFS(
    ((L4="1st Quintile (Lowest)")+(N4="Above 3rd Quintile"))*(H4&gt;5), "Group 1 - Long",
    ((L4="1st Quintile (Lowest)")+(N4="Above 3rd Quintile"))*(H4&lt;=5), "Group 1 - Short",
    ((L4="2nd Quintile (Median)")+(L4="3rd Quintile")+(N4="2nd Quintile")+(N4="3rd Quintile"))*(H4&gt;5), "Group 2 - Long",
    ((L4="2nd Quintile (Median)")+(L4="3rd Quintile")+(N4="2nd Quintile")+(N4="3rd Quintile"))*(H4&lt;=5), "Group 2 - Short",
    H4&gt;5, "Group 3 - Long",
    H4&lt;=5, "Group 3 - Short"
)</f>
        <v>Group 1 - Short</v>
      </c>
      <c r="V4" t="str">
        <v>PEPE</v>
      </c>
      <c r="W4" t="str">
        <v>IMSAR</v>
      </c>
      <c r="X4" t="str">
        <v>AIP-Rural</v>
      </c>
      <c r="Y4" t="str">
        <v>SDVC</v>
      </c>
      <c r="Z4" t="str">
        <v>EYE-PH1-3</v>
      </c>
      <c r="AA4" t="str">
        <v>EYE - PH2</v>
      </c>
      <c r="AC4" s="15" t="s">
        <v>588</v>
      </c>
      <c r="AD4" s="50">
        <f t="array" ref="AD4">_xlfn.PERCENTILE.INC(_xlfn._xlws.FILTER(M3:M39, M3:M39&lt;&gt;0), 0.2)</f>
        <v>3.5825422144066277</v>
      </c>
      <c r="AE4" s="49">
        <f t="array" ref="AE4">_xlfn.PERCENTILE.INC(_xlfn._xlws.FILTER(M3:M39, M3:M39&lt;&gt;0), 0.5)</f>
        <v>6.3292360646728643</v>
      </c>
      <c r="AF4" s="48">
        <f t="array" ref="AF4">_xlfn.PERCENTILE.INC(_xlfn._xlws.FILTER(M3:M39, M3:M39&lt;&gt;0), 0.6)</f>
        <v>6.8614384517486018</v>
      </c>
    </row>
    <row r="5" spans="1:32" ht="14.45" customHeight="1" x14ac:dyDescent="0.25">
      <c r="A5" s="17" t="s">
        <v>141</v>
      </c>
      <c r="B5" s="17" t="s">
        <v>142</v>
      </c>
      <c r="C5" t="s">
        <v>104</v>
      </c>
      <c r="D5" s="17" t="s">
        <v>105</v>
      </c>
      <c r="E5" s="17" t="e">
        <v>#VALUE!</v>
      </c>
      <c r="F5" s="17">
        <v>2013</v>
      </c>
      <c r="G5" s="17">
        <v>2016</v>
      </c>
      <c r="H5">
        <f t="shared" si="0"/>
        <v>4</v>
      </c>
      <c r="I5" t="s">
        <v>106</v>
      </c>
      <c r="J5" t="s">
        <v>107</v>
      </c>
      <c r="K5" s="28">
        <f>AVERAGE('Poli Stab'!BF266:BI266)</f>
        <v>-0.44831524416804303</v>
      </c>
      <c r="L5" s="28" t="str">
        <f t="array" ref="L5">_xlfn.IFS(
K5&lt;= $AD$3, "1st Quintile (Lowest)",
K5&lt;= $AE$3, "2nd Quintile (Median)",
K5&lt;= $AF$3, "3rd Quintile",
TRUE, "Above 3rd Quintile"
)</f>
        <v>Above 3rd Quintile</v>
      </c>
      <c r="M5" s="28">
        <f>AVERAGE(Inflation!BF266:BI266)</f>
        <v>0.48313053254445415</v>
      </c>
      <c r="N5" s="28" t="str">
        <f t="array" ref="N5">_xlfn.IFS(
M5&lt;= $AD$4, "1st Quintile (Lowest)",
M5&lt;= $AE$4, "2nd Quintile (Median)",
M5&lt;= $AF$4, "3rd Quintile",
TRUE, "Above 3rd Quintile"
)</f>
        <v>1st Quintile (Lowest)</v>
      </c>
      <c r="O5" s="32">
        <f>AVERAGE('GDP Per Capita'!BF266:BI266)</f>
        <v>8540.7998920362916</v>
      </c>
      <c r="P5" t="str">
        <f t="array" ref="P5">_xlfn.IFS(
O5&lt;= $AD$5, "1st Quintile (Lowest)",
O5&lt;= $AE$5, "2nd Quintile (Median)",
O5&lt;= $AF$5, "3rd Quintile",
TRUE, "Above 3rd Quintile"
)</f>
        <v>Above 3rd Quintile</v>
      </c>
      <c r="Q5" s="46" t="str">
        <f t="array" ref="Q5">_xlfn.IFS(
    (L5="1st Quintile (Lowest)")+(N5="Above 3rd Quintile"), "Group 1",
    ((L5="2nd Quintile (Median)")+(L5="3rd Quintile")+(N5="2nd Quintile")+(N5="3rd Quintile")), "Group 2",
    TRUE, "Group 3"
)</f>
        <v>Group 3</v>
      </c>
      <c r="R5" t="str">
        <v>PAVE-PH1</v>
      </c>
      <c r="S5" t="str">
        <v>RDC</v>
      </c>
      <c r="T5" t="str">
        <v>EYE - PH2</v>
      </c>
      <c r="U5" t="str">
        <f t="array" ref="U5">_xlfn.IFS(
    ((L5="1st Quintile (Lowest)")+(N5="Above 3rd Quintile"))*(H5&gt;5), "Group 1 - Long",
    ((L5="1st Quintile (Lowest)")+(N5="Above 3rd Quintile"))*(H5&lt;=5), "Group 1 - Short",
    ((L5="2nd Quintile (Median)")+(L5="3rd Quintile")+(N5="2nd Quintile")+(N5="3rd Quintile"))*(H5&gt;5), "Group 2 - Long",
    ((L5="2nd Quintile (Median)")+(L5="3rd Quintile")+(N5="2nd Quintile")+(N5="3rd Quintile"))*(H5&lt;=5), "Group 2 - Short",
    H5&gt;5, "Group 3 - Long",
    H5&lt;=5, "Group 3 - Short"
)</f>
        <v>Group 3 - Short</v>
      </c>
      <c r="V5" t="str">
        <v>CTDP</v>
      </c>
      <c r="W5" t="str">
        <v>PAVE-PH1</v>
      </c>
      <c r="X5" t="str">
        <v>MORINGA</v>
      </c>
      <c r="Y5" t="str">
        <v>STARS</v>
      </c>
      <c r="Z5" t="str">
        <v>RE4R</v>
      </c>
      <c r="AA5" t="str">
        <v>Construya Peru-PH 2</v>
      </c>
      <c r="AC5" s="15" t="s">
        <v>1606</v>
      </c>
      <c r="AD5" s="51">
        <f t="array" ref="AD5">_xlfn.PERCENTILE.INC(_xlfn._xlws.FILTER(O3:O40, O3:O40&lt;&gt;0), 0.2)</f>
        <v>2346.9606328443233</v>
      </c>
      <c r="AE5" s="52">
        <f t="array" ref="AE5">_xlfn.PERCENTILE.INC(_xlfn._xlws.FILTER(O3:O40, O3:O40&lt;&gt;0), 0.5)</f>
        <v>5467.4887181042568</v>
      </c>
      <c r="AF5" s="53">
        <f t="array" ref="AF5">_xlfn.PERCENTILE.INC(_xlfn._xlws.FILTER(O3:O40, O3:O40&lt;&gt;0), 0.6)</f>
        <v>6136.4098247159354</v>
      </c>
    </row>
    <row r="6" spans="1:32" ht="14.45" customHeight="1" x14ac:dyDescent="0.25">
      <c r="A6" s="17" t="s">
        <v>148</v>
      </c>
      <c r="B6" s="17" t="s">
        <v>149</v>
      </c>
      <c r="C6" t="s">
        <v>104</v>
      </c>
      <c r="D6" s="17" t="s">
        <v>105</v>
      </c>
      <c r="E6" s="17" t="e">
        <v>#VALUE!</v>
      </c>
      <c r="F6" s="17">
        <v>2017</v>
      </c>
      <c r="G6" s="17">
        <v>2020</v>
      </c>
      <c r="H6">
        <f t="shared" si="0"/>
        <v>4</v>
      </c>
      <c r="I6" t="s">
        <v>106</v>
      </c>
      <c r="J6" t="s">
        <v>107</v>
      </c>
      <c r="K6" s="28">
        <f>AVERAGE('Poli Stab'!BJ266:BM266)</f>
        <v>-0.38692522421479225</v>
      </c>
      <c r="L6" s="28" t="str">
        <f t="array" ref="L6">_xlfn.IFS(
K6&lt;= $AD$3, "1st Quintile (Lowest)",
K6&lt;= $AE$3, "2nd Quintile (Median)",
K6&lt;= $AF$3, "3rd Quintile",
TRUE, "Above 3rd Quintile"
)</f>
        <v>Above 3rd Quintile</v>
      </c>
      <c r="M6" s="28">
        <f>AVERAGE(Inflation!BJ266:BM266)</f>
        <v>1.3540629979667238</v>
      </c>
      <c r="N6" s="28" t="str">
        <f t="array" ref="N6">_xlfn.IFS(
M6&lt;= $AD$4, "1st Quintile (Lowest)",
M6&lt;= $AE$4, "2nd Quintile (Median)",
M6&lt;= $AF$4, "3rd Quintile",
TRUE, "Above 3rd Quintile"
)</f>
        <v>1st Quintile (Lowest)</v>
      </c>
      <c r="O6" s="32">
        <f>AVERAGE('GDP Per Capita'!BJ266:BM266)</f>
        <v>10198.309356216021</v>
      </c>
      <c r="P6" t="str">
        <f t="array" ref="P6">_xlfn.IFS(
O6&lt;= $AD$5, "1st Quintile (Lowest)",
O6&lt;= $AE$5, "2nd Quintile (Median)",
O6&lt;= $AF$5, "3rd Quintile",
TRUE, "Above 3rd Quintile"
)</f>
        <v>Above 3rd Quintile</v>
      </c>
      <c r="Q6" s="46" t="str">
        <f t="array" ref="Q6">_xlfn.IFS(
    (L6="1st Quintile (Lowest)")+(N6="Above 3rd Quintile"), "Group 1",
    ((L6="2nd Quintile (Median)")+(L6="3rd Quintile")+(N6="2nd Quintile")+(N6="3rd Quintile")), "Group 2",
    TRUE, "Group 3"
)</f>
        <v>Group 3</v>
      </c>
      <c r="R6" t="str">
        <v>PEPZ</v>
      </c>
      <c r="S6" t="str">
        <v>STARS</v>
      </c>
      <c r="T6" t="str">
        <v>EYE-PH1-3</v>
      </c>
      <c r="U6" t="str">
        <f t="array" ref="U6">_xlfn.IFS(
    ((L6="1st Quintile (Lowest)")+(N6="Above 3rd Quintile"))*(H6&gt;5), "Group 1 - Long",
    ((L6="1st Quintile (Lowest)")+(N6="Above 3rd Quintile"))*(H6&lt;=5), "Group 1 - Short",
    ((L6="2nd Quintile (Median)")+(L6="3rd Quintile")+(N6="2nd Quintile")+(N6="3rd Quintile"))*(H6&gt;5), "Group 2 - Long",
    ((L6="2nd Quintile (Median)")+(L6="3rd Quintile")+(N6="2nd Quintile")+(N6="3rd Quintile"))*(H6&lt;=5), "Group 2 - Short",
    H6&gt;5, "Group 3 - Long",
    H6&lt;=5, "Group 3 - Short"
)</f>
        <v>Group 3 - Short</v>
      </c>
      <c r="V6" t="str">
        <v>MADE-Nigeria</v>
      </c>
      <c r="W6" t="str">
        <v>PIMS</v>
      </c>
      <c r="X6" t="str">
        <v>NU-TEC</v>
      </c>
      <c r="Y6" t="str">
        <v>SHOMOSHTI-PH2</v>
      </c>
      <c r="Z6" t="str">
        <v>MDF-PH2</v>
      </c>
      <c r="AA6" t="str">
        <v>PRISMA</v>
      </c>
    </row>
    <row r="7" spans="1:32" ht="14.45" customHeight="1" x14ac:dyDescent="0.25">
      <c r="A7" s="17" t="s">
        <v>102</v>
      </c>
      <c r="B7" s="17" t="s">
        <v>103</v>
      </c>
      <c r="C7" t="s">
        <v>104</v>
      </c>
      <c r="D7" s="17" t="s">
        <v>105</v>
      </c>
      <c r="E7" s="17" t="e">
        <v>#VALUE!</v>
      </c>
      <c r="F7" s="17">
        <v>2021</v>
      </c>
      <c r="G7" s="17">
        <v>2024</v>
      </c>
      <c r="H7">
        <f t="shared" si="0"/>
        <v>4</v>
      </c>
      <c r="I7" t="s">
        <v>106</v>
      </c>
      <c r="J7" t="s">
        <v>107</v>
      </c>
      <c r="K7" s="28">
        <f>AVERAGE('Poli Stab'!BN266:BP266)</f>
        <v>-0.21164323886235567</v>
      </c>
      <c r="L7" s="28" t="str">
        <f t="array" ref="L7">_xlfn.IFS(
K7&lt;= $AD$3, "1st Quintile (Lowest)",
K7&lt;= $AE$3, "2nd Quintile (Median)",
K7&lt;= $AF$3, "3rd Quintile",
TRUE, "Above 3rd Quintile"
)</f>
        <v>Above 3rd Quintile</v>
      </c>
      <c r="M7" s="28">
        <f>AVERAGE(Inflation!BN266:BP266)</f>
        <v>6.626175411398016</v>
      </c>
      <c r="N7" s="28" t="str">
        <f t="array" ref="N7">_xlfn.IFS(
M7&lt;= $AD$4, "1st Quintile (Lowest)",
M7&lt;= $AE$4, "2nd Quintile (Median)",
M7&lt;= $AF$4, "3rd Quintile",
TRUE, "Above 3rd Quintile"
)</f>
        <v>3rd Quintile</v>
      </c>
      <c r="O7" s="32">
        <f>AVERAGE('GDP Per Capita'!BN266:BP266)</f>
        <v>14039.241441922715</v>
      </c>
      <c r="P7" t="str">
        <f t="array" ref="P7">_xlfn.IFS(
O7&lt;= $AD$5, "1st Quintile (Lowest)",
O7&lt;= $AE$5, "2nd Quintile (Median)",
O7&lt;= $AF$5, "3rd Quintile",
TRUE, "Above 3rd Quintile"
)</f>
        <v>Above 3rd Quintile</v>
      </c>
      <c r="Q7" s="46" t="str">
        <f t="array" ref="Q7">_xlfn.IFS(
    (L7="1st Quintile (Lowest)")+(N7="Above 3rd Quintile"), "Group 1",
    ((L7="2nd Quintile (Median)")+(L7="3rd Quintile")+(N7="2nd Quintile")+(N7="3rd Quintile")), "Group 2",
    TRUE, "Group 3"
)</f>
        <v>Group 2</v>
      </c>
      <c r="R7" t="str">
        <v>PEPE</v>
      </c>
      <c r="S7" t="str">
        <v>AIP-Rural</v>
      </c>
      <c r="T7" t="str">
        <v>Construya Peru-PH 2</v>
      </c>
      <c r="U7" t="str">
        <f t="array" ref="U7">_xlfn.IFS(
    ((L7="1st Quintile (Lowest)")+(N7="Above 3rd Quintile"))*(H7&gt;5), "Group 1 - Long",
    ((L7="1st Quintile (Lowest)")+(N7="Above 3rd Quintile"))*(H7&lt;=5), "Group 1 - Short",
    ((L7="2nd Quintile (Median)")+(L7="3rd Quintile")+(N7="2nd Quintile")+(N7="3rd Quintile"))*(H7&gt;5), "Group 2 - Long",
    ((L7="2nd Quintile (Median)")+(L7="3rd Quintile")+(N7="2nd Quintile")+(N7="3rd Quintile"))*(H7&lt;=5), "Group 2 - Short",
    H7&gt;5, "Group 3 - Long",
    H7&lt;=5, "Group 3 - Short"
)</f>
        <v>Group 2 - Short</v>
      </c>
      <c r="V7" t="str">
        <v>InovAgro</v>
      </c>
      <c r="X7" t="str">
        <v>MDF-PH1</v>
      </c>
      <c r="Z7" t="str">
        <v>PMDP</v>
      </c>
      <c r="AA7" t="str">
        <v>CIDC</v>
      </c>
    </row>
    <row r="8" spans="1:32" ht="14.45" customHeight="1" x14ac:dyDescent="0.25">
      <c r="A8" s="35" t="s">
        <v>380</v>
      </c>
      <c r="B8" s="35" t="s">
        <v>381</v>
      </c>
      <c r="C8" s="36" t="s">
        <v>104</v>
      </c>
      <c r="D8" s="35" t="s">
        <v>105</v>
      </c>
      <c r="E8" s="35" t="e">
        <v>#VALUE!</v>
      </c>
      <c r="F8" s="35">
        <v>2013</v>
      </c>
      <c r="G8" s="35">
        <v>2024</v>
      </c>
      <c r="H8" s="36">
        <f t="shared" si="0"/>
        <v>12</v>
      </c>
      <c r="I8" s="36" t="s">
        <v>106</v>
      </c>
      <c r="J8" s="36" t="s">
        <v>107</v>
      </c>
      <c r="K8" s="37">
        <f>AVERAGE('Poli Stab'!BF266:BP266)</f>
        <v>-0.3614446900107644</v>
      </c>
      <c r="L8" s="28" t="str">
        <f t="array" ref="L8">_xlfn.IFS(
K8&lt;= $AD$3, "1st Quintile (Lowest)",
K8&lt;= $AE$3, "2nd Quintile (Median)",
K8&lt;= $AF$3, "3rd Quintile",
TRUE, "Above 3rd Quintile"
)</f>
        <v>Above 3rd Quintile</v>
      </c>
      <c r="M8" s="37">
        <f>AVERAGE(Inflation!BF266:BP266)</f>
        <v>2.4752091232944324</v>
      </c>
      <c r="N8" s="28" t="str">
        <f t="array" ref="N8">_xlfn.IFS(
M8&lt;= $AD$4, "1st Quintile (Lowest)",
M8&lt;= $AE$4, "2nd Quintile (Median)",
M8&lt;= $AF$4, "3rd Quintile",
TRUE, "Above 3rd Quintile"
)</f>
        <v>1st Quintile (Lowest)</v>
      </c>
      <c r="O8" s="38">
        <f>AVERAGE('GDP Per Capita'!BF266:BP266)</f>
        <v>10643.10557443431</v>
      </c>
      <c r="P8" t="str">
        <f t="array" ref="P8">_xlfn.IFS(
O8&lt;= $AD$5, "1st Quintile (Lowest)",
O8&lt;= $AE$5, "2nd Quintile (Median)",
O8&lt;= $AF$5, "3rd Quintile",
TRUE, "Above 3rd Quintile"
)</f>
        <v>Above 3rd Quintile</v>
      </c>
      <c r="Q8" s="46" t="str">
        <f t="array" ref="Q8">_xlfn.IFS(
    (L8="1st Quintile (Lowest)")+(N8="Above 3rd Quintile"), "Group 1",
    ((L8="2nd Quintile (Median)")+(L8="3rd Quintile")+(N8="2nd Quintile")+(N8="3rd Quintile")), "Group 2",
    TRUE, "Group 3"
)</f>
        <v>Group 3</v>
      </c>
      <c r="R8" t="str">
        <v>CTDP</v>
      </c>
      <c r="S8" t="str">
        <v>MORINGA</v>
      </c>
      <c r="T8" t="str">
        <v>RE4R</v>
      </c>
      <c r="U8" t="str">
        <f t="array" ref="U8">_xlfn.IFS(
    ((L8="1st Quintile (Lowest)")+(N8="Above 3rd Quintile"))*(H8&gt;5), "Group 1 - Long",
    ((L8="1st Quintile (Lowest)")+(N8="Above 3rd Quintile"))*(H8&lt;=5), "Group 1 - Short",
    ((L8="2nd Quintile (Median)")+(L8="3rd Quintile")+(N8="2nd Quintile")+(N8="3rd Quintile"))*(H8&gt;5), "Group 2 - Long",
    ((L8="2nd Quintile (Median)")+(L8="3rd Quintile")+(N8="2nd Quintile")+(N8="3rd Quintile"))*(H8&lt;=5), "Group 2 - Short",
    H8&gt;5, "Group 3 - Long",
    H8&lt;=5, "Group 3 - Short"
)</f>
        <v>Group 3 - Long</v>
      </c>
      <c r="V8" t="str">
        <v>R2J</v>
      </c>
      <c r="X8" t="str">
        <v>MDF-PH1-2</v>
      </c>
    </row>
    <row r="9" spans="1:32" ht="14.45" customHeight="1" x14ac:dyDescent="0.25">
      <c r="A9" s="4" t="s">
        <v>135</v>
      </c>
      <c r="B9" t="s">
        <v>136</v>
      </c>
      <c r="C9" t="s">
        <v>137</v>
      </c>
      <c r="D9" t="s">
        <v>138</v>
      </c>
      <c r="E9" t="e">
        <v>#VALUE!</v>
      </c>
      <c r="F9">
        <v>2019</v>
      </c>
      <c r="G9">
        <v>2022</v>
      </c>
      <c r="H9">
        <f t="shared" si="0"/>
        <v>4</v>
      </c>
      <c r="I9" t="s">
        <v>39</v>
      </c>
      <c r="J9" t="s">
        <v>139</v>
      </c>
      <c r="K9" s="28">
        <f>AVERAGE('Poli Stab'!BL208:BO208)</f>
        <v>7.029367517679927E-2</v>
      </c>
      <c r="L9" s="28" t="str">
        <f t="array" ref="L9">_xlfn.IFS(
K9&lt;= $AD$3, "1st Quintile (Lowest)",
K9&lt;= $AE$3, "2nd Quintile (Median)",
K9&lt;= $AF$3, "3rd Quintile",
TRUE, "Above 3rd Quintile"
)</f>
        <v>Above 3rd Quintile</v>
      </c>
      <c r="M9" s="28">
        <f>AVERAGE(Inflation!BL208:BO208)</f>
        <v>7.624034595908272</v>
      </c>
      <c r="N9" s="28" t="str">
        <f t="array" ref="N9">_xlfn.IFS(
M9&lt;= $AD$4, "1st Quintile (Lowest)",
M9&lt;= $AE$4, "2nd Quintile (Median)",
M9&lt;= $AF$4, "3rd Quintile",
TRUE, "Above 3rd Quintile"
)</f>
        <v>Above 3rd Quintile</v>
      </c>
      <c r="O9" s="32">
        <f>AVERAGE('GDP Per Capita'!BL208:BO208)</f>
        <v>2613.2628112387538</v>
      </c>
      <c r="P9" t="str">
        <f t="array" ref="P9">_xlfn.IFS(
O9&lt;= $AD$5, "1st Quintile (Lowest)",
O9&lt;= $AE$5, "2nd Quintile (Median)",
O9&lt;= $AF$5, "3rd Quintile",
TRUE, "Above 3rd Quintile"
)</f>
        <v>2nd Quintile (Median)</v>
      </c>
      <c r="Q9" s="46" t="str">
        <f t="array" ref="Q9">_xlfn.IFS(
    (L9="1st Quintile (Lowest)")+(N9="Above 3rd Quintile"), "Group 1",
    ((L9="2nd Quintile (Median)")+(L9="3rd Quintile")+(N9="2nd Quintile")+(N9="3rd Quintile")), "Group 2",
    TRUE, "Group 3"
)</f>
        <v>Group 1</v>
      </c>
      <c r="R9" t="str">
        <v>MADE-Nigeria</v>
      </c>
      <c r="S9" t="str">
        <v>SHOMOSHTI-PH2</v>
      </c>
      <c r="T9" t="str">
        <v>PRISMA</v>
      </c>
      <c r="U9" t="str">
        <f t="array" ref="U9">_xlfn.IFS(
    ((L9="1st Quintile (Lowest)")+(N9="Above 3rd Quintile"))*(H9&gt;5), "Group 1 - Long",
    ((L9="1st Quintile (Lowest)")+(N9="Above 3rd Quintile"))*(H9&lt;=5), "Group 1 - Short",
    ((L9="2nd Quintile (Median)")+(L9="3rd Quintile")+(N9="2nd Quintile")+(N9="3rd Quintile"))*(H9&gt;5), "Group 2 - Long",
    ((L9="2nd Quintile (Median)")+(L9="3rd Quintile")+(N9="2nd Quintile")+(N9="3rd Quintile"))*(H9&lt;=5), "Group 2 - Short",
    H9&gt;5, "Group 3 - Long",
    H9&lt;=5, "Group 3 - Short"
)</f>
        <v>Group 1 - Short</v>
      </c>
      <c r="V9" t="str">
        <v>PRIME</v>
      </c>
      <c r="X9" t="str">
        <v>ACLP</v>
      </c>
    </row>
    <row r="10" spans="1:32" ht="14.45" customHeight="1" x14ac:dyDescent="0.25">
      <c r="A10" s="17" t="s">
        <v>81</v>
      </c>
      <c r="B10" s="17" t="s">
        <v>82</v>
      </c>
      <c r="C10" t="s">
        <v>52</v>
      </c>
      <c r="D10" s="17" t="s">
        <v>83</v>
      </c>
      <c r="E10" s="17" t="e">
        <v>#VALUE!</v>
      </c>
      <c r="F10" s="17">
        <v>2013</v>
      </c>
      <c r="G10" s="17">
        <v>2016</v>
      </c>
      <c r="H10">
        <f t="shared" si="0"/>
        <v>4</v>
      </c>
      <c r="I10" t="s">
        <v>39</v>
      </c>
      <c r="J10" t="s">
        <v>84</v>
      </c>
      <c r="K10" s="28">
        <f>AVERAGE('Poli Stab'!BF25:BI25)</f>
        <v>-1.2482322007417688</v>
      </c>
      <c r="L10" s="28" t="str">
        <f t="array" ref="L10">_xlfn.IFS(
K10&lt;= $AD$3, "1st Quintile (Lowest)",
K10&lt;= $AE$3, "2nd Quintile (Median)",
K10&lt;= $AF$3, "3rd Quintile",
TRUE, "Above 3rd Quintile"
)</f>
        <v>2nd Quintile (Median)</v>
      </c>
      <c r="M10" s="28">
        <f>AVERAGE(Inflation!BF25:BI25)</f>
        <v>6.5574628145299991</v>
      </c>
      <c r="N10" s="28" t="str">
        <f t="array" ref="N10">_xlfn.IFS(
M10&lt;= $AD$4, "1st Quintile (Lowest)",
M10&lt;= $AE$4, "2nd Quintile (Median)",
M10&lt;= $AF$4, "3rd Quintile",
TRUE, "Above 3rd Quintile"
)</f>
        <v>3rd Quintile</v>
      </c>
      <c r="O10" s="32">
        <f>AVERAGE('GDP Per Capita'!BF25:BI25)</f>
        <v>4113.7447140197419</v>
      </c>
      <c r="P10" t="str">
        <f t="array" ref="P10">_xlfn.IFS(
O10&lt;= $AD$5, "1st Quintile (Lowest)",
O10&lt;= $AE$5, "2nd Quintile (Median)",
O10&lt;= $AF$5, "3rd Quintile",
TRUE, "Above 3rd Quintile"
)</f>
        <v>2nd Quintile (Median)</v>
      </c>
      <c r="Q10" s="46" t="str">
        <f t="array" ref="Q10">_xlfn.IFS(
    (L10="1st Quintile (Lowest)")+(N10="Above 3rd Quintile"), "Group 1",
    ((L10="2nd Quintile (Median)")+(L10="3rd Quintile")+(N10="2nd Quintile")+(N10="3rd Quintile")), "Group 2",
    TRUE, "Group 3"
)</f>
        <v>Group 2</v>
      </c>
      <c r="R10" t="str">
        <v>InovAgro</v>
      </c>
      <c r="S10" t="str">
        <v>NU-TEC</v>
      </c>
      <c r="T10" t="str">
        <v>MDF-PH2</v>
      </c>
      <c r="U10" t="str">
        <f t="array" ref="U10">_xlfn.IFS(
    ((L10="1st Quintile (Lowest)")+(N10="Above 3rd Quintile"))*(H10&gt;5), "Group 1 - Long",
    ((L10="1st Quintile (Lowest)")+(N10="Above 3rd Quintile"))*(H10&lt;=5), "Group 1 - Short",
    ((L10="2nd Quintile (Median)")+(L10="3rd Quintile")+(N10="2nd Quintile")+(N10="3rd Quintile"))*(H10&gt;5), "Group 2 - Long",
    ((L10="2nd Quintile (Median)")+(L10="3rd Quintile")+(N10="2nd Quintile")+(N10="3rd Quintile"))*(H10&lt;=5), "Group 2 - Short",
    H10&gt;5, "Group 3 - Long",
    H10&lt;=5, "Group 3 - Short"
)</f>
        <v>Group 2 - Short</v>
      </c>
      <c r="V10" t="str">
        <v>Katalyst-PH1</v>
      </c>
    </row>
    <row r="11" spans="1:32" ht="14.45" customHeight="1" x14ac:dyDescent="0.25">
      <c r="A11" s="17" t="s">
        <v>71</v>
      </c>
      <c r="B11" s="17" t="s">
        <v>72</v>
      </c>
      <c r="C11" t="s">
        <v>73</v>
      </c>
      <c r="D11" s="17" t="s">
        <v>74</v>
      </c>
      <c r="E11" s="17" t="e">
        <v>#VALUE!</v>
      </c>
      <c r="F11" s="17">
        <v>2019</v>
      </c>
      <c r="G11" s="17">
        <v>2023</v>
      </c>
      <c r="H11">
        <f t="shared" si="0"/>
        <v>5</v>
      </c>
      <c r="I11" t="s">
        <v>75</v>
      </c>
      <c r="J11" t="s">
        <v>1586</v>
      </c>
      <c r="K11" s="28">
        <f>AVERAGE('Poli Stab'!BL191:BP191)</f>
        <v>-0.37709590196609499</v>
      </c>
      <c r="L11" s="28" t="str">
        <f t="array" ref="L11">_xlfn.IFS(
K11&lt;= $AD$3, "1st Quintile (Lowest)",
K11&lt;= $AE$3, "2nd Quintile (Median)",
K11&lt;= $AF$3, "3rd Quintile",
TRUE, "Above 3rd Quintile"
)</f>
        <v>Above 3rd Quintile</v>
      </c>
      <c r="M11" s="28">
        <f>AVERAGE(Inflation!BL191:BP191)</f>
        <v>4.6631035142398671</v>
      </c>
      <c r="N11" s="28" t="str">
        <f t="array" ref="N11">_xlfn.IFS(
M11&lt;= $AD$4, "1st Quintile (Lowest)",
M11&lt;= $AE$4, "2nd Quintile (Median)",
M11&lt;= $AF$4, "3rd Quintile",
TRUE, "Above 3rd Quintile"
)</f>
        <v>2nd Quintile (Median)</v>
      </c>
      <c r="O11" s="32">
        <f>AVERAGE('GDP Per Capita'!BL191:BP191)</f>
        <v>15017.555252330474</v>
      </c>
      <c r="P11" t="str">
        <f t="array" ref="P11">_xlfn.IFS(
O11&lt;= $AD$5, "1st Quintile (Lowest)",
O11&lt;= $AE$5, "2nd Quintile (Median)",
O11&lt;= $AF$5, "3rd Quintile",
TRUE, "Above 3rd Quintile"
)</f>
        <v>Above 3rd Quintile</v>
      </c>
      <c r="Q11" s="46" t="str">
        <f t="array" ref="Q11">_xlfn.IFS(
    (L11="1st Quintile (Lowest)")+(N11="Above 3rd Quintile"), "Group 1",
    ((L11="2nd Quintile (Median)")+(L11="3rd Quintile")+(N11="2nd Quintile")+(N11="3rd Quintile")), "Group 2",
    TRUE, "Group 3"
)</f>
        <v>Group 3</v>
      </c>
      <c r="R11" t="str">
        <v>PIMS</v>
      </c>
      <c r="S11" t="str">
        <v>MDF-PH1</v>
      </c>
      <c r="T11" t="str">
        <v>CIDC</v>
      </c>
      <c r="U11" t="str">
        <f t="array" ref="U11">_xlfn.IFS(
    ((L11="1st Quintile (Lowest)")+(N11="Above 3rd Quintile"))*(H11&gt;5), "Group 1 - Long",
    ((L11="1st Quintile (Lowest)")+(N11="Above 3rd Quintile"))*(H11&lt;=5), "Group 1 - Short",
    ((L11="2nd Quintile (Median)")+(L11="3rd Quintile")+(N11="2nd Quintile")+(N11="3rd Quintile"))*(H11&gt;5), "Group 2 - Long",
    ((L11="2nd Quintile (Median)")+(L11="3rd Quintile")+(N11="2nd Quintile")+(N11="3rd Quintile"))*(H11&lt;=5), "Group 2 - Short",
    H11&gt;5, "Group 3 - Long",
    H11&lt;=5, "Group 3 - Short"
)</f>
        <v>Group 3 - Short</v>
      </c>
      <c r="V11" t="str">
        <v>Katalyst-PH2</v>
      </c>
    </row>
    <row r="12" spans="1:32" ht="14.45" customHeight="1" x14ac:dyDescent="0.25">
      <c r="A12" s="17" t="s">
        <v>423</v>
      </c>
      <c r="B12" s="17" t="s">
        <v>424</v>
      </c>
      <c r="C12" t="s">
        <v>1587</v>
      </c>
      <c r="D12" s="17" t="s">
        <v>58</v>
      </c>
      <c r="E12" s="17" t="s">
        <v>1588</v>
      </c>
      <c r="F12" s="17">
        <v>2017</v>
      </c>
      <c r="G12" s="17">
        <v>2022</v>
      </c>
      <c r="H12">
        <f t="shared" si="0"/>
        <v>6</v>
      </c>
      <c r="I12" t="s">
        <v>1589</v>
      </c>
      <c r="J12" t="s">
        <v>1590</v>
      </c>
      <c r="K12" s="28">
        <f>(AVERAGE('Poli Stab'!BJ123:BO123)+AVERAGE('Poli Stab'!BJ208:BO208))/2</f>
        <v>-0.12046065771331393</v>
      </c>
      <c r="L12" s="28" t="str">
        <f t="array" ref="L12">_xlfn.IFS(
K12&lt;= $AD$3, "1st Quintile (Lowest)",
K12&lt;= $AE$3, "2nd Quintile (Median)",
K12&lt;= $AF$3, "3rd Quintile",
TRUE, "Above 3rd Quintile"
)</f>
        <v>Above 3rd Quintile</v>
      </c>
      <c r="M12" s="28">
        <f>(AVERAGE(Inflation!BJ123:BO123)+AVERAGE(Inflation!BJ208:BO208))/2</f>
        <v>4.4100606971385687</v>
      </c>
      <c r="N12" s="28" t="str">
        <f t="array" ref="N12">_xlfn.IFS(
M12&lt;= $AD$4, "1st Quintile (Lowest)",
M12&lt;= $AE$4, "2nd Quintile (Median)",
M12&lt;= $AF$4, "3rd Quintile",
TRUE, "Above 3rd Quintile"
)</f>
        <v>2nd Quintile (Median)</v>
      </c>
      <c r="O12" s="32">
        <f>(AVERAGE('GDP Per Capita'!BJ123:BO123)+AVERAGE('GDP Per Capita'!BJ208:BO208))/2</f>
        <v>5914.3671995193035</v>
      </c>
      <c r="P12" t="str">
        <f t="array" ref="P12">_xlfn.IFS(
O12&lt;= $AD$5, "1st Quintile (Lowest)",
O12&lt;= $AE$5, "2nd Quintile (Median)",
O12&lt;= $AF$5, "3rd Quintile",
TRUE, "Above 3rd Quintile"
)</f>
        <v>3rd Quintile</v>
      </c>
      <c r="Q12" s="46" t="str">
        <f t="array" ref="Q12">_xlfn.IFS(
    (L12="1st Quintile (Lowest)")+(N12="Above 3rd Quintile"), "Group 1",
    ((L12="2nd Quintile (Median)")+(L12="3rd Quintile")+(N12="2nd Quintile")+(N12="3rd Quintile")), "Group 2",
    TRUE, "Group 3"
)</f>
        <v>Group 3</v>
      </c>
      <c r="R12" t="str">
        <v>R2J</v>
      </c>
      <c r="S12" t="str">
        <v>MDF-PH1-2</v>
      </c>
      <c r="T12" t="str">
        <v>PMDP</v>
      </c>
      <c r="U12" t="str">
        <f t="array" ref="U12">_xlfn.IFS(
    ((L12="1st Quintile (Lowest)")+(N12="Above 3rd Quintile"))*(H12&gt;5), "Group 1 - Long",
    ((L12="1st Quintile (Lowest)")+(N12="Above 3rd Quintile"))*(H12&lt;=5), "Group 1 - Short",
    ((L12="2nd Quintile (Median)")+(L12="3rd Quintile")+(N12="2nd Quintile")+(N12="3rd Quintile"))*(H12&gt;5), "Group 2 - Long",
    ((L12="2nd Quintile (Median)")+(L12="3rd Quintile")+(N12="2nd Quintile")+(N12="3rd Quintile"))*(H12&lt;=5), "Group 2 - Short",
    H12&gt;5, "Group 3 - Long",
    H12&lt;=5, "Group 3 - Short"
)</f>
        <v>Group 3 - Long</v>
      </c>
      <c r="V12" t="str">
        <v>Katalyst-PH1-2</v>
      </c>
    </row>
    <row r="13" spans="1:32" ht="14.45" customHeight="1" x14ac:dyDescent="0.25">
      <c r="A13" s="17" t="s">
        <v>297</v>
      </c>
      <c r="B13" s="17" t="s">
        <v>298</v>
      </c>
      <c r="C13" t="s">
        <v>171</v>
      </c>
      <c r="D13" s="17" t="s">
        <v>182</v>
      </c>
      <c r="E13" s="17" t="e">
        <v>#VALUE!</v>
      </c>
      <c r="F13" s="17">
        <v>2016</v>
      </c>
      <c r="G13" s="17">
        <v>2021</v>
      </c>
      <c r="H13">
        <f t="shared" si="0"/>
        <v>6</v>
      </c>
      <c r="I13" t="s">
        <v>39</v>
      </c>
      <c r="J13" t="s">
        <v>139</v>
      </c>
      <c r="K13" s="28">
        <f>AVERAGE('Poli Stab'!BI25:BN25)</f>
        <v>-1.0633762677510565</v>
      </c>
      <c r="L13" s="28" t="str">
        <f t="array" ref="L13">_xlfn.IFS(
K13&lt;= $AD$3, "1st Quintile (Lowest)",
K13&lt;= $AE$3, "2nd Quintile (Median)",
K13&lt;= $AF$3, "3rd Quintile",
TRUE, "Above 3rd Quintile"
)</f>
        <v>2nd Quintile (Median)</v>
      </c>
      <c r="M13" s="28">
        <f>AVERAGE(Inflation!BI25:BN25)</f>
        <v>5.5979904555783735</v>
      </c>
      <c r="N13" s="28" t="str">
        <f t="array" ref="N13">_xlfn.IFS(
M13&lt;= $AD$4, "1st Quintile (Lowest)",
M13&lt;= $AE$4, "2nd Quintile (Median)",
M13&lt;= $AF$4, "3rd Quintile",
TRUE, "Above 3rd Quintile"
)</f>
        <v>2nd Quintile (Median)</v>
      </c>
      <c r="O13" s="32">
        <f>AVERAGE('GDP Per Capita'!BI25:BN25)</f>
        <v>5846.7792599335362</v>
      </c>
      <c r="P13" t="str">
        <f t="array" ref="P13">_xlfn.IFS(
O13&lt;= $AD$5, "1st Quintile (Lowest)",
O13&lt;= $AE$5, "2nd Quintile (Median)",
O13&lt;= $AF$5, "3rd Quintile",
TRUE, "Above 3rd Quintile"
)</f>
        <v>3rd Quintile</v>
      </c>
      <c r="Q13" s="46" t="str">
        <f t="array" ref="Q13">_xlfn.IFS(
    (L13="1st Quintile (Lowest)")+(N13="Above 3rd Quintile"), "Group 1",
    ((L13="2nd Quintile (Median)")+(L13="3rd Quintile")+(N13="2nd Quintile")+(N13="3rd Quintile")), "Group 2",
    TRUE, "Group 3"
)</f>
        <v>Group 2</v>
      </c>
      <c r="R13" t="str">
        <v>PRIME</v>
      </c>
      <c r="S13" t="str">
        <v>ACLP</v>
      </c>
      <c r="U13" t="str">
        <f t="array" ref="U13">_xlfn.IFS(
    ((L13="1st Quintile (Lowest)")+(N13="Above 3rd Quintile"))*(H13&gt;5), "Group 1 - Long",
    ((L13="1st Quintile (Lowest)")+(N13="Above 3rd Quintile"))*(H13&lt;=5), "Group 1 - Short",
    ((L13="2nd Quintile (Median)")+(L13="3rd Quintile")+(N13="2nd Quintile")+(N13="3rd Quintile"))*(H13&gt;5), "Group 2 - Long",
    ((L13="2nd Quintile (Median)")+(L13="3rd Quintile")+(N13="2nd Quintile")+(N13="3rd Quintile"))*(H13&lt;=5), "Group 2 - Short",
    H13&gt;5, "Group 3 - Long",
    H13&lt;=5, "Group 3 - Short"
)</f>
        <v>Group 2 - Long</v>
      </c>
      <c r="V13" t="str">
        <v>FTF Inova</v>
      </c>
    </row>
    <row r="14" spans="1:32" ht="14.45" customHeight="1" x14ac:dyDescent="0.25">
      <c r="A14" s="17" t="s">
        <v>43</v>
      </c>
      <c r="B14" s="17" t="s">
        <v>1591</v>
      </c>
      <c r="C14" t="s">
        <v>45</v>
      </c>
      <c r="D14" s="17" t="s">
        <v>46</v>
      </c>
      <c r="E14" s="17" t="e">
        <v>#VALUE!</v>
      </c>
      <c r="F14" s="17">
        <v>2017</v>
      </c>
      <c r="G14" s="17">
        <v>2020</v>
      </c>
      <c r="H14">
        <f t="shared" si="0"/>
        <v>4</v>
      </c>
      <c r="I14" t="s">
        <v>39</v>
      </c>
      <c r="J14" t="s">
        <v>47</v>
      </c>
      <c r="K14" s="28">
        <f>AVERAGE('Poli Stab'!BJ189:BM189)</f>
        <v>-2.17384085059166</v>
      </c>
      <c r="L14" s="28" t="str">
        <f t="array" ref="L14">_xlfn.IFS(
K14&lt;= $AD$3, "1st Quintile (Lowest)",
K14&lt;= $AE$3, "2nd Quintile (Median)",
K14&lt;= $AF$3, "3rd Quintile",
TRUE, "Above 3rd Quintile"
)</f>
        <v>1st Quintile (Lowest)</v>
      </c>
      <c r="M14" s="28">
        <f>AVERAGE(Inflation!BJ189:BM189)</f>
        <v>7.3704464696130687</v>
      </c>
      <c r="N14" s="28" t="str">
        <f t="array" ref="N14">_xlfn.IFS(
M14&lt;= $AD$4, "1st Quintile (Lowest)",
M14&lt;= $AE$4, "2nd Quintile (Median)",
M14&lt;= $AF$4, "3rd Quintile",
TRUE, "Above 3rd Quintile"
)</f>
        <v>Above 3rd Quintile</v>
      </c>
      <c r="O14" s="32">
        <f>AVERAGE('GDP Per Capita'!BJ189:BM189)</f>
        <v>4963.6163209086953</v>
      </c>
      <c r="P14" t="str">
        <f t="array" ref="P14">_xlfn.IFS(
O14&lt;= $AD$5, "1st Quintile (Lowest)",
O14&lt;= $AE$5, "2nd Quintile (Median)",
O14&lt;= $AF$5, "3rd Quintile",
TRUE, "Above 3rd Quintile"
)</f>
        <v>2nd Quintile (Median)</v>
      </c>
      <c r="Q14" s="46" t="str">
        <f t="array" ref="Q14">_xlfn.IFS(
    (L14="1st Quintile (Lowest)")+(N14="Above 3rd Quintile"), "Group 1",
    ((L14="2nd Quintile (Median)")+(L14="3rd Quintile")+(N14="2nd Quintile")+(N14="3rd Quintile")), "Group 2",
    TRUE, "Group 3"
)</f>
        <v>Group 1</v>
      </c>
      <c r="R14" t="str">
        <v>Katalyst-PH1</v>
      </c>
      <c r="U14" t="str">
        <f t="array" ref="U14">_xlfn.IFS(
    ((L14="1st Quintile (Lowest)")+(N14="Above 3rd Quintile"))*(H14&gt;5), "Group 1 - Long",
    ((L14="1st Quintile (Lowest)")+(N14="Above 3rd Quintile"))*(H14&lt;=5), "Group 1 - Short",
    ((L14="2nd Quintile (Median)")+(L14="3rd Quintile")+(N14="2nd Quintile")+(N14="3rd Quintile"))*(H14&gt;5), "Group 2 - Long",
    ((L14="2nd Quintile (Median)")+(L14="3rd Quintile")+(N14="2nd Quintile")+(N14="3rd Quintile"))*(H14&lt;=5), "Group 2 - Short",
    H14&gt;5, "Group 3 - Long",
    H14&lt;=5, "Group 3 - Short"
)</f>
        <v>Group 1 - Short</v>
      </c>
      <c r="V14" t="str">
        <v>MADE-Ghana</v>
      </c>
    </row>
    <row r="15" spans="1:32" ht="14.45" customHeight="1" x14ac:dyDescent="0.25">
      <c r="A15" s="4" t="s">
        <v>275</v>
      </c>
      <c r="B15" t="s">
        <v>276</v>
      </c>
      <c r="C15" t="s">
        <v>137</v>
      </c>
      <c r="D15" s="17" t="s">
        <v>277</v>
      </c>
      <c r="E15" t="e">
        <v>#VALUE!</v>
      </c>
      <c r="F15">
        <v>2014</v>
      </c>
      <c r="G15">
        <v>2020</v>
      </c>
      <c r="H15">
        <f t="shared" si="0"/>
        <v>7</v>
      </c>
      <c r="I15" t="s">
        <v>278</v>
      </c>
      <c r="J15" t="s">
        <v>93</v>
      </c>
      <c r="K15" s="28">
        <f>AVERAGE('Poli Stab'!BG269:BM269)</f>
        <v>5.8651084346430619E-2</v>
      </c>
      <c r="L15" s="28" t="str">
        <f t="array" ref="L15">_xlfn.IFS(
K15&lt;= $AD$3, "1st Quintile (Lowest)",
K15&lt;= $AE$3, "2nd Quintile (Median)",
K15&lt;= $AF$3, "3rd Quintile",
TRUE, "Above 3rd Quintile"
)</f>
        <v>Above 3rd Quintile</v>
      </c>
      <c r="M15" s="28">
        <f>AVERAGE(Inflation!BG269:BM269)</f>
        <v>10.677494127256198</v>
      </c>
      <c r="N15" s="28" t="str">
        <f t="array" ref="N15">_xlfn.IFS(
M15&lt;= $AD$4, "1st Quintile (Lowest)",
M15&lt;= $AE$4, "2nd Quintile (Median)",
M15&lt;= $AF$4, "3rd Quintile",
TRUE, "Above 3rd Quintile"
)</f>
        <v>Above 3rd Quintile</v>
      </c>
      <c r="O15" s="32">
        <f>AVERAGE('GDP Per Capita'!BG269:BM269)</f>
        <v>3349.2482305740455</v>
      </c>
      <c r="P15" t="str">
        <f t="array" ref="P15">_xlfn.IFS(
O15&lt;= $AD$5, "1st Quintile (Lowest)",
O15&lt;= $AE$5, "2nd Quintile (Median)",
O15&lt;= $AF$5, "3rd Quintile",
TRUE, "Above 3rd Quintile"
)</f>
        <v>2nd Quintile (Median)</v>
      </c>
      <c r="Q15" s="46" t="str">
        <f t="array" ref="Q15">_xlfn.IFS(
    (L15="1st Quintile (Lowest)")+(N15="Above 3rd Quintile"), "Group 1",
    ((L15="2nd Quintile (Median)")+(L15="3rd Quintile")+(N15="2nd Quintile")+(N15="3rd Quintile")), "Group 2",
    TRUE, "Group 3"
)</f>
        <v>Group 1</v>
      </c>
      <c r="R15" t="str">
        <v>Katalyst-PH2</v>
      </c>
      <c r="U15" t="str">
        <f t="array" ref="U15">_xlfn.IFS(
    ((L15="1st Quintile (Lowest)")+(N15="Above 3rd Quintile"))*(H15&gt;5), "Group 1 - Long",
    ((L15="1st Quintile (Lowest)")+(N15="Above 3rd Quintile"))*(H15&lt;=5), "Group 1 - Short",
    ((L15="2nd Quintile (Median)")+(L15="3rd Quintile")+(N15="2nd Quintile")+(N15="3rd Quintile"))*(H15&gt;5), "Group 2 - Long",
    ((L15="2nd Quintile (Median)")+(L15="3rd Quintile")+(N15="2nd Quintile")+(N15="3rd Quintile"))*(H15&lt;=5), "Group 2 - Short",
    H15&gt;5, "Group 3 - Long",
    H15&lt;=5, "Group 3 - Short"
)</f>
        <v>Group 1 - Long</v>
      </c>
    </row>
    <row r="16" spans="1:32" ht="14.45" customHeight="1" x14ac:dyDescent="0.25">
      <c r="A16" s="4" t="s">
        <v>385</v>
      </c>
      <c r="B16" t="s">
        <v>386</v>
      </c>
      <c r="C16" t="s">
        <v>137</v>
      </c>
      <c r="D16" s="17" t="s">
        <v>230</v>
      </c>
      <c r="E16" t="e">
        <v>#VALUE!</v>
      </c>
      <c r="F16">
        <v>2013</v>
      </c>
      <c r="G16">
        <v>2020</v>
      </c>
      <c r="H16">
        <f t="shared" si="0"/>
        <v>8</v>
      </c>
      <c r="I16" t="s">
        <v>387</v>
      </c>
      <c r="J16" t="s">
        <v>93</v>
      </c>
      <c r="K16" s="28">
        <f>AVERAGE('Poli Stab'!BF77:BM77)</f>
        <v>-1.4837734550237649</v>
      </c>
      <c r="L16" s="28" t="str">
        <f t="array" ref="L16">_xlfn.IFS(
K16&lt;= $AD$3, "1st Quintile (Lowest)",
K16&lt;= $AE$3, "2nd Quintile (Median)",
K16&lt;= $AF$3, "3rd Quintile",
TRUE, "Above 3rd Quintile"
)</f>
        <v>1st Quintile (Lowest)</v>
      </c>
      <c r="M16" s="28">
        <f>AVERAGE(Inflation!BF77:BM77)</f>
        <v>11.404650511542888</v>
      </c>
      <c r="N16" s="28" t="str">
        <f t="array" ref="N16">_xlfn.IFS(
M16&lt;= $AD$4, "1st Quintile (Lowest)",
M16&lt;= $AE$4, "2nd Quintile (Median)",
M16&lt;= $AF$4, "3rd Quintile",
TRUE, "Above 3rd Quintile"
)</f>
        <v>Above 3rd Quintile</v>
      </c>
      <c r="O16" s="32">
        <f>AVERAGE('GDP Per Capita'!BF77:BM77)</f>
        <v>1872.1209334359066</v>
      </c>
      <c r="P16" t="str">
        <f t="array" ref="P16">_xlfn.IFS(
O16&lt;= $AD$5, "1st Quintile (Lowest)",
O16&lt;= $AE$5, "2nd Quintile (Median)",
O16&lt;= $AF$5, "3rd Quintile",
TRUE, "Above 3rd Quintile"
)</f>
        <v>1st Quintile (Lowest)</v>
      </c>
      <c r="Q16" s="46" t="str">
        <f t="array" ref="Q16">_xlfn.IFS(
    (L16="1st Quintile (Lowest)")+(N16="Above 3rd Quintile"), "Group 1",
    ((L16="2nd Quintile (Median)")+(L16="3rd Quintile")+(N16="2nd Quintile")+(N16="3rd Quintile")), "Group 2",
    TRUE, "Group 3"
)</f>
        <v>Group 1</v>
      </c>
      <c r="R16" t="str">
        <v>Katalyst-PH1-2</v>
      </c>
      <c r="U16" t="str">
        <f t="array" ref="U16">_xlfn.IFS(
    ((L16="1st Quintile (Lowest)")+(N16="Above 3rd Quintile"))*(H16&gt;5), "Group 1 - Long",
    ((L16="1st Quintile (Lowest)")+(N16="Above 3rd Quintile"))*(H16&lt;=5), "Group 1 - Short",
    ((L16="2nd Quintile (Median)")+(L16="3rd Quintile")+(N16="2nd Quintile")+(N16="3rd Quintile"))*(H16&gt;5), "Group 2 - Long",
    ((L16="2nd Quintile (Median)")+(L16="3rd Quintile")+(N16="2nd Quintile")+(N16="3rd Quintile"))*(H16&lt;=5), "Group 2 - Short",
    H16&gt;5, "Group 3 - Long",
    H16&lt;=5, "Group 3 - Short"
)</f>
        <v>Group 1 - Long</v>
      </c>
    </row>
    <row r="17" spans="1:21" ht="14.45" customHeight="1" x14ac:dyDescent="0.25">
      <c r="A17" s="17" t="s">
        <v>232</v>
      </c>
      <c r="B17" s="17" t="s">
        <v>233</v>
      </c>
      <c r="C17" t="s">
        <v>234</v>
      </c>
      <c r="D17" s="17" t="s">
        <v>235</v>
      </c>
      <c r="E17" s="17" t="s">
        <v>236</v>
      </c>
      <c r="F17" s="17">
        <v>2017</v>
      </c>
      <c r="G17" s="17">
        <v>2021</v>
      </c>
      <c r="H17">
        <f t="shared" si="0"/>
        <v>5</v>
      </c>
      <c r="I17" t="s">
        <v>237</v>
      </c>
      <c r="J17" t="s">
        <v>238</v>
      </c>
      <c r="K17" s="28">
        <f>(AVERAGE('Poli Stab'!BJ24:BN24)+AVERAGE('Poli Stab'!BJ77:BN77)+AVERAGE('Poli Stab'!BJ212:BN212)+AVERAGE('Poli Stab'!BJ208:BN208))/4</f>
        <v>-0.73671676218509685</v>
      </c>
      <c r="L17" s="28" t="str">
        <f t="array" ref="L17">_xlfn.IFS(
K17&lt;= $AD$3, "1st Quintile (Lowest)",
K17&lt;= $AE$3, "2nd Quintile (Median)",
K17&lt;= $AF$3, "3rd Quintile",
TRUE, "Above 3rd Quintile"
)</f>
        <v>2nd Quintile (Median)</v>
      </c>
      <c r="M17" s="28">
        <f>(AVERAGE(Inflation!BJ24:BN24)+AVERAGE(Inflation!BJ77:BN77)+AVERAGE(Inflation!BJ212:BN212)+AVERAGE(Inflation!BJ208:BN208))/4</f>
        <v>6.11535740701283</v>
      </c>
      <c r="N17" s="28" t="str">
        <f t="array" ref="N17">_xlfn.IFS(
M17&lt;= $AD$4, "1st Quintile (Lowest)",
M17&lt;= $AE$4, "2nd Quintile (Median)",
M17&lt;= $AF$4, "3rd Quintile",
TRUE, "Above 3rd Quintile"
)</f>
        <v>2nd Quintile (Median)</v>
      </c>
      <c r="O17" s="32">
        <f>(AVERAGE('GDP Per Capita'!BJ24:BN24)+AVERAGE('GDP Per Capita'!BJ77:BN77)+AVERAGE('GDP Per Capita'!BJ212:BN212)+AVERAGE('GDP Per Capita'!BJ208:BN208))/4</f>
        <v>2609.4846858213045</v>
      </c>
      <c r="P17" t="str">
        <f t="array" ref="P17">_xlfn.IFS(
O17&lt;= $AD$5, "1st Quintile (Lowest)",
O17&lt;= $AE$5, "2nd Quintile (Median)",
O17&lt;= $AF$5, "3rd Quintile",
TRUE, "Above 3rd Quintile"
)</f>
        <v>2nd Quintile (Median)</v>
      </c>
      <c r="Q17" s="46" t="str">
        <f t="array" ref="Q17">_xlfn.IFS(
    (L17="1st Quintile (Lowest)")+(N17="Above 3rd Quintile"), "Group 1",
    ((L17="2nd Quintile (Median)")+(L17="3rd Quintile")+(N17="2nd Quintile")+(N17="3rd Quintile")), "Group 2",
    TRUE, "Group 3"
)</f>
        <v>Group 2</v>
      </c>
      <c r="R17" t="str">
        <v>FTF Inova</v>
      </c>
      <c r="U17" t="str">
        <f t="array" ref="U17">_xlfn.IFS(
    ((L17="1st Quintile (Lowest)")+(N17="Above 3rd Quintile"))*(H17&gt;5), "Group 1 - Long",
    ((L17="1st Quintile (Lowest)")+(N17="Above 3rd Quintile"))*(H17&lt;=5), "Group 1 - Short",
    ((L17="2nd Quintile (Median)")+(L17="3rd Quintile")+(N17="2nd Quintile")+(N17="3rd Quintile"))*(H17&gt;5), "Group 2 - Long",
    ((L17="2nd Quintile (Median)")+(L17="3rd Quintile")+(N17="2nd Quintile")+(N17="3rd Quintile"))*(H17&lt;=5), "Group 2 - Short",
    H17&gt;5, "Group 3 - Long",
    H17&lt;=5, "Group 3 - Short"
)</f>
        <v>Group 2 - Short</v>
      </c>
    </row>
    <row r="18" spans="1:21" ht="14.45" customHeight="1" x14ac:dyDescent="0.25">
      <c r="A18" s="17" t="s">
        <v>354</v>
      </c>
      <c r="B18" s="17" t="s">
        <v>355</v>
      </c>
      <c r="C18" t="s">
        <v>1607</v>
      </c>
      <c r="D18" s="17" t="s">
        <v>356</v>
      </c>
      <c r="E18" s="17" t="e">
        <v>#VALUE!</v>
      </c>
      <c r="F18" s="17">
        <v>2007</v>
      </c>
      <c r="G18" s="17">
        <v>2022</v>
      </c>
      <c r="H18">
        <f t="shared" si="0"/>
        <v>16</v>
      </c>
      <c r="I18" t="s">
        <v>39</v>
      </c>
      <c r="J18" t="s">
        <v>93</v>
      </c>
      <c r="K18" s="28">
        <f>AVERAGE('Poli Stab'!AZ251:BO251)</f>
        <v>-0.2957336076651701</v>
      </c>
      <c r="L18" s="28" t="str">
        <f t="array" ref="L18">_xlfn.IFS(
K18&lt;= $AD$3, "1st Quintile (Lowest)",
K18&lt;= $AE$3, "2nd Quintile (Median)",
K18&lt;= $AF$3, "3rd Quintile",
TRUE, "Above 3rd Quintile"
)</f>
        <v>Above 3rd Quintile</v>
      </c>
      <c r="M18" s="28">
        <f>AVERAGE(Inflation!AZ251:BO251)</f>
        <v>7.0445354038093262</v>
      </c>
      <c r="N18" s="28" t="str">
        <f t="array" ref="N18">_xlfn.IFS(
M18&lt;= $AD$4, "1st Quintile (Lowest)",
M18&lt;= $AE$4, "2nd Quintile (Median)",
M18&lt;= $AF$4, "3rd Quintile",
TRUE, "Above 3rd Quintile"
)</f>
        <v>Above 3rd Quintile</v>
      </c>
      <c r="O18" s="32">
        <f>AVERAGE('GDP Per Capita'!AZ251:BO251)</f>
        <v>2498.7546997070322</v>
      </c>
      <c r="P18" t="str">
        <f t="array" ref="P18">_xlfn.IFS(
O18&lt;= $AD$5, "1st Quintile (Lowest)",
O18&lt;= $AE$5, "2nd Quintile (Median)",
O18&lt;= $AF$5, "3rd Quintile",
TRUE, "Above 3rd Quintile"
)</f>
        <v>2nd Quintile (Median)</v>
      </c>
      <c r="Q18" s="46" t="str">
        <f t="array" ref="Q18">_xlfn.IFS(
    (L18="1st Quintile (Lowest)")+(N18="Above 3rd Quintile"), "Group 1",
    ((L18="2nd Quintile (Median)")+(L18="3rd Quintile")+(N18="2nd Quintile")+(N18="3rd Quintile")), "Group 2",
    TRUE, "Group 3"
)</f>
        <v>Group 1</v>
      </c>
      <c r="R18" t="str">
        <v>MADE-Ghana</v>
      </c>
      <c r="U18" t="str">
        <f t="array" ref="U18">_xlfn.IFS(
    ((L18="1st Quintile (Lowest)")+(N18="Above 3rd Quintile"))*(H18&gt;5), "Group 1 - Long",
    ((L18="1st Quintile (Lowest)")+(N18="Above 3rd Quintile"))*(H18&lt;=5), "Group 1 - Short",
    ((L18="2nd Quintile (Median)")+(L18="3rd Quintile")+(N18="2nd Quintile")+(N18="3rd Quintile"))*(H18&gt;5), "Group 2 - Long",
    ((L18="2nd Quintile (Median)")+(L18="3rd Quintile")+(N18="2nd Quintile")+(N18="3rd Quintile"))*(H18&lt;=5), "Group 2 - Short",
    H18&gt;5, "Group 3 - Long",
    H18&lt;=5, "Group 3 - Short"
)</f>
        <v>Group 1 - Long</v>
      </c>
    </row>
    <row r="19" spans="1:21" ht="14.45" customHeight="1" x14ac:dyDescent="0.25">
      <c r="A19" s="17" t="s">
        <v>306</v>
      </c>
      <c r="B19" t="s">
        <v>1608</v>
      </c>
      <c r="C19" t="s">
        <v>137</v>
      </c>
      <c r="D19" s="17" t="s">
        <v>230</v>
      </c>
      <c r="E19" s="17" t="e">
        <v>#VALUE!</v>
      </c>
      <c r="F19">
        <v>2013</v>
      </c>
      <c r="G19">
        <v>2020</v>
      </c>
      <c r="H19">
        <f t="shared" si="0"/>
        <v>8</v>
      </c>
      <c r="I19" t="s">
        <v>39</v>
      </c>
      <c r="J19" t="s">
        <v>84</v>
      </c>
      <c r="K19" s="28">
        <f>AVERAGE('Poli Stab'!BF179:BM179)</f>
        <v>-1.9917204082012188</v>
      </c>
      <c r="L19" s="28" t="str">
        <f t="array" ref="L19">_xlfn.IFS(
K19&lt;= $AD$3, "1st Quintile (Lowest)",
K19&lt;= $AE$3, "2nd Quintile (Median)",
K19&lt;= $AF$3, "3rd Quintile",
TRUE, "Above 3rd Quintile"
)</f>
        <v>1st Quintile (Lowest)</v>
      </c>
      <c r="M19" s="28">
        <f>AVERAGE(Inflation!BF179:BM179)</f>
        <v>11.81112442224857</v>
      </c>
      <c r="N19" s="28" t="str">
        <f t="array" ref="N19">_xlfn.IFS(
M19&lt;= $AD$4, "1st Quintile (Lowest)",
M19&lt;= $AE$4, "2nd Quintile (Median)",
M19&lt;= $AF$4, "3rd Quintile",
TRUE, "Above 3rd Quintile"
)</f>
        <v>Above 3rd Quintile</v>
      </c>
      <c r="O19" s="32">
        <f>AVERAGE('GDP Per Capita'!BF179:BM179)</f>
        <v>7242.7010431256249</v>
      </c>
      <c r="P19" t="str">
        <f t="array" ref="P19">_xlfn.IFS(
O19&lt;= $AD$5, "1st Quintile (Lowest)",
O19&lt;= $AE$5, "2nd Quintile (Median)",
O19&lt;= $AF$5, "3rd Quintile",
TRUE, "Above 3rd Quintile"
)</f>
        <v>Above 3rd Quintile</v>
      </c>
      <c r="Q19" s="46" t="str">
        <f t="array" ref="Q19">_xlfn.IFS(
    (L19="1st Quintile (Lowest)")+(N19="Above 3rd Quintile"), "Group 1",
    ((L19="2nd Quintile (Median)")+(L19="3rd Quintile")+(N19="2nd Quintile")+(N19="3rd Quintile")), "Group 2",
    TRUE, "Group 3"
)</f>
        <v>Group 1</v>
      </c>
      <c r="U19" t="str">
        <f t="array" ref="U19">_xlfn.IFS(
    ((L19="1st Quintile (Lowest)")+(N19="Above 3rd Quintile"))*(H19&gt;5), "Group 1 - Long",
    ((L19="1st Quintile (Lowest)")+(N19="Above 3rd Quintile"))*(H19&lt;=5), "Group 1 - Short",
    ((L19="2nd Quintile (Median)")+(L19="3rd Quintile")+(N19="2nd Quintile")+(N19="3rd Quintile"))*(H19&gt;5), "Group 2 - Long",
    ((L19="2nd Quintile (Median)")+(L19="3rd Quintile")+(N19="2nd Quintile")+(N19="3rd Quintile"))*(H19&lt;=5), "Group 2 - Short",
    H19&gt;5, "Group 3 - Long",
    H19&lt;=5, "Group 3 - Short"
)</f>
        <v>Group 1 - Long</v>
      </c>
    </row>
    <row r="20" spans="1:21" ht="14.45" customHeight="1" x14ac:dyDescent="0.25">
      <c r="A20" s="17" t="s">
        <v>280</v>
      </c>
      <c r="B20" t="s">
        <v>281</v>
      </c>
      <c r="C20" t="s">
        <v>104</v>
      </c>
      <c r="D20" s="17" t="s">
        <v>230</v>
      </c>
      <c r="E20" s="17" t="e">
        <v>#VALUE!</v>
      </c>
      <c r="F20">
        <v>2010</v>
      </c>
      <c r="G20">
        <v>2021</v>
      </c>
      <c r="H20">
        <f t="shared" si="0"/>
        <v>12</v>
      </c>
      <c r="I20" t="s">
        <v>39</v>
      </c>
      <c r="J20" t="s">
        <v>84</v>
      </c>
      <c r="K20" s="28">
        <f>AVERAGE('Poli Stab'!BC170:BN170)</f>
        <v>-0.50970529268185338</v>
      </c>
      <c r="L20" s="28" t="str">
        <f t="array" ref="L20">_xlfn.IFS(
K20&lt;= $AD$3, "1st Quintile (Lowest)",
K20&lt;= $AE$3, "2nd Quintile (Median)",
K20&lt;= $AF$3, "3rd Quintile",
TRUE, "Above 3rd Quintile"
)</f>
        <v>3rd Quintile</v>
      </c>
      <c r="M20" s="28">
        <f>AVERAGE(Inflation!BC170:BN170)</f>
        <v>7.1420135159062283</v>
      </c>
      <c r="N20" s="28" t="str">
        <f t="array" ref="N20">_xlfn.IFS(
M20&lt;= $AD$4, "1st Quintile (Lowest)",
M20&lt;= $AE$4, "2nd Quintile (Median)",
M20&lt;= $AF$4, "3rd Quintile",
TRUE, "Above 3rd Quintile"
)</f>
        <v>Above 3rd Quintile</v>
      </c>
      <c r="O20" s="32">
        <f>AVERAGE('GDP Per Capita'!BC170:BN170)</f>
        <v>1248.5283327970769</v>
      </c>
      <c r="P20" t="str">
        <f t="array" ref="P20">_xlfn.IFS(
O20&lt;= $AD$5, "1st Quintile (Lowest)",
O20&lt;= $AE$5, "2nd Quintile (Median)",
O20&lt;= $AF$5, "3rd Quintile",
TRUE, "Above 3rd Quintile"
)</f>
        <v>1st Quintile (Lowest)</v>
      </c>
      <c r="Q20" s="46" t="str">
        <f t="array" ref="Q20">_xlfn.IFS(
    (L20="1st Quintile (Lowest)")+(N20="Above 3rd Quintile"), "Group 1",
    ((L20="2nd Quintile (Median)")+(L20="3rd Quintile")+(N20="2nd Quintile")+(N20="3rd Quintile")), "Group 2",
    TRUE, "Group 3"
)</f>
        <v>Group 1</v>
      </c>
      <c r="U20" t="str">
        <f t="array" ref="U20">_xlfn.IFS(
    ((L20="1st Quintile (Lowest)")+(N20="Above 3rd Quintile"))*(H20&gt;5), "Group 1 - Long",
    ((L20="1st Quintile (Lowest)")+(N20="Above 3rd Quintile"))*(H20&lt;=5), "Group 1 - Short",
    ((L20="2nd Quintile (Median)")+(L20="3rd Quintile")+(N20="2nd Quintile")+(N20="3rd Quintile"))*(H20&gt;5), "Group 2 - Long",
    ((L20="2nd Quintile (Median)")+(L20="3rd Quintile")+(N20="2nd Quintile")+(N20="3rd Quintile"))*(H20&lt;=5), "Group 2 - Short",
    H20&gt;5, "Group 3 - Long",
    H20&lt;=5, "Group 3 - Short"
)</f>
        <v>Group 1 - Long</v>
      </c>
    </row>
    <row r="21" spans="1:21" ht="14.45" customHeight="1" x14ac:dyDescent="0.25">
      <c r="A21" s="17" t="s">
        <v>252</v>
      </c>
      <c r="B21" t="s">
        <v>253</v>
      </c>
      <c r="C21" t="s">
        <v>1609</v>
      </c>
      <c r="D21" s="17" t="s">
        <v>230</v>
      </c>
      <c r="E21" s="17" t="e">
        <v>#VALUE!</v>
      </c>
      <c r="F21">
        <v>2015</v>
      </c>
      <c r="G21">
        <v>2019</v>
      </c>
      <c r="H21">
        <f t="shared" si="0"/>
        <v>5</v>
      </c>
      <c r="I21" t="s">
        <v>39</v>
      </c>
      <c r="J21" t="s">
        <v>93</v>
      </c>
      <c r="K21" s="28">
        <f>AVERAGE('Poli Stab'!BH218:BL218)</f>
        <v>-2.3205353736877443</v>
      </c>
      <c r="L21" s="28" t="str">
        <f t="array" ref="L21">_xlfn.IFS(
K21&lt;= $AD$3, "1st Quintile (Lowest)",
K21&lt;= $AE$3, "2nd Quintile (Median)",
K21&lt;= $AF$3, "3rd Quintile",
TRUE, "Above 3rd Quintile"
)</f>
        <v>1st Quintile (Lowest)</v>
      </c>
      <c r="M21" s="33"/>
      <c r="N21" s="28"/>
      <c r="O21" s="32">
        <f>AVERAGE('GDP Per Capita'!BH218:BL218)</f>
        <v>1501.3017444978518</v>
      </c>
      <c r="P21" t="str">
        <f t="array" ref="P21">_xlfn.IFS(
O21&lt;= $AD$5, "1st Quintile (Lowest)",
O21&lt;= $AE$5, "2nd Quintile (Median)",
O21&lt;= $AF$5, "3rd Quintile",
TRUE, "Above 3rd Quintile"
)</f>
        <v>1st Quintile (Lowest)</v>
      </c>
      <c r="Q21" s="46" t="str">
        <f t="array" ref="Q21">_xlfn.IFS(
    (L21="1st Quintile (Lowest)")+(N21="Above 3rd Quintile"), "Group 1",
    ((L21="2nd Quintile (Median)")+(L21="3rd Quintile")+(N21="2nd Quintile")+(N21="3rd Quintile")), "Group 2",
    TRUE, "Group 3"
)</f>
        <v>Group 1</v>
      </c>
      <c r="U21" t="str">
        <f t="array" ref="U21">_xlfn.IFS(
    ((L21="1st Quintile (Lowest)")+(N21="Above 3rd Quintile"))*(H21&gt;5), "Group 1 - Long",
    ((L21="1st Quintile (Lowest)")+(N21="Above 3rd Quintile"))*(H21&lt;=5), "Group 1 - Short",
    ((L21="2nd Quintile (Median)")+(L21="3rd Quintile")+(N21="2nd Quintile")+(N21="3rd Quintile"))*(H21&gt;5), "Group 2 - Long",
    ((L21="2nd Quintile (Median)")+(L21="3rd Quintile")+(N21="2nd Quintile")+(N21="3rd Quintile"))*(H21&lt;=5), "Group 2 - Short",
    H21&gt;5, "Group 3 - Long",
    H21&lt;=5, "Group 3 - Short"
)</f>
        <v>Group 1 - Short</v>
      </c>
    </row>
    <row r="22" spans="1:21" ht="14.45" customHeight="1" x14ac:dyDescent="0.25">
      <c r="A22" s="17" t="s">
        <v>382</v>
      </c>
      <c r="B22" t="s">
        <v>383</v>
      </c>
      <c r="C22" t="s">
        <v>45</v>
      </c>
      <c r="D22" s="17" t="s">
        <v>138</v>
      </c>
      <c r="E22" s="17" t="e">
        <v>#VALUE!</v>
      </c>
      <c r="F22">
        <v>2013</v>
      </c>
      <c r="G22">
        <v>2018</v>
      </c>
      <c r="H22">
        <f t="shared" si="0"/>
        <v>6</v>
      </c>
      <c r="I22" t="s">
        <v>39</v>
      </c>
      <c r="J22" t="s">
        <v>93</v>
      </c>
      <c r="K22" s="28">
        <f>AVERAGE('Poli Stab'!BF111:BK111)</f>
        <v>-0.49878624578316999</v>
      </c>
      <c r="L22" s="28" t="str">
        <f t="array" ref="L22">_xlfn.IFS(
K22&lt;= $AD$3, "1st Quintile (Lowest)",
K22&lt;= $AE$3, "2nd Quintile (Median)",
K22&lt;= $AF$3, "3rd Quintile",
TRUE, "Above 3rd Quintile"
)</f>
        <v>3rd Quintile</v>
      </c>
      <c r="M22" s="28">
        <f>AVERAGE(Inflation!BF111:BK111)</f>
        <v>4.9505824465433212</v>
      </c>
      <c r="N22" s="28" t="str">
        <f t="array" ref="N22">_xlfn.IFS(
M22&lt;= $AD$4, "1st Quintile (Lowest)",
M22&lt;= $AE$4, "2nd Quintile (Median)",
M22&lt;= $AF$4, "3rd Quintile",
TRUE, "Above 3rd Quintile"
)</f>
        <v>2nd Quintile (Median)</v>
      </c>
      <c r="O22" s="32">
        <f>AVERAGE('GDP Per Capita'!BF111:BK111)</f>
        <v>10380.094117553439</v>
      </c>
      <c r="P22" t="str">
        <f t="array" ref="P22">_xlfn.IFS(
O22&lt;= $AD$5, "1st Quintile (Lowest)",
O22&lt;= $AE$5, "2nd Quintile (Median)",
O22&lt;= $AF$5, "3rd Quintile",
TRUE, "Above 3rd Quintile"
)</f>
        <v>Above 3rd Quintile</v>
      </c>
      <c r="Q22" s="46" t="str">
        <f t="array" ref="Q22">_xlfn.IFS(
    (L22="1st Quintile (Lowest)")+(N22="Above 3rd Quintile"), "Group 1",
    ((L22="2nd Quintile (Median)")+(L22="3rd Quintile")+(N22="2nd Quintile")+(N22="3rd Quintile")), "Group 2",
    TRUE, "Group 3"
)</f>
        <v>Group 2</v>
      </c>
      <c r="U22" t="str">
        <f t="array" ref="U22">_xlfn.IFS(
    ((L22="1st Quintile (Lowest)")+(N22="Above 3rd Quintile"))*(H22&gt;5), "Group 1 - Long",
    ((L22="1st Quintile (Lowest)")+(N22="Above 3rd Quintile"))*(H22&lt;=5), "Group 1 - Short",
    ((L22="2nd Quintile (Median)")+(L22="3rd Quintile")+(N22="2nd Quintile")+(N22="3rd Quintile"))*(H22&gt;5), "Group 2 - Long",
    ((L22="2nd Quintile (Median)")+(L22="3rd Quintile")+(N22="2nd Quintile")+(N22="3rd Quintile"))*(H22&lt;=5), "Group 2 - Short",
    H22&gt;5, "Group 3 - Long",
    H22&lt;=5, "Group 3 - Short"
)</f>
        <v>Group 2 - Long</v>
      </c>
    </row>
    <row r="23" spans="1:21" ht="14.45" customHeight="1" x14ac:dyDescent="0.25">
      <c r="A23" s="17" t="s">
        <v>401</v>
      </c>
      <c r="B23" t="s">
        <v>402</v>
      </c>
      <c r="C23" t="s">
        <v>45</v>
      </c>
      <c r="D23" s="17" t="s">
        <v>138</v>
      </c>
      <c r="E23" s="17" t="e">
        <v>#VALUE!</v>
      </c>
      <c r="F23">
        <v>2019</v>
      </c>
      <c r="G23">
        <v>2023</v>
      </c>
      <c r="H23">
        <f t="shared" si="0"/>
        <v>5</v>
      </c>
      <c r="I23" t="s">
        <v>39</v>
      </c>
      <c r="J23" t="s">
        <v>40</v>
      </c>
      <c r="K23" s="28">
        <f>AVERAGE('Poli Stab'!BL111:BP111)</f>
        <v>-0.4908346295356748</v>
      </c>
      <c r="L23" s="28" t="str">
        <f t="array" ref="L23">_xlfn.IFS(
K23&lt;= $AD$3, "1st Quintile (Lowest)",
K23&lt;= $AE$3, "2nd Quintile (Median)",
K23&lt;= $AF$3, "3rd Quintile",
TRUE, "Above 3rd Quintile"
)</f>
        <v>Above 3rd Quintile</v>
      </c>
      <c r="M23" s="28">
        <f>AVERAGE(Inflation!BL111:BP111)</f>
        <v>2.8778699795406659</v>
      </c>
      <c r="N23" s="28" t="str">
        <f t="array" ref="N23">_xlfn.IFS(
M23&lt;= $AD$4, "1st Quintile (Lowest)",
M23&lt;= $AE$4, "2nd Quintile (Median)",
M23&lt;= $AF$4, "3rd Quintile",
TRUE, "Above 3rd Quintile"
)</f>
        <v>1st Quintile (Lowest)</v>
      </c>
      <c r="O23" s="32">
        <f>AVERAGE('GDP Per Capita'!BL111:BP111)</f>
        <v>13234.709891957693</v>
      </c>
      <c r="P23" t="str">
        <f t="array" ref="P23">_xlfn.IFS(
O23&lt;= $AD$5, "1st Quintile (Lowest)",
O23&lt;= $AE$5, "2nd Quintile (Median)",
O23&lt;= $AF$5, "3rd Quintile",
TRUE, "Above 3rd Quintile"
)</f>
        <v>Above 3rd Quintile</v>
      </c>
      <c r="Q23" s="46" t="str">
        <f t="array" ref="Q23">_xlfn.IFS(
    (L23="1st Quintile (Lowest)")+(N23="Above 3rd Quintile"), "Group 1",
    ((L23="2nd Quintile (Median)")+(L23="3rd Quintile")+(N23="2nd Quintile")+(N23="3rd Quintile")), "Group 2",
    TRUE, "Group 3"
)</f>
        <v>Group 3</v>
      </c>
      <c r="U23" t="str">
        <f t="array" ref="U23">_xlfn.IFS(
    ((L23="1st Quintile (Lowest)")+(N23="Above 3rd Quintile"))*(H23&gt;5), "Group 1 - Long",
    ((L23="1st Quintile (Lowest)")+(N23="Above 3rd Quintile"))*(H23&lt;=5), "Group 1 - Short",
    ((L23="2nd Quintile (Median)")+(L23="3rd Quintile")+(N23="2nd Quintile")+(N23="3rd Quintile"))*(H23&gt;5), "Group 2 - Long",
    ((L23="2nd Quintile (Median)")+(L23="3rd Quintile")+(N23="2nd Quintile")+(N23="3rd Quintile"))*(H23&lt;=5), "Group 2 - Short",
    H23&gt;5, "Group 3 - Long",
    H23&lt;=5, "Group 3 - Short"
)</f>
        <v>Group 3 - Short</v>
      </c>
    </row>
    <row r="24" spans="1:21" ht="14.45" customHeight="1" x14ac:dyDescent="0.25">
      <c r="A24" s="4" t="s">
        <v>166</v>
      </c>
      <c r="B24" t="s">
        <v>167</v>
      </c>
      <c r="C24" t="s">
        <v>80</v>
      </c>
      <c r="D24" s="17" t="s">
        <v>38</v>
      </c>
      <c r="E24" s="17" t="e">
        <v>#VALUE!</v>
      </c>
      <c r="F24">
        <v>2015</v>
      </c>
      <c r="G24">
        <v>2020</v>
      </c>
      <c r="H24">
        <f t="shared" si="0"/>
        <v>6</v>
      </c>
      <c r="I24" t="s">
        <v>39</v>
      </c>
      <c r="J24" t="s">
        <v>93</v>
      </c>
      <c r="K24" s="28">
        <f>AVERAGE('Poli Stab'!BH7:BM7)</f>
        <v>-2.6880764961242662</v>
      </c>
      <c r="L24" s="28" t="str">
        <f t="array" ref="L24">_xlfn.IFS(
K24&lt;= $AD$3, "1st Quintile (Lowest)",
K24&lt;= $AE$3, "2nd Quintile (Median)",
K24&lt;= $AF$3, "3rd Quintile",
TRUE, "Above 3rd Quintile"
)</f>
        <v>1st Quintile (Lowest)</v>
      </c>
      <c r="M24" s="28">
        <f>AVERAGE(Inflation!BH7:BM7)</f>
        <v>2.8714239791871936</v>
      </c>
      <c r="N24" s="28" t="str">
        <f t="array" ref="N24">_xlfn.IFS(
M24&lt;= $AD$4, "1st Quintile (Lowest)",
M24&lt;= $AE$4, "2nd Quintile (Median)",
M24&lt;= $AF$4, "3rd Quintile",
TRUE, "Above 3rd Quintile"
)</f>
        <v>1st Quintile (Lowest)</v>
      </c>
      <c r="O24" s="32">
        <f>AVERAGE('GDP Per Capita'!BH7:BM7)</f>
        <v>2401.7994908507148</v>
      </c>
      <c r="P24" t="str">
        <f t="array" ref="P24">_xlfn.IFS(
O24&lt;= $AD$5, "1st Quintile (Lowest)",
O24&lt;= $AE$5, "2nd Quintile (Median)",
O24&lt;= $AF$5, "3rd Quintile",
TRUE, "Above 3rd Quintile"
)</f>
        <v>2nd Quintile (Median)</v>
      </c>
      <c r="Q24" s="46" t="str">
        <f t="array" ref="Q24">_xlfn.IFS(
    (L24="1st Quintile (Lowest)")+(N24="Above 3rd Quintile"), "Group 1",
    ((L24="2nd Quintile (Median)")+(L24="3rd Quintile")+(N24="2nd Quintile")+(N24="3rd Quintile")), "Group 2",
    TRUE, "Group 3"
)</f>
        <v>Group 1</v>
      </c>
      <c r="U24" t="str">
        <f t="array" ref="U24">_xlfn.IFS(
    ((L24="1st Quintile (Lowest)")+(N24="Above 3rd Quintile"))*(H24&gt;5), "Group 1 - Long",
    ((L24="1st Quintile (Lowest)")+(N24="Above 3rd Quintile"))*(H24&lt;=5), "Group 1 - Short",
    ((L24="2nd Quintile (Median)")+(L24="3rd Quintile")+(N24="2nd Quintile")+(N24="3rd Quintile"))*(H24&gt;5), "Group 2 - Long",
    ((L24="2nd Quintile (Median)")+(L24="3rd Quintile")+(N24="2nd Quintile")+(N24="3rd Quintile"))*(H24&lt;=5), "Group 2 - Short",
    H24&gt;5, "Group 3 - Long",
    H24&lt;=5, "Group 3 - Short"
)</f>
        <v>Group 1 - Long</v>
      </c>
    </row>
    <row r="25" spans="1:21" ht="14.45" customHeight="1" x14ac:dyDescent="0.25">
      <c r="A25" s="4" t="s">
        <v>65</v>
      </c>
      <c r="B25" t="s">
        <v>66</v>
      </c>
      <c r="C25" t="s">
        <v>1610</v>
      </c>
      <c r="D25" s="17" t="s">
        <v>69</v>
      </c>
      <c r="E25" s="17" t="e">
        <v>#VALUE!</v>
      </c>
      <c r="F25">
        <v>2017</v>
      </c>
      <c r="G25">
        <v>2022</v>
      </c>
      <c r="H25">
        <f t="shared" si="0"/>
        <v>6</v>
      </c>
      <c r="I25" t="s">
        <v>39</v>
      </c>
      <c r="J25" t="s">
        <v>40</v>
      </c>
      <c r="K25" s="28">
        <f>AVERAGE('Poli Stab'!BJ111:BO111)</f>
        <v>-0.51779509584108963</v>
      </c>
      <c r="L25" s="28" t="str">
        <f t="array" ref="L25">_xlfn.IFS(
K25&lt;= $AD$3, "1st Quintile (Lowest)",
K25&lt;= $AE$3, "2nd Quintile (Median)",
K25&lt;= $AF$3, "3rd Quintile",
TRUE, "Above 3rd Quintile"
)</f>
        <v>3rd Quintile</v>
      </c>
      <c r="M25" s="28">
        <f>AVERAGE(Inflation!BJ111:BO111)</f>
        <v>2.9545182475458613</v>
      </c>
      <c r="N25" s="28" t="str">
        <f t="array" ref="N25">_xlfn.IFS(
M25&lt;= $AD$4, "1st Quintile (Lowest)",
M25&lt;= $AE$4, "2nd Quintile (Median)",
M25&lt;= $AF$4, "3rd Quintile",
TRUE, "Above 3rd Quintile"
)</f>
        <v>1st Quintile (Lowest)</v>
      </c>
      <c r="O25" s="32">
        <f>AVERAGE('GDP Per Capita'!BJ111:BO111)</f>
        <v>12136.263275740208</v>
      </c>
      <c r="P25" t="str">
        <f t="array" ref="P25">_xlfn.IFS(
O25&lt;= $AD$5, "1st Quintile (Lowest)",
O25&lt;= $AE$5, "2nd Quintile (Median)",
O25&lt;= $AF$5, "3rd Quintile",
TRUE, "Above 3rd Quintile"
)</f>
        <v>Above 3rd Quintile</v>
      </c>
      <c r="Q25" s="46" t="str">
        <f t="array" ref="Q25">_xlfn.IFS(
    (L25="1st Quintile (Lowest)")+(N25="Above 3rd Quintile"), "Group 1",
    ((L25="2nd Quintile (Median)")+(L25="3rd Quintile")+(N25="2nd Quintile")+(N25="3rd Quintile")), "Group 2",
    TRUE, "Group 3"
)</f>
        <v>Group 2</v>
      </c>
      <c r="U25" t="str">
        <f t="array" ref="U25">_xlfn.IFS(
    ((L25="1st Quintile (Lowest)")+(N25="Above 3rd Quintile"))*(H25&gt;5), "Group 1 - Long",
    ((L25="1st Quintile (Lowest)")+(N25="Above 3rd Quintile"))*(H25&lt;=5), "Group 1 - Short",
    ((L25="2nd Quintile (Median)")+(L25="3rd Quintile")+(N25="2nd Quintile")+(N25="3rd Quintile"))*(H25&gt;5), "Group 2 - Long",
    ((L25="2nd Quintile (Median)")+(L25="3rd Quintile")+(N25="2nd Quintile")+(N25="3rd Quintile"))*(H25&lt;=5), "Group 2 - Short",
    H25&gt;5, "Group 3 - Long",
    H25&lt;=5, "Group 3 - Short"
)</f>
        <v>Group 2 - Long</v>
      </c>
    </row>
    <row r="26" spans="1:21" ht="14.45" customHeight="1" x14ac:dyDescent="0.25">
      <c r="A26" s="17" t="s">
        <v>394</v>
      </c>
      <c r="B26" t="s">
        <v>395</v>
      </c>
      <c r="C26" t="s">
        <v>171</v>
      </c>
      <c r="D26" s="17" t="s">
        <v>53</v>
      </c>
      <c r="E26" t="e">
        <v>#VALUE!</v>
      </c>
      <c r="F26">
        <v>2012</v>
      </c>
      <c r="G26">
        <v>2019</v>
      </c>
      <c r="H26">
        <f t="shared" si="0"/>
        <v>8</v>
      </c>
      <c r="I26" t="s">
        <v>39</v>
      </c>
      <c r="J26" t="s">
        <v>139</v>
      </c>
      <c r="K26" s="28">
        <f>AVERAGE('Poli Stab'!BE77:BL77)</f>
        <v>-1.4600944966077798</v>
      </c>
      <c r="L26" s="28" t="str">
        <f t="array" ref="L26">_xlfn.IFS(
K26&lt;= $AD$3, "1st Quintile (Lowest)",
K26&lt;= $AE$3, "2nd Quintile (Median)",
K26&lt;= $AF$3, "3rd Quintile",
TRUE, "Above 3rd Quintile"
)</f>
        <v>2nd Quintile (Median)</v>
      </c>
      <c r="M26" s="28">
        <f>AVERAGE(Inflation!BE77:BL77)</f>
        <v>11.810159364219249</v>
      </c>
      <c r="N26" s="28" t="str">
        <f t="array" ref="N26">_xlfn.IFS(
M26&lt;= $AD$4, "1st Quintile (Lowest)",
M26&lt;= $AE$4, "2nd Quintile (Median)",
M26&lt;= $AF$4, "3rd Quintile",
TRUE, "Above 3rd Quintile"
)</f>
        <v>Above 3rd Quintile</v>
      </c>
      <c r="O26" s="32">
        <f>AVERAGE('GDP Per Capita'!BE77:BL77)</f>
        <v>1718.6441035288535</v>
      </c>
      <c r="P26" t="str">
        <f t="array" ref="P26">_xlfn.IFS(
O26&lt;= $AD$5, "1st Quintile (Lowest)",
O26&lt;= $AE$5, "2nd Quintile (Median)",
O26&lt;= $AF$5, "3rd Quintile",
TRUE, "Above 3rd Quintile"
)</f>
        <v>1st Quintile (Lowest)</v>
      </c>
      <c r="Q26" s="46" t="str">
        <f t="array" ref="Q26">_xlfn.IFS(
    (L26="1st Quintile (Lowest)")+(N26="Above 3rd Quintile"), "Group 1",
    ((L26="2nd Quintile (Median)")+(L26="3rd Quintile")+(N26="2nd Quintile")+(N26="3rd Quintile")), "Group 2",
    TRUE, "Group 3"
)</f>
        <v>Group 1</v>
      </c>
      <c r="U26" t="str">
        <f t="array" ref="U26">_xlfn.IFS(
    ((L26="1st Quintile (Lowest)")+(N26="Above 3rd Quintile"))*(H26&gt;5), "Group 1 - Long",
    ((L26="1st Quintile (Lowest)")+(N26="Above 3rd Quintile"))*(H26&lt;=5), "Group 1 - Short",
    ((L26="2nd Quintile (Median)")+(L26="3rd Quintile")+(N26="2nd Quintile")+(N26="3rd Quintile"))*(H26&gt;5), "Group 2 - Long",
    ((L26="2nd Quintile (Median)")+(L26="3rd Quintile")+(N26="2nd Quintile")+(N26="3rd Quintile"))*(H26&lt;=5), "Group 2 - Short",
    H26&gt;5, "Group 3 - Long",
    H26&lt;=5, "Group 3 - Short"
)</f>
        <v>Group 1 - Long</v>
      </c>
    </row>
    <row r="27" spans="1:21" ht="14.45" customHeight="1" x14ac:dyDescent="0.25">
      <c r="A27" s="17" t="s">
        <v>144</v>
      </c>
      <c r="B27" t="s">
        <v>145</v>
      </c>
      <c r="C27" t="s">
        <v>104</v>
      </c>
      <c r="D27" s="17" t="s">
        <v>146</v>
      </c>
      <c r="E27" s="17" t="e">
        <v>#VALUE!</v>
      </c>
      <c r="F27">
        <v>2016</v>
      </c>
      <c r="G27">
        <v>2020</v>
      </c>
      <c r="H27">
        <f t="shared" si="0"/>
        <v>5</v>
      </c>
      <c r="I27" t="s">
        <v>39</v>
      </c>
      <c r="J27" t="s">
        <v>139</v>
      </c>
      <c r="K27" s="28">
        <f>AVERAGE('Poli Stab'!BI25:BM25)</f>
        <v>-1.0686749696731559</v>
      </c>
      <c r="L27" s="28" t="str">
        <f t="array" ref="L27">_xlfn.IFS(
K27&lt;= $AD$3, "1st Quintile (Lowest)",
K27&lt;= $AE$3, "2nd Quintile (Median)",
K27&lt;= $AF$3, "3rd Quintile",
TRUE, "Above 3rd Quintile"
)</f>
        <v>2nd Quintile (Median)</v>
      </c>
      <c r="M27" s="28">
        <f>AVERAGE(Inflation!BI25:BM25)</f>
        <v>5.6084576851471022</v>
      </c>
      <c r="N27" s="28" t="str">
        <f t="array" ref="N27">_xlfn.IFS(
M27&lt;= $AD$4, "1st Quintile (Lowest)",
M27&lt;= $AE$4, "2nd Quintile (Median)",
M27&lt;= $AF$4, "3rd Quintile",
TRUE, "Above 3rd Quintile"
)</f>
        <v>2nd Quintile (Median)</v>
      </c>
      <c r="O27" s="32">
        <f>AVERAGE('GDP Per Capita'!BI25:BM25)</f>
        <v>5527.9212839977354</v>
      </c>
      <c r="P27" t="str">
        <f t="array" ref="P27">_xlfn.IFS(
O27&lt;= $AD$5, "1st Quintile (Lowest)",
O27&lt;= $AE$5, "2nd Quintile (Median)",
O27&lt;= $AF$5, "3rd Quintile",
TRUE, "Above 3rd Quintile"
)</f>
        <v>3rd Quintile</v>
      </c>
      <c r="Q27" s="46" t="str">
        <f t="array" ref="Q27">_xlfn.IFS(
    (L27="1st Quintile (Lowest)")+(N27="Above 3rd Quintile"), "Group 1",
    ((L27="2nd Quintile (Median)")+(L27="3rd Quintile")+(N27="2nd Quintile")+(N27="3rd Quintile")), "Group 2",
    TRUE, "Group 3"
)</f>
        <v>Group 2</v>
      </c>
      <c r="U27" t="str">
        <f t="array" ref="U27">_xlfn.IFS(
    ((L27="1st Quintile (Lowest)")+(N27="Above 3rd Quintile"))*(H27&gt;5), "Group 1 - Long",
    ((L27="1st Quintile (Lowest)")+(N27="Above 3rd Quintile"))*(H27&lt;=5), "Group 1 - Short",
    ((L27="2nd Quintile (Median)")+(L27="3rd Quintile")+(N27="2nd Quintile")+(N27="3rd Quintile"))*(H27&gt;5), "Group 2 - Long",
    ((L27="2nd Quintile (Median)")+(L27="3rd Quintile")+(N27="2nd Quintile")+(N27="3rd Quintile"))*(H27&lt;=5), "Group 2 - Short",
    H27&gt;5, "Group 3 - Long",
    H27&lt;=5, "Group 3 - Short"
)</f>
        <v>Group 2 - Short</v>
      </c>
    </row>
    <row r="28" spans="1:21" ht="14.45" customHeight="1" x14ac:dyDescent="0.25">
      <c r="A28" s="4" t="s">
        <v>331</v>
      </c>
      <c r="B28" t="s">
        <v>332</v>
      </c>
      <c r="C28" t="s">
        <v>1611</v>
      </c>
      <c r="D28" s="17" t="s">
        <v>74</v>
      </c>
      <c r="E28" s="17" t="e">
        <v>#VALUE!</v>
      </c>
      <c r="F28">
        <v>2003</v>
      </c>
      <c r="G28">
        <v>2008</v>
      </c>
      <c r="H28">
        <f t="shared" si="0"/>
        <v>6</v>
      </c>
      <c r="I28" t="s">
        <v>333</v>
      </c>
      <c r="J28" t="s">
        <v>93</v>
      </c>
      <c r="K28" s="28">
        <f>AVERAGE('Poli Stab'!AV25:BA25)</f>
        <v>-1.48306620121002</v>
      </c>
      <c r="L28" s="28" t="str">
        <f t="array" ref="L28">_xlfn.IFS(
K28&lt;= $AD$3, "1st Quintile (Lowest)",
K28&lt;= $AE$3, "2nd Quintile (Median)",
K28&lt;= $AF$3, "3rd Quintile",
TRUE, "Above 3rd Quintile"
)</f>
        <v>1st Quintile (Lowest)</v>
      </c>
      <c r="M28" s="28">
        <f>AVERAGE(Inflation!AV25:BA25)</f>
        <v>7.5128422193224971</v>
      </c>
      <c r="N28" s="28" t="str">
        <f t="array" ref="N28">_xlfn.IFS(
M28&lt;= $AD$4, "1st Quintile (Lowest)",
M28&lt;= $AE$4, "2nd Quintile (Median)",
M28&lt;= $AF$4, "3rd Quintile",
TRUE, "Above 3rd Quintile"
)</f>
        <v>Above 3rd Quintile</v>
      </c>
      <c r="O28" s="32">
        <f>AVERAGE('GDP Per Capita'!AV25:BA25)</f>
        <v>2127.6052008187567</v>
      </c>
      <c r="P28" t="str">
        <f t="array" ref="P28">_xlfn.IFS(
O28&lt;= $AD$5, "1st Quintile (Lowest)",
O28&lt;= $AE$5, "2nd Quintile (Median)",
O28&lt;= $AF$5, "3rd Quintile",
TRUE, "Above 3rd Quintile"
)</f>
        <v>1st Quintile (Lowest)</v>
      </c>
      <c r="Q28" s="46" t="str">
        <f t="array" ref="Q28">_xlfn.IFS(
    (L28="1st Quintile (Lowest)")+(N28="Above 3rd Quintile"), "Group 1",
    ((L28="2nd Quintile (Median)")+(L28="3rd Quintile")+(N28="2nd Quintile")+(N28="3rd Quintile")), "Group 2",
    TRUE, "Group 3"
)</f>
        <v>Group 1</v>
      </c>
      <c r="U28" t="str">
        <f t="array" ref="U28">_xlfn.IFS(
    ((L28="1st Quintile (Lowest)")+(N28="Above 3rd Quintile"))*(H28&gt;5), "Group 1 - Long",
    ((L28="1st Quintile (Lowest)")+(N28="Above 3rd Quintile"))*(H28&lt;=5), "Group 1 - Short",
    ((L28="2nd Quintile (Median)")+(L28="3rd Quintile")+(N28="2nd Quintile")+(N28="3rd Quintile"))*(H28&gt;5), "Group 2 - Long",
    ((L28="2nd Quintile (Median)")+(L28="3rd Quintile")+(N28="2nd Quintile")+(N28="3rd Quintile"))*(H28&lt;=5), "Group 2 - Short",
    H28&gt;5, "Group 3 - Long",
    H28&lt;=5, "Group 3 - Short"
)</f>
        <v>Group 1 - Long</v>
      </c>
    </row>
    <row r="29" spans="1:21" ht="14.45" customHeight="1" x14ac:dyDescent="0.25">
      <c r="A29" s="4" t="s">
        <v>358</v>
      </c>
      <c r="B29" t="s">
        <v>359</v>
      </c>
      <c r="C29" t="s">
        <v>1612</v>
      </c>
      <c r="D29" s="17" t="s">
        <v>74</v>
      </c>
      <c r="E29" s="17" t="e">
        <v>#VALUE!</v>
      </c>
      <c r="F29">
        <v>2008</v>
      </c>
      <c r="G29">
        <v>2013</v>
      </c>
      <c r="H29">
        <f t="shared" si="0"/>
        <v>6</v>
      </c>
      <c r="I29" t="s">
        <v>333</v>
      </c>
      <c r="J29" t="s">
        <v>93</v>
      </c>
      <c r="K29" s="28">
        <f>AVERAGE('Poli Stab'!BA25:BF25)</f>
        <v>-1.4820961554845169</v>
      </c>
      <c r="L29" s="28" t="str">
        <f t="array" ref="L29">_xlfn.IFS(
K29&lt;= $AD$3, "1st Quintile (Lowest)",
K29&lt;= $AE$3, "2nd Quintile (Median)",
K29&lt;= $AF$3, "3rd Quintile",
TRUE, "Above 3rd Quintile"
)</f>
        <v>1st Quintile (Lowest)</v>
      </c>
      <c r="M29" s="28">
        <f>AVERAGE(Inflation!BA25:BF25)</f>
        <v>7.9325282388603311</v>
      </c>
      <c r="N29" s="28" t="str">
        <f t="array" ref="N29">_xlfn.IFS(
M29&lt;= $AD$4, "1st Quintile (Lowest)",
M29&lt;= $AE$4, "2nd Quintile (Median)",
M29&lt;= $AF$4, "3rd Quintile",
TRUE, "Above 3rd Quintile"
)</f>
        <v>Above 3rd Quintile</v>
      </c>
      <c r="O29" s="32">
        <f>AVERAGE('GDP Per Capita'!BA25:BF25)</f>
        <v>3040.07751333124</v>
      </c>
      <c r="P29" t="str">
        <f t="array" ref="P29">_xlfn.IFS(
O29&lt;= $AD$5, "1st Quintile (Lowest)",
O29&lt;= $AE$5, "2nd Quintile (Median)",
O29&lt;= $AF$5, "3rd Quintile",
TRUE, "Above 3rd Quintile"
)</f>
        <v>2nd Quintile (Median)</v>
      </c>
      <c r="Q29" s="46" t="str">
        <f t="array" ref="Q29">_xlfn.IFS(
    (L29="1st Quintile (Lowest)")+(N29="Above 3rd Quintile"), "Group 1",
    ((L29="2nd Quintile (Median)")+(L29="3rd Quintile")+(N29="2nd Quintile")+(N29="3rd Quintile")), "Group 2",
    TRUE, "Group 3"
)</f>
        <v>Group 1</v>
      </c>
      <c r="U29" t="str">
        <f t="array" ref="U29">_xlfn.IFS(
    ((L29="1st Quintile (Lowest)")+(N29="Above 3rd Quintile"))*(H29&gt;5), "Group 1 - Long",
    ((L29="1st Quintile (Lowest)")+(N29="Above 3rd Quintile"))*(H29&lt;=5), "Group 1 - Short",
    ((L29="2nd Quintile (Median)")+(L29="3rd Quintile")+(N29="2nd Quintile")+(N29="3rd Quintile"))*(H29&gt;5), "Group 2 - Long",
    ((L29="2nd Quintile (Median)")+(L29="3rd Quintile")+(N29="2nd Quintile")+(N29="3rd Quintile"))*(H29&lt;=5), "Group 2 - Short",
    H29&gt;5, "Group 3 - Long",
    H29&lt;=5, "Group 3 - Short"
)</f>
        <v>Group 1 - Long</v>
      </c>
    </row>
    <row r="30" spans="1:21" ht="14.45" customHeight="1" x14ac:dyDescent="0.25">
      <c r="A30" s="36" t="s">
        <v>407</v>
      </c>
      <c r="B30" s="36" t="s">
        <v>408</v>
      </c>
      <c r="C30" s="36" t="s">
        <v>1612</v>
      </c>
      <c r="D30" s="35" t="s">
        <v>74</v>
      </c>
      <c r="E30" s="35" t="e">
        <v>#VALUE!</v>
      </c>
      <c r="F30" s="36">
        <v>2003</v>
      </c>
      <c r="G30" s="36">
        <v>2013</v>
      </c>
      <c r="H30" s="36">
        <f t="shared" si="0"/>
        <v>11</v>
      </c>
      <c r="I30" s="36" t="s">
        <v>333</v>
      </c>
      <c r="J30" s="36" t="s">
        <v>93</v>
      </c>
      <c r="K30" s="37">
        <f>AVERAGE('Poli Stab'!AV25:BF25)</f>
        <v>-1.4802402583035545</v>
      </c>
      <c r="L30" s="28" t="str">
        <f t="array" ref="L30">_xlfn.IFS(
K30&lt;= $AD$3, "1st Quintile (Lowest)",
K30&lt;= $AE$3, "2nd Quintile (Median)",
K30&lt;= $AF$3, "3rd Quintile",
TRUE, "Above 3rd Quintile"
)</f>
        <v>2nd Quintile (Median)</v>
      </c>
      <c r="M30" s="37">
        <f>AVERAGE(Inflation!AV25:BF25)</f>
        <v>7.6154798049495867</v>
      </c>
      <c r="N30" s="28" t="str">
        <f t="array" ref="N30">_xlfn.IFS(
M30&lt;= $AD$4, "1st Quintile (Lowest)",
M30&lt;= $AE$4, "2nd Quintile (Median)",
M30&lt;= $AF$4, "3rd Quintile",
TRUE, "Above 3rd Quintile"
)</f>
        <v>Above 3rd Quintile</v>
      </c>
      <c r="O30" s="38">
        <f>AVERAGE('GDP Per Capita'!AV25:BF25)</f>
        <v>2586.4762184102533</v>
      </c>
      <c r="P30" t="str">
        <f t="array" ref="P30">_xlfn.IFS(
O30&lt;= $AD$5, "1st Quintile (Lowest)",
O30&lt;= $AE$5, "2nd Quintile (Median)",
O30&lt;= $AF$5, "3rd Quintile",
TRUE, "Above 3rd Quintile"
)</f>
        <v>2nd Quintile (Median)</v>
      </c>
      <c r="Q30" s="46" t="str">
        <f t="array" ref="Q30">_xlfn.IFS(
    (L30="1st Quintile (Lowest)")+(N30="Above 3rd Quintile"), "Group 1",
    ((L30="2nd Quintile (Median)")+(L30="3rd Quintile")+(N30="2nd Quintile")+(N30="3rd Quintile")), "Group 2",
    TRUE, "Group 3"
)</f>
        <v>Group 1</v>
      </c>
      <c r="U30" t="str">
        <f t="array" ref="U30">_xlfn.IFS(
    ((L30="1st Quintile (Lowest)")+(N30="Above 3rd Quintile"))*(H30&gt;5), "Group 1 - Long",
    ((L30="1st Quintile (Lowest)")+(N30="Above 3rd Quintile"))*(H30&lt;=5), "Group 1 - Short",
    ((L30="2nd Quintile (Median)")+(L30="3rd Quintile")+(N30="2nd Quintile")+(N30="3rd Quintile"))*(H30&gt;5), "Group 2 - Long",
    ((L30="2nd Quintile (Median)")+(L30="3rd Quintile")+(N30="2nd Quintile")+(N30="3rd Quintile"))*(H30&lt;=5), "Group 2 - Short",
    H30&gt;5, "Group 3 - Long",
    H30&lt;=5, "Group 3 - Short"
)</f>
        <v>Group 1 - Long</v>
      </c>
    </row>
    <row r="31" spans="1:21" ht="14.45" customHeight="1" x14ac:dyDescent="0.25">
      <c r="A31" t="s">
        <v>503</v>
      </c>
      <c r="B31" t="s">
        <v>1592</v>
      </c>
      <c r="C31" t="s">
        <v>137</v>
      </c>
      <c r="D31" s="17" t="s">
        <v>138</v>
      </c>
      <c r="E31" s="17" t="e">
        <v>#VALUE!</v>
      </c>
      <c r="F31">
        <v>2015</v>
      </c>
      <c r="G31">
        <v>2022</v>
      </c>
      <c r="H31">
        <f t="shared" si="0"/>
        <v>8</v>
      </c>
      <c r="I31" t="s">
        <v>39</v>
      </c>
      <c r="J31" t="s">
        <v>40</v>
      </c>
      <c r="K31" s="28">
        <f>AVERAGE('Poli Stab'!B252:BH252)</f>
        <v>-1.1140074870165653</v>
      </c>
      <c r="L31" s="28" t="str">
        <f t="array" ref="L31">_xlfn.IFS(
K31&lt;= $AD$3, "1st Quintile (Lowest)",
K31&lt;= $AE$3, "2nd Quintile (Median)",
K31&lt;= $AF$3, "3rd Quintile",
TRUE, "Above 3rd Quintile"
)</f>
        <v>2nd Quintile (Median)</v>
      </c>
      <c r="M31" s="28">
        <f>AVERAGE(Inflation!B252:BH252)</f>
        <v>6.7691686547856849</v>
      </c>
      <c r="N31" s="28" t="str">
        <f t="array" ref="N31">_xlfn.IFS(
M31&lt;= $AD$4, "1st Quintile (Lowest)",
M31&lt;= $AE$4, "2nd Quintile (Median)",
M31&lt;= $AF$4, "3rd Quintile",
TRUE, "Above 3rd Quintile"
)</f>
        <v>3rd Quintile</v>
      </c>
      <c r="O31" s="32">
        <f>AVERAGE('GDP Per Capita'!B252:BH252)</f>
        <v>1408.0898362161856</v>
      </c>
      <c r="P31" t="str">
        <f t="array" ref="P31">_xlfn.IFS(
O31&lt;= $AD$5, "1st Quintile (Lowest)",
O31&lt;= $AE$5, "2nd Quintile (Median)",
O31&lt;= $AF$5, "3rd Quintile",
TRUE, "Above 3rd Quintile"
)</f>
        <v>1st Quintile (Lowest)</v>
      </c>
      <c r="Q31" s="46" t="str">
        <f t="array" ref="Q31">_xlfn.IFS(
    (L31="1st Quintile (Lowest)")+(N31="Above 3rd Quintile"), "Group 1",
    ((L31="2nd Quintile (Median)")+(L31="3rd Quintile")+(N31="2nd Quintile")+(N31="3rd Quintile")), "Group 2",
    TRUE, "Group 3"
)</f>
        <v>Group 2</v>
      </c>
      <c r="U31" t="str">
        <f t="array" ref="U31">_xlfn.IFS(
    ((L31="1st Quintile (Lowest)")+(N31="Above 3rd Quintile"))*(H31&gt;5), "Group 1 - Long",
    ((L31="1st Quintile (Lowest)")+(N31="Above 3rd Quintile"))*(H31&lt;=5), "Group 1 - Short",
    ((L31="2nd Quintile (Median)")+(L31="3rd Quintile")+(N31="2nd Quintile")+(N31="3rd Quintile"))*(H31&gt;5), "Group 2 - Long",
    ((L31="2nd Quintile (Median)")+(L31="3rd Quintile")+(N31="2nd Quintile")+(N31="3rd Quintile"))*(H31&lt;=5), "Group 2 - Short",
    H31&gt;5, "Group 3 - Long",
    H31&lt;=5, "Group 3 - Short"
)</f>
        <v>Group 2 - Long</v>
      </c>
    </row>
    <row r="32" spans="1:21" ht="14.45" customHeight="1" x14ac:dyDescent="0.25">
      <c r="A32" t="s">
        <v>346</v>
      </c>
      <c r="B32" t="s">
        <v>347</v>
      </c>
      <c r="C32" t="s">
        <v>45</v>
      </c>
      <c r="D32" s="17" t="s">
        <v>348</v>
      </c>
      <c r="E32" s="17" t="s">
        <v>337</v>
      </c>
      <c r="F32">
        <v>2011</v>
      </c>
      <c r="G32">
        <v>2017</v>
      </c>
      <c r="H32">
        <f t="shared" si="0"/>
        <v>7</v>
      </c>
      <c r="I32" t="s">
        <v>312</v>
      </c>
      <c r="J32" t="s">
        <v>93</v>
      </c>
      <c r="K32" s="28">
        <f>(AVERAGE('Poli Stab'!BD81:BJ81)+AVERAGE('Poli Stab'!BD189:BJ189)+AVERAGE('Poli Stab'!BD194:BJ194)+AVERAGE('Poli Stab'!BD143:BJ143)+AVERAGE('Poli Stab'!BD242:BJ242))/5</f>
        <v>-0.6616871230836423</v>
      </c>
      <c r="L32" s="28" t="str">
        <f t="array" ref="L32">_xlfn.IFS(
K32&lt;= $AD$3, "1st Quintile (Lowest)",
K32&lt;= $AE$3, "2nd Quintile (Median)",
K32&lt;= $AF$3, "3rd Quintile",
TRUE, "Above 3rd Quintile"
)</f>
        <v>2nd Quintile (Median)</v>
      </c>
      <c r="M32" s="28">
        <f>(AVERAGE(Inflation!BD81:BJ81)+AVERAGE(Inflation!BD189:BJ189)+AVERAGE(Inflation!BD194:BJ194)+AVERAGE(Inflation!BD143:BJ143)+AVERAGE(Inflation!BD242:BJ242))/5</f>
        <v>5.2426679258609603</v>
      </c>
      <c r="N32" s="28" t="str">
        <f t="array" ref="N32">_xlfn.IFS(
M32&lt;= $AD$4, "1st Quintile (Lowest)",
M32&lt;= $AE$4, "2nd Quintile (Median)",
M32&lt;= $AF$4, "3rd Quintile",
TRUE, "Above 3rd Quintile"
)</f>
        <v>2nd Quintile (Median)</v>
      </c>
      <c r="O32" s="32">
        <f>(AVERAGE('GDP Per Capita'!BD81:BJ81)+AVERAGE('GDP Per Capita'!BD189:BJ189)+AVERAGE('GDP Per Capita'!BD194:BJ194)+AVERAGE('GDP Per Capita'!BD143:BJ143)+AVERAGE('GDP Per Capita'!BD242:BJ242))/5</f>
        <v>6469.4737625108846</v>
      </c>
      <c r="P32" t="str">
        <f t="array" ref="P32">_xlfn.IFS(
O32&lt;= $AD$5, "1st Quintile (Lowest)",
O32&lt;= $AE$5, "2nd Quintile (Median)",
O32&lt;= $AF$5, "3rd Quintile",
TRUE, "Above 3rd Quintile"
)</f>
        <v>Above 3rd Quintile</v>
      </c>
      <c r="Q32" s="46" t="str">
        <f t="array" ref="Q32">_xlfn.IFS(
    (L32="1st Quintile (Lowest)")+(N32="Above 3rd Quintile"), "Group 1",
    ((L32="2nd Quintile (Median)")+(L32="3rd Quintile")+(N32="2nd Quintile")+(N32="3rd Quintile")), "Group 2",
    TRUE, "Group 3"
)</f>
        <v>Group 2</v>
      </c>
      <c r="U32" t="str">
        <f t="array" ref="U32">_xlfn.IFS(
    ((L32="1st Quintile (Lowest)")+(N32="Above 3rd Quintile"))*(H32&gt;5), "Group 1 - Long",
    ((L32="1st Quintile (Lowest)")+(N32="Above 3rd Quintile"))*(H32&lt;=5), "Group 1 - Short",
    ((L32="2nd Quintile (Median)")+(L32="3rd Quintile")+(N32="2nd Quintile")+(N32="3rd Quintile"))*(H32&gt;5), "Group 2 - Long",
    ((L32="2nd Quintile (Median)")+(L32="3rd Quintile")+(N32="2nd Quintile")+(N32="3rd Quintile"))*(H32&lt;=5), "Group 2 - Short",
    H32&gt;5, "Group 3 - Long",
    H32&lt;=5, "Group 3 - Short"
)</f>
        <v>Group 2 - Long</v>
      </c>
    </row>
    <row r="33" spans="1:21" ht="14.45" customHeight="1" x14ac:dyDescent="0.25">
      <c r="A33" t="s">
        <v>335</v>
      </c>
      <c r="B33" t="s">
        <v>336</v>
      </c>
      <c r="C33" t="s">
        <v>45</v>
      </c>
      <c r="D33" s="17" t="s">
        <v>138</v>
      </c>
      <c r="E33" s="17" t="s">
        <v>337</v>
      </c>
      <c r="F33">
        <v>2017</v>
      </c>
      <c r="G33">
        <v>2022</v>
      </c>
      <c r="H33">
        <f t="shared" si="0"/>
        <v>6</v>
      </c>
      <c r="I33" t="s">
        <v>312</v>
      </c>
      <c r="J33" t="s">
        <v>93</v>
      </c>
      <c r="K33" s="28">
        <f>(AVERAGE('Poli Stab'!BJ81:BO81)+AVERAGE('Poli Stab'!BJ189:BO189)+AVERAGE('Poli Stab'!BJ194:BO194)+AVERAGE('Poli Stab'!BJ143:BO143)+AVERAGE('Poli Stab'!BJ242:BO242))/5</f>
        <v>-0.41241648495197331</v>
      </c>
      <c r="L33" s="28" t="str">
        <f t="array" ref="L33">_xlfn.IFS(
K33&lt;= $AD$3, "1st Quintile (Lowest)",
K33&lt;= $AE$3, "2nd Quintile (Median)",
K33&lt;= $AF$3, "3rd Quintile",
TRUE, "Above 3rd Quintile"
)</f>
        <v>Above 3rd Quintile</v>
      </c>
      <c r="M33" s="28">
        <f>(AVERAGE(Inflation!BJ81:BO81)+AVERAGE(Inflation!BJ189:BO189)+AVERAGE(Inflation!BJ194:BO194)+AVERAGE(Inflation!BJ143:BO143)+AVERAGE(Inflation!BJ242:BO242))/5</f>
        <v>6.3292360646728643</v>
      </c>
      <c r="N33" s="28" t="str">
        <f t="array" ref="N33">_xlfn.IFS(
M33&lt;= $AD$4, "1st Quintile (Lowest)",
M33&lt;= $AE$4, "2nd Quintile (Median)",
M33&lt;= $AF$4, "3rd Quintile",
TRUE, "Above 3rd Quintile"
)</f>
        <v>2nd Quintile (Median)</v>
      </c>
      <c r="O33" s="32">
        <f>(AVERAGE('GDP Per Capita'!BJ81:BO81)+AVERAGE('GDP Per Capita'!BJ189:BO189)+AVERAGE('GDP Per Capita'!BJ194:BO194)+AVERAGE('GDP Per Capita'!BJ143:BO143)+AVERAGE('GDP Per Capita'!BJ242:BO242))/5</f>
        <v>8050.6575399929352</v>
      </c>
      <c r="P33" t="str">
        <f t="array" ref="P33">_xlfn.IFS(
O33&lt;= $AD$5, "1st Quintile (Lowest)",
O33&lt;= $AE$5, "2nd Quintile (Median)",
O33&lt;= $AF$5, "3rd Quintile",
TRUE, "Above 3rd Quintile"
)</f>
        <v>Above 3rd Quintile</v>
      </c>
      <c r="Q33" s="46" t="str">
        <f t="array" ref="Q33">_xlfn.IFS(
    (L33="1st Quintile (Lowest)")+(N33="Above 3rd Quintile"), "Group 1",
    ((L33="2nd Quintile (Median)")+(L33="3rd Quintile")+(N33="2nd Quintile")+(N33="3rd Quintile")), "Group 2",
    TRUE, "Group 3"
)</f>
        <v>Group 3</v>
      </c>
      <c r="U33" t="str">
        <f t="array" ref="U33">_xlfn.IFS(
    ((L33="1st Quintile (Lowest)")+(N33="Above 3rd Quintile"))*(H33&gt;5), "Group 1 - Long",
    ((L33="1st Quintile (Lowest)")+(N33="Above 3rd Quintile"))*(H33&lt;=5), "Group 1 - Short",
    ((L33="2nd Quintile (Median)")+(L33="3rd Quintile")+(N33="2nd Quintile")+(N33="3rd Quintile"))*(H33&gt;5), "Group 2 - Long",
    ((L33="2nd Quintile (Median)")+(L33="3rd Quintile")+(N33="2nd Quintile")+(N33="3rd Quintile"))*(H33&lt;=5), "Group 2 - Short",
    H33&gt;5, "Group 3 - Long",
    H33&lt;=5, "Group 3 - Short"
)</f>
        <v>Group 3 - Long</v>
      </c>
    </row>
    <row r="34" spans="1:21" ht="14.45" customHeight="1" x14ac:dyDescent="0.25">
      <c r="A34" s="36" t="s">
        <v>404</v>
      </c>
      <c r="B34" s="36" t="s">
        <v>405</v>
      </c>
      <c r="C34" s="36" t="s">
        <v>45</v>
      </c>
      <c r="D34" s="35" t="s">
        <v>406</v>
      </c>
      <c r="E34" s="35" t="s">
        <v>337</v>
      </c>
      <c r="F34" s="36">
        <v>2011</v>
      </c>
      <c r="G34" s="36">
        <v>2022</v>
      </c>
      <c r="H34" s="36">
        <f t="shared" si="0"/>
        <v>12</v>
      </c>
      <c r="I34" s="36" t="s">
        <v>312</v>
      </c>
      <c r="J34" s="36" t="s">
        <v>93</v>
      </c>
      <c r="K34" s="37">
        <f>(AVERAGE('Poli Stab'!BD81:BO81)+AVERAGE('Poli Stab'!BD189:BO189)+AVERAGE('Poli Stab'!BD194:BO194)+AVERAGE('Poli Stab'!BD143:BO143)+AVERAGE('Poli Stab'!BD242:BO242))/5</f>
        <v>-0.55032919431105254</v>
      </c>
      <c r="L34" s="28" t="str">
        <f t="array" ref="L34">_xlfn.IFS(
K34&lt;= $AD$3, "1st Quintile (Lowest)",
K34&lt;= $AE$3, "2nd Quintile (Median)",
K34&lt;= $AF$3, "3rd Quintile",
TRUE, "Above 3rd Quintile"
)</f>
        <v>3rd Quintile</v>
      </c>
      <c r="M34" s="37">
        <f>(AVERAGE(Inflation!BD81:BO81)+AVERAGE(Inflation!BD189:BO189)+AVERAGE(Inflation!BD194:BO194)+AVERAGE(Inflation!BD143:BO143)+AVERAGE(Inflation!BD242:BO242))/5</f>
        <v>5.8709018070206724</v>
      </c>
      <c r="N34" s="28" t="str">
        <f t="array" ref="N34">_xlfn.IFS(
M34&lt;= $AD$4, "1st Quintile (Lowest)",
M34&lt;= $AE$4, "2nd Quintile (Median)",
M34&lt;= $AF$4, "3rd Quintile",
TRUE, "Above 3rd Quintile"
)</f>
        <v>2nd Quintile (Median)</v>
      </c>
      <c r="O34" s="38">
        <f>(AVERAGE('GDP Per Capita'!BD81:BO81)+AVERAGE('GDP Per Capita'!BD189:BO189)+AVERAGE('GDP Per Capita'!BD194:BO194)+AVERAGE('GDP Per Capita'!BD143:BO143)+AVERAGE('GDP Per Capita'!BD242:BO242))/5</f>
        <v>7159.6622003312759</v>
      </c>
      <c r="P34" t="str">
        <f t="array" ref="P34">_xlfn.IFS(
O34&lt;= $AD$5, "1st Quintile (Lowest)",
O34&lt;= $AE$5, "2nd Quintile (Median)",
O34&lt;= $AF$5, "3rd Quintile",
TRUE, "Above 3rd Quintile"
)</f>
        <v>Above 3rd Quintile</v>
      </c>
      <c r="Q34" s="46" t="str">
        <f t="array" ref="Q34">_xlfn.IFS(
    (L34="1st Quintile (Lowest)")+(N34="Above 3rd Quintile"), "Group 1",
    ((L34="2nd Quintile (Median)")+(L34="3rd Quintile")+(N34="2nd Quintile")+(N34="3rd Quintile")), "Group 2",
    TRUE, "Group 3"
)</f>
        <v>Group 2</v>
      </c>
      <c r="U34" t="str">
        <f t="array" ref="U34">_xlfn.IFS(
    ((L34="1st Quintile (Lowest)")+(N34="Above 3rd Quintile"))*(H34&gt;5), "Group 1 - Long",
    ((L34="1st Quintile (Lowest)")+(N34="Above 3rd Quintile"))*(H34&lt;=5), "Group 1 - Short",
    ((L34="2nd Quintile (Median)")+(L34="3rd Quintile")+(N34="2nd Quintile")+(N34="3rd Quintile"))*(H34&gt;5), "Group 2 - Long",
    ((L34="2nd Quintile (Median)")+(L34="3rd Quintile")+(N34="2nd Quintile")+(N34="3rd Quintile"))*(H34&lt;=5), "Group 2 - Short",
    H34&gt;5, "Group 3 - Long",
    H34&lt;=5, "Group 3 - Short"
)</f>
        <v>Group 2 - Long</v>
      </c>
    </row>
    <row r="35" spans="1:21" ht="14.45" customHeight="1" x14ac:dyDescent="0.25">
      <c r="A35" t="s">
        <v>89</v>
      </c>
      <c r="B35" t="s">
        <v>90</v>
      </c>
      <c r="C35" t="s">
        <v>57</v>
      </c>
      <c r="D35" s="17" t="s">
        <v>91</v>
      </c>
      <c r="E35" s="17" t="s">
        <v>92</v>
      </c>
      <c r="F35">
        <v>2015</v>
      </c>
      <c r="G35">
        <v>2018</v>
      </c>
      <c r="H35">
        <f t="shared" si="0"/>
        <v>4</v>
      </c>
      <c r="I35" t="s">
        <v>39</v>
      </c>
      <c r="J35" t="s">
        <v>93</v>
      </c>
      <c r="K35" s="28">
        <f>(AVERAGE('Poli Stab'!BH17:BK17)+AVERAGE('Poli Stab'!BH35:BK35)+AVERAGE('Poli Stab'!BH31:BK31)+AVERAGE('Poli Stab'!BH62:BK62)+AVERAGE('Poli Stab'!BH64:BK64)+AVERAGE('Poli Stab'!BH99:BK99)+AVERAGE('Poli Stab'!BH122:BK122)+AVERAGE('Poli Stab'!BH138:BK138)+AVERAGE('Poli Stab'!BH258:BK258)+AVERAGE('Poli Stab'!BH225:BK225)+AVERAGE('Poli Stab'!BH247:BK247))/11</f>
        <v>0.50380232746564702</v>
      </c>
      <c r="L35" s="28" t="str">
        <f t="array" ref="L35">_xlfn.IFS(
K35&lt;= $AD$3, "1st Quintile (Lowest)",
K35&lt;= $AE$3, "2nd Quintile (Median)",
K35&lt;= $AF$3, "3rd Quintile",
TRUE, "Above 3rd Quintile"
)</f>
        <v>Above 3rd Quintile</v>
      </c>
      <c r="M35" s="28">
        <f>(AVERAGE(Inflation!BH17:BK17)+AVERAGE(Inflation!BH35:BK35)+AVERAGE(Inflation!BH31:BK31)+AVERAGE(Inflation!BH62:BK62)+AVERAGE(Inflation!BH64:BK64)+AVERAGE(Inflation!BH99:BK99)+AVERAGE(Inflation!BH122:BK122)+AVERAGE(Inflation!BH138:BK138)+AVERAGE(Inflation!BH258:BK258)+AVERAGE(Inflation!BH225:BK225)+AVERAGE(Inflation!BH247:BK247))/11</f>
        <v>3.7387947506717452</v>
      </c>
      <c r="N35" s="28" t="str">
        <f t="array" ref="N35">_xlfn.IFS(
M35&lt;= $AD$4, "1st Quintile (Lowest)",
M35&lt;= $AE$4, "2nd Quintile (Median)",
M35&lt;= $AF$4, "3rd Quintile",
TRUE, "Above 3rd Quintile"
)</f>
        <v>2nd Quintile (Median)</v>
      </c>
      <c r="O35" s="32">
        <f>(AVERAGE('GDP Per Capita'!BH17:BK17)+AVERAGE('GDP Per Capita'!BH35:BK35)+AVERAGE('GDP Per Capita'!BH31:BK31)+AVERAGE('GDP Per Capita'!BH62:BK62)+AVERAGE('GDP Per Capita'!BH64:BK64)+AVERAGE('GDP Per Capita'!BH99:BK99)+AVERAGE('GDP Per Capita'!BH122:BK122)+AVERAGE('GDP Per Capita'!BH138:BK138)+AVERAGE('GDP Per Capita'!BH258:BK258)+AVERAGE('GDP Per Capita'!BH225:BK225)+AVERAGE('GDP Per Capita'!BH247:BK247))/11</f>
        <v>16099.682421087928</v>
      </c>
      <c r="P35" t="str">
        <f t="array" ref="P35">_xlfn.IFS(
O35&lt;= $AD$5, "1st Quintile (Lowest)",
O35&lt;= $AE$5, "2nd Quintile (Median)",
O35&lt;= $AF$5, "3rd Quintile",
TRUE, "Above 3rd Quintile"
)</f>
        <v>Above 3rd Quintile</v>
      </c>
      <c r="Q35" s="46" t="str">
        <f t="array" ref="Q35">_xlfn.IFS(
    (L35="1st Quintile (Lowest)")+(N35="Above 3rd Quintile"), "Group 1",
    ((L35="2nd Quintile (Median)")+(L35="3rd Quintile")+(N35="2nd Quintile")+(N35="3rd Quintile")), "Group 2",
    TRUE, "Group 3"
)</f>
        <v>Group 3</v>
      </c>
      <c r="U35" t="str">
        <f t="array" ref="U35">_xlfn.IFS(
    ((L35="1st Quintile (Lowest)")+(N35="Above 3rd Quintile"))*(H35&gt;5), "Group 1 - Long",
    ((L35="1st Quintile (Lowest)")+(N35="Above 3rd Quintile"))*(H35&lt;=5), "Group 1 - Short",
    ((L35="2nd Quintile (Median)")+(L35="3rd Quintile")+(N35="2nd Quintile")+(N35="3rd Quintile"))*(H35&gt;5), "Group 2 - Long",
    ((L35="2nd Quintile (Median)")+(L35="3rd Quintile")+(N35="2nd Quintile")+(N35="3rd Quintile"))*(H35&lt;=5), "Group 2 - Short",
    H35&gt;5, "Group 3 - Long",
    H35&lt;=5, "Group 3 - Short"
)</f>
        <v>Group 3 - Short</v>
      </c>
    </row>
    <row r="36" spans="1:21" ht="14.45" customHeight="1" x14ac:dyDescent="0.25">
      <c r="A36" t="s">
        <v>309</v>
      </c>
      <c r="B36" t="s">
        <v>310</v>
      </c>
      <c r="C36" t="s">
        <v>1613</v>
      </c>
      <c r="D36" s="17" t="s">
        <v>230</v>
      </c>
      <c r="E36" s="17" t="s">
        <v>311</v>
      </c>
      <c r="F36">
        <v>2013</v>
      </c>
      <c r="G36">
        <v>2018</v>
      </c>
      <c r="H36">
        <f t="shared" si="0"/>
        <v>6</v>
      </c>
      <c r="I36" t="s">
        <v>312</v>
      </c>
      <c r="J36" t="s">
        <v>93</v>
      </c>
      <c r="K36" s="33"/>
      <c r="L36" s="28"/>
      <c r="M36" s="33"/>
      <c r="N36" s="28"/>
      <c r="O36" s="33"/>
      <c r="Q36" s="46" t="str">
        <f t="array" ref="Q36">_xlfn.IFS(
    (L36="1st Quintile (Lowest)")+(N36="Above 3rd Quintile"), "Group 1",
    ((L36="2nd Quintile (Median)")+(L36="3rd Quintile")+(N36="2nd Quintile")+(N36="3rd Quintile")), "Group 2",
    TRUE, "Group 3"
)</f>
        <v>Group 3</v>
      </c>
      <c r="U36" t="str">
        <f t="array" ref="U36">_xlfn.IFS(
    ((L36="1st Quintile (Lowest)")+(N36="Above 3rd Quintile"))*(H36&gt;5), "Group 1 - Long",
    ((L36="1st Quintile (Lowest)")+(N36="Above 3rd Quintile"))*(H36&lt;=5), "Group 1 - Short",
    ((L36="2nd Quintile (Median)")+(L36="3rd Quintile")+(N36="2nd Quintile")+(N36="3rd Quintile"))*(H36&gt;5), "Group 2 - Long",
    ((L36="2nd Quintile (Median)")+(L36="3rd Quintile")+(N36="2nd Quintile")+(N36="3rd Quintile"))*(H36&lt;=5), "Group 2 - Short",
    H36&gt;5, "Group 3 - Long",
    H36&lt;=5, "Group 3 - Short"
)</f>
        <v>Group 3 - Long</v>
      </c>
    </row>
    <row r="37" spans="1:21" ht="14.45" customHeight="1" x14ac:dyDescent="0.25">
      <c r="A37" t="s">
        <v>267</v>
      </c>
      <c r="B37" t="s">
        <v>268</v>
      </c>
      <c r="C37" t="s">
        <v>171</v>
      </c>
      <c r="D37" s="17" t="s">
        <v>230</v>
      </c>
      <c r="E37" s="17" t="e">
        <v>#VALUE!</v>
      </c>
      <c r="F37">
        <v>2017</v>
      </c>
      <c r="G37">
        <v>2022</v>
      </c>
      <c r="H37">
        <f t="shared" si="0"/>
        <v>6</v>
      </c>
      <c r="I37" t="s">
        <v>39</v>
      </c>
      <c r="J37" t="s">
        <v>40</v>
      </c>
      <c r="K37" s="28">
        <f>AVERAGE('Poli Stab'!BJ170:BO170)</f>
        <v>-1.0538027087847395</v>
      </c>
      <c r="L37" s="28" t="str">
        <f t="array" ref="L37">_xlfn.IFS(
K37&lt;= $AD$3, "1st Quintile (Lowest)",
K37&lt;= $AE$3, "2nd Quintile (Median)",
K37&lt;= $AF$3, "3rd Quintile",
TRUE, "Above 3rd Quintile"
)</f>
        <v>2nd Quintile (Median)</v>
      </c>
      <c r="M37" s="28">
        <f>AVERAGE(Inflation!BJ170:BO170)</f>
        <v>6.999843147192979</v>
      </c>
      <c r="N37" s="28" t="str">
        <f t="array" ref="N37">_xlfn.IFS(
M37&lt;= $AD$4, "1st Quintile (Lowest)",
M37&lt;= $AE$4, "2nd Quintile (Median)",
M37&lt;= $AF$4, "3rd Quintile",
TRUE, "Above 3rd Quintile"
)</f>
        <v>Above 3rd Quintile</v>
      </c>
      <c r="O37" s="32">
        <f>AVERAGE('GDP Per Capita'!BJ170:BO170)</f>
        <v>1407.9889486644217</v>
      </c>
      <c r="P37" t="str">
        <f t="array" ref="P37">_xlfn.IFS(
O37&lt;= $AD$5, "1st Quintile (Lowest)",
O37&lt;= $AE$5, "2nd Quintile (Median)",
O37&lt;= $AF$5, "3rd Quintile",
TRUE, "Above 3rd Quintile"
)</f>
        <v>1st Quintile (Lowest)</v>
      </c>
      <c r="Q37" s="46" t="str">
        <f t="array" ref="Q37">_xlfn.IFS(
    (L37="1st Quintile (Lowest)")+(N37="Above 3rd Quintile"), "Group 1",
    ((L37="2nd Quintile (Median)")+(L37="3rd Quintile")+(N37="2nd Quintile")+(N37="3rd Quintile")), "Group 2",
    TRUE, "Group 3"
)</f>
        <v>Group 1</v>
      </c>
      <c r="U37" t="str">
        <f t="array" ref="U37">_xlfn.IFS(
    ((L37="1st Quintile (Lowest)")+(N37="Above 3rd Quintile"))*(H37&gt;5), "Group 1 - Long",
    ((L37="1st Quintile (Lowest)")+(N37="Above 3rd Quintile"))*(H37&lt;=5), "Group 1 - Short",
    ((L37="2nd Quintile (Median)")+(L37="3rd Quintile")+(N37="2nd Quintile")+(N37="3rd Quintile"))*(H37&gt;5), "Group 2 - Long",
    ((L37="2nd Quintile (Median)")+(L37="3rd Quintile")+(N37="2nd Quintile")+(N37="3rd Quintile"))*(H37&lt;=5), "Group 2 - Short",
    H37&gt;5, "Group 3 - Long",
    H37&lt;=5, "Group 3 - Short"
)</f>
        <v>Group 1 - Long</v>
      </c>
    </row>
    <row r="38" spans="1:21" ht="14.45" customHeight="1" x14ac:dyDescent="0.25">
      <c r="A38" s="4" t="s">
        <v>325</v>
      </c>
      <c r="B38" t="s">
        <v>326</v>
      </c>
      <c r="C38" t="s">
        <v>1614</v>
      </c>
      <c r="D38" s="17" t="s">
        <v>612</v>
      </c>
      <c r="E38" s="17" t="s">
        <v>328</v>
      </c>
      <c r="F38">
        <v>2017</v>
      </c>
      <c r="G38">
        <v>2022</v>
      </c>
      <c r="H38">
        <f t="shared" si="0"/>
        <v>6</v>
      </c>
      <c r="I38" t="s">
        <v>39</v>
      </c>
      <c r="J38" t="s">
        <v>329</v>
      </c>
      <c r="K38" s="28">
        <f>(AVERAGE('Poli Stab'!BJ15:BO15)+AVERAGE('Poli Stab'!BJ20:BO20)+AVERAGE('Poli Stab'!BJ87:BO87))/3</f>
        <v>-0.62222512728638124</v>
      </c>
      <c r="L38" s="28" t="str">
        <f t="array" ref="L38">_xlfn.IFS(
K38&lt;= $AD$3, "1st Quintile (Lowest)",
K38&lt;= $AE$3, "2nd Quintile (Median)",
K38&lt;= $AF$3, "3rd Quintile",
TRUE, "Above 3rd Quintile"
)</f>
        <v>2nd Quintile (Median)</v>
      </c>
      <c r="M38" s="28">
        <f>(AVERAGE(Inflation!BJ15:BO15)+AVERAGE(Inflation!BJ20:BO20)+AVERAGE(Inflation!BJ87:BO87))/3</f>
        <v>5.7343792473968733</v>
      </c>
      <c r="N38" s="28" t="str">
        <f t="array" ref="N38">_xlfn.IFS(
M38&lt;= $AD$4, "1st Quintile (Lowest)",
M38&lt;= $AE$4, "2nd Quintile (Median)",
M38&lt;= $AF$4, "3rd Quintile",
TRUE, "Above 3rd Quintile"
)</f>
        <v>2nd Quintile (Median)</v>
      </c>
      <c r="O38" s="32">
        <f>(AVERAGE('GDP Per Capita'!BJ15:BO15)+AVERAGE('GDP Per Capita'!BJ20:BO20)+AVERAGE('GDP Per Capita'!BJ87:BO87))/3</f>
        <v>16527.174963947509</v>
      </c>
      <c r="P38" t="str">
        <f t="array" ref="P38">_xlfn.IFS(
O38&lt;= $AD$5, "1st Quintile (Lowest)",
O38&lt;= $AE$5, "2nd Quintile (Median)",
O38&lt;= $AF$5, "3rd Quintile",
TRUE, "Above 3rd Quintile"
)</f>
        <v>Above 3rd Quintile</v>
      </c>
      <c r="Q38" s="46" t="str">
        <f t="array" ref="Q38">_xlfn.IFS(
    (L38="1st Quintile (Lowest)")+(N38="Above 3rd Quintile"), "Group 1",
    ((L38="2nd Quintile (Median)")+(L38="3rd Quintile")+(N38="2nd Quintile")+(N38="3rd Quintile")), "Group 2",
    TRUE, "Group 3"
)</f>
        <v>Group 2</v>
      </c>
      <c r="U38" t="str">
        <f t="array" ref="U38">_xlfn.IFS(
    ((L38="1st Quintile (Lowest)")+(N38="Above 3rd Quintile"))*(H38&gt;5), "Group 1 - Long",
    ((L38="1st Quintile (Lowest)")+(N38="Above 3rd Quintile"))*(H38&lt;=5), "Group 1 - Short",
    ((L38="2nd Quintile (Median)")+(L38="3rd Quintile")+(N38="2nd Quintile")+(N38="3rd Quintile"))*(H38&gt;5), "Group 2 - Long",
    ((L38="2nd Quintile (Median)")+(L38="3rd Quintile")+(N38="2nd Quintile")+(N38="3rd Quintile"))*(H38&lt;=5), "Group 2 - Short",
    H38&gt;5, "Group 3 - Long",
    H38&lt;=5, "Group 3 - Short"
)</f>
        <v>Group 2 - Long</v>
      </c>
    </row>
    <row r="39" spans="1:21" ht="14.45" customHeight="1" x14ac:dyDescent="0.25">
      <c r="A39" s="4" t="s">
        <v>260</v>
      </c>
      <c r="B39" t="s">
        <v>261</v>
      </c>
      <c r="C39" t="s">
        <v>137</v>
      </c>
      <c r="D39" s="17" t="s">
        <v>230</v>
      </c>
      <c r="E39" t="e">
        <v>#VALUE!</v>
      </c>
      <c r="F39">
        <v>2013</v>
      </c>
      <c r="G39">
        <v>2020</v>
      </c>
      <c r="H39">
        <f t="shared" si="0"/>
        <v>8</v>
      </c>
      <c r="I39" t="s">
        <v>39</v>
      </c>
      <c r="J39" t="s">
        <v>40</v>
      </c>
      <c r="K39" s="28">
        <f>AVERAGE('Poli Stab'!BF88:BM88)</f>
        <v>1.3810529373586086E-2</v>
      </c>
      <c r="L39" s="28" t="str">
        <f t="array" ref="L39">_xlfn.IFS(
K39&lt;= $AD$3, "1st Quintile (Lowest)",
K39&lt;= $AE$3, "2nd Quintile (Median)",
K39&lt;= $AF$3, "3rd Quintile",
TRUE, "Above 3rd Quintile"
)</f>
        <v>Above 3rd Quintile</v>
      </c>
      <c r="M39" s="28">
        <f>AVERAGE(Inflation!BF88:BM88)</f>
        <v>12.371503607649888</v>
      </c>
      <c r="N39" s="28" t="str">
        <f t="array" ref="N39">_xlfn.IFS(
M39&lt;= $AD$4, "1st Quintile (Lowest)",
M39&lt;= $AE$4, "2nd Quintile (Median)",
M39&lt;= $AF$4, "3rd Quintile",
TRUE, "Above 3rd Quintile"
)</f>
        <v>Above 3rd Quintile</v>
      </c>
      <c r="O39" s="32">
        <f>AVERAGE('GDP Per Capita'!BF88:BM88)</f>
        <v>5461.4326827306504</v>
      </c>
      <c r="P39" t="str">
        <f t="array" ref="P39">_xlfn.IFS(
O39&lt;= $AD$5, "1st Quintile (Lowest)",
O39&lt;= $AE$5, "2nd Quintile (Median)",
O39&lt;= $AF$5, "3rd Quintile",
TRUE, "Above 3rd Quintile"
)</f>
        <v>2nd Quintile (Median)</v>
      </c>
      <c r="Q39" s="46" t="str">
        <f t="array" ref="Q39">_xlfn.IFS(
    (L39="1st Quintile (Lowest)")+(N39="Above 3rd Quintile"), "Group 1",
    ((L39="2nd Quintile (Median)")+(L39="3rd Quintile")+(N39="2nd Quintile")+(N39="3rd Quintile")), "Group 2",
    TRUE, "Group 3"
)</f>
        <v>Group 1</v>
      </c>
      <c r="U39" t="str">
        <f t="array" ref="U39">_xlfn.IFS(
    ((L39="1st Quintile (Lowest)")+(N39="Above 3rd Quintile"))*(H39&gt;5), "Group 1 - Long",
    ((L39="1st Quintile (Lowest)")+(N39="Above 3rd Quintile"))*(H39&lt;=5), "Group 1 - Short",
    ((L39="2nd Quintile (Median)")+(L39="3rd Quintile")+(N39="2nd Quintile")+(N39="3rd Quintile"))*(H39&gt;5), "Group 2 - Long",
    ((L39="2nd Quintile (Median)")+(L39="3rd Quintile")+(N39="2nd Quintile")+(N39="3rd Quintile"))*(H39&lt;=5), "Group 2 - Short",
    H39&gt;5, "Group 3 - Long",
    H39&lt;=5, "Group 3 - Short"
)</f>
        <v>Group 1 - Long</v>
      </c>
    </row>
    <row r="40" spans="1:21" ht="14.45" customHeight="1" x14ac:dyDescent="0.25">
      <c r="K40" s="17"/>
      <c r="L40" s="17"/>
      <c r="M40" s="17"/>
      <c r="N40" s="17"/>
      <c r="O40" s="17"/>
      <c r="P40" s="17"/>
    </row>
    <row r="41" spans="1:21" ht="14.45" customHeight="1" x14ac:dyDescent="0.25">
      <c r="K41" s="17"/>
      <c r="L41" s="17"/>
      <c r="M41" s="17"/>
      <c r="N41" s="17"/>
      <c r="O41" s="17"/>
      <c r="P41" s="17"/>
    </row>
    <row r="46" spans="1:21" ht="15.6" customHeight="1" x14ac:dyDescent="0.25">
      <c r="B46" s="1"/>
      <c r="C46" s="1"/>
    </row>
    <row r="47" spans="1:21" ht="15.6" customHeight="1" x14ac:dyDescent="0.25">
      <c r="B47" s="1"/>
      <c r="C47" s="1"/>
    </row>
    <row r="48" spans="1:21" ht="15.6" customHeight="1" x14ac:dyDescent="0.25">
      <c r="B48" s="1"/>
      <c r="C48" s="1"/>
    </row>
    <row r="49" spans="1:30" ht="15.6" customHeight="1" x14ac:dyDescent="0.25">
      <c r="B49" s="1"/>
      <c r="C49" s="1"/>
    </row>
    <row r="50" spans="1:30" ht="15.6" customHeight="1" x14ac:dyDescent="0.25">
      <c r="B50" s="1"/>
      <c r="C50" s="1"/>
    </row>
    <row r="51" spans="1:30" ht="15.6" customHeight="1" x14ac:dyDescent="0.25">
      <c r="A51" s="1"/>
      <c r="B51" s="1"/>
      <c r="C51" s="1"/>
    </row>
    <row r="56" spans="1:30" x14ac:dyDescent="0.25">
      <c r="AC56" s="46"/>
      <c r="AD56" s="46"/>
    </row>
    <row r="57" spans="1:30" x14ac:dyDescent="0.25">
      <c r="AC57" s="46"/>
    </row>
  </sheetData>
  <conditionalFormatting sqref="L3:L39">
    <cfRule type="expression" dxfId="11" priority="10">
      <formula>$L3="Above 3rd Quintile"</formula>
    </cfRule>
    <cfRule type="expression" dxfId="10" priority="11">
      <formula>$L3="3rd Quintile"</formula>
    </cfRule>
    <cfRule type="expression" dxfId="9" priority="12">
      <formula>$L3="2nd Quintile (Median)"</formula>
    </cfRule>
    <cfRule type="expression" dxfId="8" priority="13">
      <formula>$L3="1st Quintile (Lowest)"</formula>
    </cfRule>
  </conditionalFormatting>
  <conditionalFormatting sqref="N3:N39">
    <cfRule type="expression" dxfId="7" priority="6">
      <formula>$N3="Above 3rd Quintile"</formula>
    </cfRule>
    <cfRule type="expression" dxfId="6" priority="7">
      <formula>$N3="3rd Quintile"</formula>
    </cfRule>
    <cfRule type="expression" dxfId="5" priority="8">
      <formula>$N3="2nd Quintile (Median)"</formula>
    </cfRule>
    <cfRule type="expression" dxfId="4" priority="9">
      <formula>$N3="1st Quintile (Lowest)"</formula>
    </cfRule>
  </conditionalFormatting>
  <conditionalFormatting sqref="P3:P39">
    <cfRule type="expression" dxfId="3" priority="14">
      <formula>$P3="Above 3rd Quintile"</formula>
    </cfRule>
    <cfRule type="expression" dxfId="2" priority="15">
      <formula>$P3="3rd Quintile"</formula>
    </cfRule>
    <cfRule type="expression" dxfId="1" priority="16">
      <formula>$P3="2nd Quintile (Median)"</formula>
    </cfRule>
    <cfRule type="expression" dxfId="0" priority="17">
      <formula>$P3="1st Quintile (Lowest)"</formula>
    </cfRule>
  </conditionalFormatting>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5A87CD"/>
  </sheetPr>
  <dimension ref="A2:I94"/>
  <sheetViews>
    <sheetView topLeftCell="A61" zoomScale="85" zoomScaleNormal="85" workbookViewId="0">
      <selection activeCell="C90" sqref="C90:C92"/>
    </sheetView>
  </sheetViews>
  <sheetFormatPr defaultRowHeight="15" customHeight="1" x14ac:dyDescent="0.25"/>
  <cols>
    <col min="1" max="1" width="89.7109375" customWidth="1"/>
    <col min="2" max="2" width="18" customWidth="1"/>
    <col min="3" max="3" width="38.42578125" customWidth="1"/>
    <col min="4" max="4" width="20.42578125" customWidth="1"/>
    <col min="5" max="5" width="11.42578125" customWidth="1"/>
    <col min="6" max="6" width="83.7109375" customWidth="1"/>
    <col min="8" max="8" width="30.28515625" customWidth="1"/>
    <col min="9" max="9" width="32.28515625" customWidth="1"/>
  </cols>
  <sheetData>
    <row r="2" spans="1:9" ht="14.45" customHeight="1" x14ac:dyDescent="0.25">
      <c r="A2" s="115" t="s">
        <v>409</v>
      </c>
      <c r="B2" s="115" t="s">
        <v>1</v>
      </c>
      <c r="C2" s="139" t="s">
        <v>410</v>
      </c>
      <c r="D2" s="431" t="s">
        <v>411</v>
      </c>
      <c r="F2" s="143" t="s">
        <v>412</v>
      </c>
      <c r="G2" s="144" t="s">
        <v>1</v>
      </c>
      <c r="H2" s="144" t="s">
        <v>413</v>
      </c>
      <c r="I2" s="145" t="s">
        <v>410</v>
      </c>
    </row>
    <row r="3" spans="1:9" ht="15.6" customHeight="1" x14ac:dyDescent="0.25">
      <c r="A3" s="15" t="s">
        <v>191</v>
      </c>
      <c r="B3" s="18" t="s">
        <v>192</v>
      </c>
      <c r="C3" s="138" t="s">
        <v>195</v>
      </c>
      <c r="D3" s="433" t="s">
        <v>414</v>
      </c>
      <c r="F3" s="142" t="s">
        <v>415</v>
      </c>
      <c r="G3" s="20" t="s">
        <v>416</v>
      </c>
      <c r="H3" s="15" t="s">
        <v>417</v>
      </c>
      <c r="I3" s="138" t="s">
        <v>418</v>
      </c>
    </row>
    <row r="4" spans="1:9" ht="15.6" customHeight="1" x14ac:dyDescent="0.25">
      <c r="A4" t="s">
        <v>151</v>
      </c>
      <c r="B4" s="18" t="s">
        <v>152</v>
      </c>
      <c r="C4" s="138" t="s">
        <v>155</v>
      </c>
      <c r="D4" s="433" t="s">
        <v>414</v>
      </c>
      <c r="F4" s="142" t="s">
        <v>419</v>
      </c>
      <c r="G4" s="15" t="s">
        <v>420</v>
      </c>
      <c r="H4" s="15" t="s">
        <v>421</v>
      </c>
      <c r="I4" s="138" t="s">
        <v>422</v>
      </c>
    </row>
    <row r="5" spans="1:9" ht="15.6" customHeight="1" x14ac:dyDescent="0.25">
      <c r="A5" s="135" t="s">
        <v>71</v>
      </c>
      <c r="B5" s="15" t="s">
        <v>72</v>
      </c>
      <c r="C5" s="138" t="s">
        <v>77</v>
      </c>
      <c r="D5" s="433" t="s">
        <v>414</v>
      </c>
      <c r="F5" s="15" t="s">
        <v>423</v>
      </c>
      <c r="G5" s="129" t="s">
        <v>424</v>
      </c>
      <c r="H5" s="15" t="s">
        <v>425</v>
      </c>
      <c r="I5" s="138" t="s">
        <v>426</v>
      </c>
    </row>
    <row r="6" spans="1:9" ht="15.6" customHeight="1" x14ac:dyDescent="0.25">
      <c r="A6" s="15" t="s">
        <v>102</v>
      </c>
      <c r="B6" s="18" t="s">
        <v>103</v>
      </c>
      <c r="C6" s="138" t="s">
        <v>108</v>
      </c>
      <c r="D6" s="433" t="s">
        <v>427</v>
      </c>
      <c r="F6" s="4" t="s">
        <v>244</v>
      </c>
      <c r="G6" t="s">
        <v>245</v>
      </c>
      <c r="H6" s="15" t="s">
        <v>425</v>
      </c>
      <c r="I6" s="138" t="s">
        <v>249</v>
      </c>
    </row>
    <row r="7" spans="1:9" ht="15.6" customHeight="1" x14ac:dyDescent="0.25">
      <c r="A7" s="15" t="s">
        <v>135</v>
      </c>
      <c r="B7" s="15" t="s">
        <v>136</v>
      </c>
      <c r="C7" s="138" t="s">
        <v>140</v>
      </c>
      <c r="D7" s="433" t="s">
        <v>414</v>
      </c>
      <c r="F7" s="142" t="s">
        <v>428</v>
      </c>
      <c r="G7" s="15" t="s">
        <v>429</v>
      </c>
      <c r="H7" s="15" t="s">
        <v>430</v>
      </c>
      <c r="I7" s="138" t="s">
        <v>431</v>
      </c>
    </row>
    <row r="8" spans="1:9" ht="15.6" customHeight="1" x14ac:dyDescent="0.25">
      <c r="A8" s="15" t="s">
        <v>81</v>
      </c>
      <c r="B8" s="129" t="s">
        <v>82</v>
      </c>
      <c r="C8" s="138" t="s">
        <v>85</v>
      </c>
      <c r="D8" s="433" t="s">
        <v>414</v>
      </c>
      <c r="F8" s="319" t="s">
        <v>432</v>
      </c>
      <c r="G8" s="18" t="s">
        <v>433</v>
      </c>
      <c r="H8" s="15" t="s">
        <v>434</v>
      </c>
      <c r="I8" s="138" t="s">
        <v>435</v>
      </c>
    </row>
    <row r="9" spans="1:9" ht="15.6" customHeight="1" x14ac:dyDescent="0.25">
      <c r="A9" s="15" t="s">
        <v>297</v>
      </c>
      <c r="B9" s="18" t="s">
        <v>298</v>
      </c>
      <c r="C9" s="138" t="s">
        <v>299</v>
      </c>
      <c r="D9" s="433" t="s">
        <v>414</v>
      </c>
      <c r="F9" s="142" t="s">
        <v>436</v>
      </c>
      <c r="G9" s="15" t="s">
        <v>437</v>
      </c>
      <c r="H9" s="15" t="s">
        <v>438</v>
      </c>
      <c r="I9" s="138" t="s">
        <v>439</v>
      </c>
    </row>
    <row r="10" spans="1:9" ht="15.6" customHeight="1" x14ac:dyDescent="0.25">
      <c r="A10" s="15" t="s">
        <v>275</v>
      </c>
      <c r="B10" s="15" t="s">
        <v>276</v>
      </c>
      <c r="C10" s="138" t="s">
        <v>279</v>
      </c>
      <c r="D10" s="433" t="s">
        <v>414</v>
      </c>
      <c r="F10" s="320" t="s">
        <v>440</v>
      </c>
      <c r="G10" s="18" t="s">
        <v>441</v>
      </c>
      <c r="H10" s="15" t="s">
        <v>442</v>
      </c>
      <c r="I10" s="138" t="s">
        <v>443</v>
      </c>
    </row>
    <row r="11" spans="1:9" ht="15.6" customHeight="1" x14ac:dyDescent="0.25">
      <c r="A11" s="15" t="s">
        <v>385</v>
      </c>
      <c r="B11" s="15" t="s">
        <v>386</v>
      </c>
      <c r="C11" s="138" t="s">
        <v>388</v>
      </c>
      <c r="D11" s="433" t="s">
        <v>414</v>
      </c>
      <c r="F11" s="142" t="s">
        <v>444</v>
      </c>
      <c r="G11" s="15" t="s">
        <v>445</v>
      </c>
      <c r="H11" s="15" t="s">
        <v>446</v>
      </c>
      <c r="I11" s="138" t="s">
        <v>447</v>
      </c>
    </row>
    <row r="12" spans="1:9" ht="15.6" customHeight="1" x14ac:dyDescent="0.25">
      <c r="A12" s="18" t="s">
        <v>232</v>
      </c>
      <c r="B12" s="15" t="s">
        <v>233</v>
      </c>
      <c r="C12" s="138" t="s">
        <v>239</v>
      </c>
      <c r="D12" s="433" t="s">
        <v>414</v>
      </c>
      <c r="F12" s="142" t="s">
        <v>448</v>
      </c>
      <c r="G12" s="15" t="s">
        <v>314</v>
      </c>
      <c r="H12" s="15" t="s">
        <v>449</v>
      </c>
      <c r="I12" s="138" t="s">
        <v>450</v>
      </c>
    </row>
    <row r="13" spans="1:9" ht="15.6" customHeight="1" x14ac:dyDescent="0.25">
      <c r="A13" s="18" t="s">
        <v>354</v>
      </c>
      <c r="B13" s="15" t="s">
        <v>355</v>
      </c>
      <c r="C13" s="138" t="s">
        <v>357</v>
      </c>
      <c r="D13" s="433" t="s">
        <v>414</v>
      </c>
      <c r="F13" s="142" t="s">
        <v>451</v>
      </c>
      <c r="G13" s="15" t="s">
        <v>452</v>
      </c>
      <c r="H13" s="15" t="s">
        <v>453</v>
      </c>
      <c r="I13" s="138" t="s">
        <v>454</v>
      </c>
    </row>
    <row r="14" spans="1:9" ht="15.6" customHeight="1" x14ac:dyDescent="0.25">
      <c r="A14" s="18" t="s">
        <v>306</v>
      </c>
      <c r="B14" s="15" t="s">
        <v>455</v>
      </c>
      <c r="C14" s="138" t="s">
        <v>308</v>
      </c>
      <c r="D14" s="433" t="s">
        <v>414</v>
      </c>
      <c r="F14" s="142" t="s">
        <v>456</v>
      </c>
      <c r="G14" s="15" t="s">
        <v>457</v>
      </c>
      <c r="H14" s="15" t="s">
        <v>458</v>
      </c>
      <c r="I14" s="138" t="s">
        <v>459</v>
      </c>
    </row>
    <row r="15" spans="1:9" ht="15.6" customHeight="1" x14ac:dyDescent="0.25">
      <c r="A15" s="22" t="s">
        <v>280</v>
      </c>
      <c r="B15" s="15" t="s">
        <v>281</v>
      </c>
      <c r="C15" s="138" t="s">
        <v>282</v>
      </c>
      <c r="D15" s="433" t="s">
        <v>414</v>
      </c>
      <c r="F15" s="142" t="s">
        <v>460</v>
      </c>
      <c r="G15" s="15" t="s">
        <v>461</v>
      </c>
      <c r="H15" s="15" t="s">
        <v>462</v>
      </c>
      <c r="I15" s="138" t="s">
        <v>463</v>
      </c>
    </row>
    <row r="16" spans="1:9" ht="15.6" customHeight="1" x14ac:dyDescent="0.25">
      <c r="A16" s="18" t="s">
        <v>252</v>
      </c>
      <c r="B16" s="15" t="s">
        <v>253</v>
      </c>
      <c r="C16" s="138" t="s">
        <v>255</v>
      </c>
      <c r="D16" s="433" t="s">
        <v>414</v>
      </c>
      <c r="F16" s="142" t="s">
        <v>464</v>
      </c>
      <c r="G16" s="15" t="s">
        <v>465</v>
      </c>
      <c r="H16" s="15" t="s">
        <v>466</v>
      </c>
      <c r="I16" s="138" t="s">
        <v>467</v>
      </c>
    </row>
    <row r="17" spans="1:9" ht="15.6" customHeight="1" x14ac:dyDescent="0.25">
      <c r="A17" s="15" t="s">
        <v>401</v>
      </c>
      <c r="B17" s="15" t="s">
        <v>402</v>
      </c>
      <c r="C17" s="138" t="s">
        <v>403</v>
      </c>
      <c r="D17" s="433" t="s">
        <v>414</v>
      </c>
      <c r="F17" s="142" t="s">
        <v>468</v>
      </c>
      <c r="G17" s="15" t="s">
        <v>469</v>
      </c>
      <c r="H17" s="15" t="s">
        <v>470</v>
      </c>
      <c r="I17" s="138" t="s">
        <v>471</v>
      </c>
    </row>
    <row r="18" spans="1:9" ht="15.6" customHeight="1" x14ac:dyDescent="0.25">
      <c r="A18" s="15" t="s">
        <v>382</v>
      </c>
      <c r="B18" s="15" t="s">
        <v>383</v>
      </c>
      <c r="C18" s="138" t="s">
        <v>384</v>
      </c>
      <c r="D18" s="433" t="s">
        <v>414</v>
      </c>
      <c r="F18" s="68" t="s">
        <v>472</v>
      </c>
      <c r="G18" s="34" t="s">
        <v>473</v>
      </c>
      <c r="H18" s="34" t="s">
        <v>474</v>
      </c>
      <c r="I18" s="138" t="s">
        <v>475</v>
      </c>
    </row>
    <row r="19" spans="1:9" ht="15.6" customHeight="1" x14ac:dyDescent="0.25">
      <c r="A19" s="15" t="s">
        <v>166</v>
      </c>
      <c r="B19" s="15" t="s">
        <v>167</v>
      </c>
      <c r="C19" s="138" t="s">
        <v>168</v>
      </c>
      <c r="D19" s="433" t="s">
        <v>414</v>
      </c>
      <c r="F19" s="142" t="s">
        <v>476</v>
      </c>
      <c r="G19" s="15" t="s">
        <v>314</v>
      </c>
      <c r="H19" s="15" t="s">
        <v>477</v>
      </c>
      <c r="I19" s="138" t="s">
        <v>478</v>
      </c>
    </row>
    <row r="20" spans="1:9" ht="15.6" customHeight="1" x14ac:dyDescent="0.25">
      <c r="A20" s="15" t="s">
        <v>65</v>
      </c>
      <c r="B20" s="15" t="s">
        <v>66</v>
      </c>
      <c r="C20" s="138" t="s">
        <v>70</v>
      </c>
      <c r="D20" s="433" t="s">
        <v>414</v>
      </c>
      <c r="F20" s="142" t="s">
        <v>479</v>
      </c>
      <c r="G20" s="15" t="s">
        <v>480</v>
      </c>
      <c r="H20" s="15" t="s">
        <v>477</v>
      </c>
      <c r="I20" s="138" t="s">
        <v>481</v>
      </c>
    </row>
    <row r="21" spans="1:9" ht="15.6" customHeight="1" x14ac:dyDescent="0.25">
      <c r="A21" s="21" t="s">
        <v>43</v>
      </c>
      <c r="B21" s="15" t="s">
        <v>44</v>
      </c>
      <c r="C21" s="138" t="s">
        <v>48</v>
      </c>
      <c r="D21" s="433" t="s">
        <v>414</v>
      </c>
      <c r="F21" s="142" t="s">
        <v>482</v>
      </c>
      <c r="G21" s="15" t="s">
        <v>483</v>
      </c>
      <c r="H21" s="15" t="s">
        <v>484</v>
      </c>
      <c r="I21" s="138" t="s">
        <v>485</v>
      </c>
    </row>
    <row r="22" spans="1:9" ht="15.6" customHeight="1" x14ac:dyDescent="0.25">
      <c r="A22" s="15" t="s">
        <v>394</v>
      </c>
      <c r="B22" s="15" t="s">
        <v>395</v>
      </c>
      <c r="C22" s="138" t="s">
        <v>396</v>
      </c>
      <c r="D22" s="433" t="s">
        <v>414</v>
      </c>
      <c r="F22" s="142" t="s">
        <v>486</v>
      </c>
      <c r="G22" s="15" t="s">
        <v>487</v>
      </c>
      <c r="H22" s="15" t="s">
        <v>488</v>
      </c>
      <c r="I22" s="138" t="s">
        <v>489</v>
      </c>
    </row>
    <row r="23" spans="1:9" ht="15.6" customHeight="1" x14ac:dyDescent="0.25">
      <c r="A23" s="15" t="s">
        <v>148</v>
      </c>
      <c r="B23" s="15" t="s">
        <v>149</v>
      </c>
      <c r="C23" s="138" t="s">
        <v>150</v>
      </c>
      <c r="D23" s="432"/>
      <c r="F23" s="142" t="s">
        <v>490</v>
      </c>
      <c r="G23" s="15" t="s">
        <v>491</v>
      </c>
      <c r="H23" s="15" t="s">
        <v>488</v>
      </c>
      <c r="I23" s="138" t="s">
        <v>492</v>
      </c>
    </row>
    <row r="24" spans="1:9" ht="15.6" customHeight="1" x14ac:dyDescent="0.25">
      <c r="A24" s="18" t="s">
        <v>144</v>
      </c>
      <c r="B24" s="15" t="s">
        <v>145</v>
      </c>
      <c r="C24" s="138" t="s">
        <v>147</v>
      </c>
      <c r="D24" s="433" t="s">
        <v>414</v>
      </c>
      <c r="F24" s="142" t="s">
        <v>493</v>
      </c>
      <c r="G24" s="15" t="s">
        <v>494</v>
      </c>
      <c r="H24" s="15" t="s">
        <v>495</v>
      </c>
      <c r="I24" s="138" t="s">
        <v>496</v>
      </c>
    </row>
    <row r="25" spans="1:9" ht="15.6" customHeight="1" x14ac:dyDescent="0.25">
      <c r="A25" s="15" t="s">
        <v>358</v>
      </c>
      <c r="B25" s="15" t="s">
        <v>359</v>
      </c>
      <c r="C25" s="138" t="s">
        <v>361</v>
      </c>
      <c r="D25" s="433" t="s">
        <v>497</v>
      </c>
      <c r="F25" s="142" t="s">
        <v>498</v>
      </c>
      <c r="G25" s="15" t="s">
        <v>416</v>
      </c>
      <c r="H25" s="15" t="s">
        <v>495</v>
      </c>
      <c r="I25" s="138" t="s">
        <v>499</v>
      </c>
    </row>
    <row r="26" spans="1:9" ht="15.6" customHeight="1" x14ac:dyDescent="0.25">
      <c r="A26" s="15" t="s">
        <v>331</v>
      </c>
      <c r="B26" s="15" t="s">
        <v>332</v>
      </c>
      <c r="C26" s="138" t="s">
        <v>334</v>
      </c>
      <c r="D26" s="429"/>
      <c r="F26" s="142" t="s">
        <v>500</v>
      </c>
      <c r="G26" s="15" t="s">
        <v>416</v>
      </c>
      <c r="H26" s="15" t="s">
        <v>501</v>
      </c>
      <c r="I26" s="138" t="s">
        <v>502</v>
      </c>
    </row>
    <row r="27" spans="1:9" ht="15.6" customHeight="1" x14ac:dyDescent="0.25">
      <c r="A27" s="15" t="s">
        <v>503</v>
      </c>
      <c r="B27" t="s">
        <v>295</v>
      </c>
      <c r="C27" s="138" t="s">
        <v>296</v>
      </c>
      <c r="D27" s="433" t="s">
        <v>414</v>
      </c>
      <c r="F27" s="142" t="s">
        <v>504</v>
      </c>
      <c r="G27" s="15" t="s">
        <v>505</v>
      </c>
      <c r="H27" s="15" t="s">
        <v>506</v>
      </c>
      <c r="I27" s="138" t="s">
        <v>507</v>
      </c>
    </row>
    <row r="28" spans="1:9" ht="15.6" customHeight="1" x14ac:dyDescent="0.25">
      <c r="A28" s="15" t="s">
        <v>335</v>
      </c>
      <c r="B28" s="15" t="s">
        <v>336</v>
      </c>
      <c r="C28" s="138" t="s">
        <v>338</v>
      </c>
      <c r="D28" s="433" t="s">
        <v>508</v>
      </c>
      <c r="F28" s="142" t="s">
        <v>509</v>
      </c>
      <c r="G28" s="15" t="s">
        <v>510</v>
      </c>
      <c r="H28" s="15" t="s">
        <v>511</v>
      </c>
      <c r="I28" s="138" t="s">
        <v>512</v>
      </c>
    </row>
    <row r="29" spans="1:9" ht="15.6" customHeight="1" x14ac:dyDescent="0.25">
      <c r="A29" s="15" t="s">
        <v>89</v>
      </c>
      <c r="B29" s="15" t="s">
        <v>90</v>
      </c>
      <c r="C29" s="138" t="s">
        <v>94</v>
      </c>
      <c r="D29" s="433" t="s">
        <v>414</v>
      </c>
      <c r="F29" s="320" t="s">
        <v>513</v>
      </c>
      <c r="G29" s="18" t="s">
        <v>416</v>
      </c>
      <c r="H29" s="136" t="s">
        <v>488</v>
      </c>
      <c r="I29" s="138" t="s">
        <v>514</v>
      </c>
    </row>
    <row r="30" spans="1:9" ht="15.6" customHeight="1" x14ac:dyDescent="0.25">
      <c r="A30" s="15" t="s">
        <v>309</v>
      </c>
      <c r="B30" s="15" t="s">
        <v>310</v>
      </c>
      <c r="C30" s="138" t="s">
        <v>313</v>
      </c>
      <c r="D30" s="433" t="s">
        <v>414</v>
      </c>
      <c r="F30" s="142" t="s">
        <v>515</v>
      </c>
      <c r="G30" s="15" t="s">
        <v>516</v>
      </c>
      <c r="H30" s="136" t="s">
        <v>517</v>
      </c>
      <c r="I30" s="138" t="s">
        <v>518</v>
      </c>
    </row>
    <row r="31" spans="1:9" ht="15.6" customHeight="1" x14ac:dyDescent="0.25">
      <c r="A31" s="15" t="s">
        <v>267</v>
      </c>
      <c r="B31" s="15" t="s">
        <v>268</v>
      </c>
      <c r="C31" s="138" t="s">
        <v>269</v>
      </c>
      <c r="D31" s="433" t="s">
        <v>414</v>
      </c>
      <c r="F31" s="142" t="s">
        <v>519</v>
      </c>
      <c r="G31" s="15" t="s">
        <v>520</v>
      </c>
      <c r="H31" s="136" t="s">
        <v>521</v>
      </c>
      <c r="I31" s="138" t="s">
        <v>522</v>
      </c>
    </row>
    <row r="32" spans="1:9" ht="15.6" customHeight="1" x14ac:dyDescent="0.25">
      <c r="A32" t="s">
        <v>156</v>
      </c>
      <c r="B32" s="15" t="s">
        <v>157</v>
      </c>
      <c r="C32" s="138" t="s">
        <v>158</v>
      </c>
      <c r="D32" s="433" t="s">
        <v>523</v>
      </c>
      <c r="F32" s="142" t="s">
        <v>524</v>
      </c>
      <c r="G32" s="15" t="s">
        <v>525</v>
      </c>
      <c r="H32" s="136" t="s">
        <v>526</v>
      </c>
      <c r="I32" s="138" t="s">
        <v>527</v>
      </c>
    </row>
    <row r="33" spans="1:9" ht="15.6" customHeight="1" x14ac:dyDescent="0.25">
      <c r="A33" s="15" t="s">
        <v>397</v>
      </c>
      <c r="B33" s="15" t="s">
        <v>528</v>
      </c>
      <c r="C33" s="138" t="s">
        <v>398</v>
      </c>
      <c r="D33" s="433" t="s">
        <v>414</v>
      </c>
      <c r="F33" s="320" t="s">
        <v>529</v>
      </c>
      <c r="G33" s="18" t="s">
        <v>88</v>
      </c>
      <c r="H33" s="137" t="s">
        <v>530</v>
      </c>
      <c r="I33" s="138" t="s">
        <v>531</v>
      </c>
    </row>
    <row r="34" spans="1:9" ht="15.6" customHeight="1" x14ac:dyDescent="0.25">
      <c r="A34" s="18" t="s">
        <v>198</v>
      </c>
      <c r="B34" s="15" t="s">
        <v>199</v>
      </c>
      <c r="C34" s="138" t="s">
        <v>202</v>
      </c>
      <c r="D34" s="433" t="s">
        <v>414</v>
      </c>
      <c r="F34" s="68" t="s">
        <v>532</v>
      </c>
      <c r="G34" s="34" t="s">
        <v>533</v>
      </c>
      <c r="H34" s="15" t="s">
        <v>534</v>
      </c>
      <c r="I34" s="138" t="s">
        <v>535</v>
      </c>
    </row>
    <row r="35" spans="1:9" ht="15.6" customHeight="1" x14ac:dyDescent="0.25">
      <c r="A35" s="18" t="s">
        <v>215</v>
      </c>
      <c r="B35" s="15" t="s">
        <v>216</v>
      </c>
      <c r="C35" s="138" t="s">
        <v>218</v>
      </c>
      <c r="D35" s="433" t="s">
        <v>414</v>
      </c>
      <c r="F35" s="62" t="s">
        <v>536</v>
      </c>
      <c r="G35" s="22" t="s">
        <v>537</v>
      </c>
      <c r="H35" s="146" t="s">
        <v>538</v>
      </c>
      <c r="I35" s="147" t="s">
        <v>539</v>
      </c>
    </row>
    <row r="36" spans="1:9" ht="15.6" customHeight="1" x14ac:dyDescent="0.25">
      <c r="A36" s="15" t="s">
        <v>399</v>
      </c>
      <c r="B36" s="15" t="s">
        <v>399</v>
      </c>
      <c r="C36" s="138" t="s">
        <v>400</v>
      </c>
      <c r="D36" s="433" t="s">
        <v>414</v>
      </c>
      <c r="F36" s="68" t="s">
        <v>540</v>
      </c>
      <c r="G36" s="34" t="s">
        <v>541</v>
      </c>
      <c r="H36" s="252" t="s">
        <v>542</v>
      </c>
      <c r="I36" t="s">
        <v>543</v>
      </c>
    </row>
    <row r="37" spans="1:9" ht="15.6" customHeight="1" x14ac:dyDescent="0.25">
      <c r="A37" s="15" t="s">
        <v>184</v>
      </c>
      <c r="B37" s="15" t="s">
        <v>185</v>
      </c>
      <c r="C37" s="138" t="s">
        <v>186</v>
      </c>
      <c r="D37" s="433" t="s">
        <v>414</v>
      </c>
    </row>
    <row r="38" spans="1:9" ht="15.6" customHeight="1" x14ac:dyDescent="0.25">
      <c r="A38" s="18" t="s">
        <v>55</v>
      </c>
      <c r="B38" s="15" t="s">
        <v>56</v>
      </c>
      <c r="C38" s="138" t="s">
        <v>60</v>
      </c>
      <c r="D38" s="433" t="s">
        <v>414</v>
      </c>
    </row>
    <row r="39" spans="1:9" ht="15.6" customHeight="1" x14ac:dyDescent="0.25">
      <c r="A39" s="15" t="s">
        <v>162</v>
      </c>
      <c r="B39" s="15" t="s">
        <v>163</v>
      </c>
      <c r="C39" s="138" t="s">
        <v>165</v>
      </c>
      <c r="D39" s="433" t="s">
        <v>414</v>
      </c>
    </row>
    <row r="40" spans="1:9" ht="15.6" customHeight="1" x14ac:dyDescent="0.25">
      <c r="A40" s="15" t="s">
        <v>117</v>
      </c>
      <c r="B40" s="15" t="s">
        <v>118</v>
      </c>
      <c r="C40" s="138" t="s">
        <v>120</v>
      </c>
      <c r="D40" s="433" t="s">
        <v>414</v>
      </c>
    </row>
    <row r="41" spans="1:9" ht="15.6" customHeight="1" x14ac:dyDescent="0.25">
      <c r="A41" s="15" t="s">
        <v>544</v>
      </c>
      <c r="B41" s="15" t="s">
        <v>342</v>
      </c>
      <c r="C41" s="138" t="s">
        <v>343</v>
      </c>
      <c r="D41" s="433" t="s">
        <v>414</v>
      </c>
    </row>
    <row r="42" spans="1:9" ht="15.6" customHeight="1" x14ac:dyDescent="0.25">
      <c r="A42" s="18" t="s">
        <v>159</v>
      </c>
      <c r="B42" s="15" t="s">
        <v>159</v>
      </c>
      <c r="C42" s="138" t="s">
        <v>161</v>
      </c>
      <c r="D42" s="433" t="s">
        <v>414</v>
      </c>
    </row>
    <row r="43" spans="1:9" ht="15.6" customHeight="1" x14ac:dyDescent="0.25">
      <c r="A43" s="15" t="s">
        <v>141</v>
      </c>
      <c r="B43" s="15" t="s">
        <v>142</v>
      </c>
      <c r="C43" s="138" t="s">
        <v>143</v>
      </c>
      <c r="D43" s="429"/>
    </row>
    <row r="44" spans="1:9" ht="15.6" customHeight="1" x14ac:dyDescent="0.25">
      <c r="A44" s="15" t="s">
        <v>315</v>
      </c>
      <c r="B44" s="15" t="s">
        <v>316</v>
      </c>
      <c r="C44" s="138" t="s">
        <v>320</v>
      </c>
      <c r="D44" s="433" t="s">
        <v>414</v>
      </c>
    </row>
    <row r="45" spans="1:9" ht="15.6" customHeight="1" x14ac:dyDescent="0.25">
      <c r="A45" s="15" t="s">
        <v>203</v>
      </c>
      <c r="B45" s="15" t="s">
        <v>204</v>
      </c>
      <c r="C45" s="138" t="s">
        <v>206</v>
      </c>
      <c r="D45" s="433" t="s">
        <v>414</v>
      </c>
    </row>
    <row r="46" spans="1:9" ht="15.6" customHeight="1" x14ac:dyDescent="0.25">
      <c r="A46" s="15" t="s">
        <v>207</v>
      </c>
      <c r="B46" s="15" t="s">
        <v>208</v>
      </c>
      <c r="C46" s="138" t="s">
        <v>210</v>
      </c>
      <c r="D46" s="433" t="s">
        <v>414</v>
      </c>
    </row>
    <row r="47" spans="1:9" ht="15.6" customHeight="1" x14ac:dyDescent="0.25">
      <c r="A47" s="15" t="s">
        <v>346</v>
      </c>
      <c r="B47" s="15" t="s">
        <v>347</v>
      </c>
      <c r="C47" s="138" t="s">
        <v>349</v>
      </c>
      <c r="D47" s="433"/>
      <c r="E47" s="132"/>
    </row>
    <row r="48" spans="1:9" ht="15.6" customHeight="1" x14ac:dyDescent="0.25">
      <c r="A48" s="15" t="s">
        <v>223</v>
      </c>
      <c r="B48" s="15" t="s">
        <v>224</v>
      </c>
      <c r="C48" s="138" t="s">
        <v>227</v>
      </c>
      <c r="D48" s="433" t="s">
        <v>414</v>
      </c>
      <c r="E48" s="132"/>
    </row>
    <row r="49" spans="1:4" ht="14.45" customHeight="1" x14ac:dyDescent="0.25">
      <c r="A49" s="15" t="s">
        <v>270</v>
      </c>
      <c r="B49" s="15" t="s">
        <v>271</v>
      </c>
      <c r="C49" s="138" t="s">
        <v>274</v>
      </c>
      <c r="D49" s="433" t="s">
        <v>414</v>
      </c>
    </row>
    <row r="50" spans="1:4" ht="14.45" customHeight="1" x14ac:dyDescent="0.25">
      <c r="A50" s="15" t="s">
        <v>187</v>
      </c>
      <c r="B50" s="15" t="s">
        <v>188</v>
      </c>
      <c r="C50" s="138" t="s">
        <v>190</v>
      </c>
      <c r="D50" s="433" t="s">
        <v>414</v>
      </c>
    </row>
    <row r="51" spans="1:4" ht="14.45" customHeight="1" x14ac:dyDescent="0.25">
      <c r="A51" s="15" t="s">
        <v>112</v>
      </c>
      <c r="B51" s="15" t="s">
        <v>113</v>
      </c>
      <c r="C51" s="138" t="s">
        <v>116</v>
      </c>
      <c r="D51" s="433" t="s">
        <v>414</v>
      </c>
    </row>
    <row r="52" spans="1:4" ht="14.45" customHeight="1" x14ac:dyDescent="0.25">
      <c r="A52" s="15" t="s">
        <v>373</v>
      </c>
      <c r="B52" s="15" t="s">
        <v>374</v>
      </c>
      <c r="C52" s="138" t="s">
        <v>376</v>
      </c>
      <c r="D52" s="433" t="s">
        <v>414</v>
      </c>
    </row>
    <row r="53" spans="1:4" ht="15.6" customHeight="1" x14ac:dyDescent="0.25">
      <c r="A53" s="15" t="s">
        <v>169</v>
      </c>
      <c r="B53" s="15" t="s">
        <v>170</v>
      </c>
      <c r="C53" s="138" t="s">
        <v>173</v>
      </c>
      <c r="D53" s="433" t="s">
        <v>414</v>
      </c>
    </row>
    <row r="54" spans="1:4" ht="15.6" customHeight="1" x14ac:dyDescent="0.25">
      <c r="A54" s="128" t="s">
        <v>285</v>
      </c>
      <c r="B54" s="15" t="s">
        <v>286</v>
      </c>
      <c r="C54" s="138" t="s">
        <v>287</v>
      </c>
      <c r="D54" s="433" t="s">
        <v>414</v>
      </c>
    </row>
    <row r="55" spans="1:4" ht="15.6" customHeight="1" x14ac:dyDescent="0.25">
      <c r="A55" s="128" t="s">
        <v>366</v>
      </c>
      <c r="B55" s="15" t="s">
        <v>367</v>
      </c>
      <c r="C55" s="138" t="s">
        <v>370</v>
      </c>
      <c r="D55" s="433" t="s">
        <v>414</v>
      </c>
    </row>
    <row r="56" spans="1:4" ht="15.6" customHeight="1" x14ac:dyDescent="0.25">
      <c r="A56" s="15" t="s">
        <v>325</v>
      </c>
      <c r="B56" s="15" t="s">
        <v>326</v>
      </c>
      <c r="C56" s="138" t="s">
        <v>330</v>
      </c>
      <c r="D56" s="433" t="s">
        <v>414</v>
      </c>
    </row>
    <row r="57" spans="1:4" ht="15.6" customHeight="1" x14ac:dyDescent="0.25">
      <c r="A57" s="15" t="s">
        <v>260</v>
      </c>
      <c r="B57" s="15" t="s">
        <v>261</v>
      </c>
      <c r="C57" s="138" t="s">
        <v>262</v>
      </c>
      <c r="D57" s="433" t="s">
        <v>414</v>
      </c>
    </row>
    <row r="58" spans="1:4" ht="15.6" customHeight="1" x14ac:dyDescent="0.25">
      <c r="A58" s="34" t="s">
        <v>545</v>
      </c>
      <c r="B58" s="15" t="s">
        <v>178</v>
      </c>
      <c r="C58" s="138" t="s">
        <v>179</v>
      </c>
      <c r="D58" s="433"/>
    </row>
    <row r="59" spans="1:4" ht="15.6" customHeight="1" x14ac:dyDescent="0.25">
      <c r="A59" t="s">
        <v>263</v>
      </c>
      <c r="B59" s="15" t="s">
        <v>264</v>
      </c>
      <c r="C59" s="321" t="s">
        <v>183</v>
      </c>
      <c r="D59" s="433" t="s">
        <v>414</v>
      </c>
    </row>
    <row r="60" spans="1:4" ht="15.6" customHeight="1" x14ac:dyDescent="0.25">
      <c r="A60" t="s">
        <v>546</v>
      </c>
      <c r="B60" s="15" t="s">
        <v>372</v>
      </c>
      <c r="C60" s="321" t="s">
        <v>183</v>
      </c>
      <c r="D60" s="433" t="s">
        <v>414</v>
      </c>
    </row>
    <row r="61" spans="1:4" ht="15.6" customHeight="1" x14ac:dyDescent="0.25">
      <c r="A61" t="s">
        <v>547</v>
      </c>
      <c r="B61" s="15" t="s">
        <v>251</v>
      </c>
      <c r="C61" s="321" t="s">
        <v>183</v>
      </c>
      <c r="D61" s="433" t="s">
        <v>414</v>
      </c>
    </row>
    <row r="62" spans="1:4" ht="15.6" customHeight="1" x14ac:dyDescent="0.25">
      <c r="A62" t="s">
        <v>548</v>
      </c>
      <c r="B62" s="15" t="s">
        <v>181</v>
      </c>
      <c r="C62" s="321" t="s">
        <v>183</v>
      </c>
      <c r="D62" s="433" t="s">
        <v>414</v>
      </c>
    </row>
    <row r="63" spans="1:4" ht="15.6" customHeight="1" x14ac:dyDescent="0.25">
      <c r="A63" t="s">
        <v>549</v>
      </c>
      <c r="B63" s="15" t="s">
        <v>284</v>
      </c>
      <c r="C63" s="321" t="s">
        <v>183</v>
      </c>
      <c r="D63" s="433" t="s">
        <v>414</v>
      </c>
    </row>
    <row r="64" spans="1:4" ht="15.6" customHeight="1" x14ac:dyDescent="0.25">
      <c r="A64" t="s">
        <v>550</v>
      </c>
      <c r="B64" s="15" t="s">
        <v>324</v>
      </c>
      <c r="C64" s="321" t="s">
        <v>183</v>
      </c>
      <c r="D64" s="433" t="s">
        <v>414</v>
      </c>
    </row>
    <row r="65" spans="1:4" ht="15.6" customHeight="1" x14ac:dyDescent="0.25">
      <c r="A65" t="s">
        <v>551</v>
      </c>
      <c r="B65" s="15" t="s">
        <v>345</v>
      </c>
      <c r="C65" s="321" t="s">
        <v>183</v>
      </c>
      <c r="D65" s="433" t="s">
        <v>414</v>
      </c>
    </row>
    <row r="66" spans="1:4" ht="14.45" customHeight="1" x14ac:dyDescent="0.25">
      <c r="A66" t="s">
        <v>552</v>
      </c>
      <c r="B66" s="15" t="s">
        <v>289</v>
      </c>
      <c r="C66" s="321" t="s">
        <v>183</v>
      </c>
      <c r="D66" s="433" t="s">
        <v>414</v>
      </c>
    </row>
    <row r="67" spans="1:4" ht="14.45" customHeight="1" x14ac:dyDescent="0.25">
      <c r="A67" t="s">
        <v>553</v>
      </c>
      <c r="B67" s="15" t="s">
        <v>242</v>
      </c>
      <c r="C67" s="321" t="s">
        <v>231</v>
      </c>
      <c r="D67" s="433" t="s">
        <v>414</v>
      </c>
    </row>
    <row r="68" spans="1:4" ht="14.45" customHeight="1" x14ac:dyDescent="0.25">
      <c r="A68" t="s">
        <v>554</v>
      </c>
      <c r="B68" s="15" t="s">
        <v>266</v>
      </c>
      <c r="C68" s="321" t="s">
        <v>231</v>
      </c>
      <c r="D68" s="433" t="s">
        <v>414</v>
      </c>
    </row>
    <row r="69" spans="1:4" ht="14.45" customHeight="1" x14ac:dyDescent="0.25">
      <c r="A69" t="s">
        <v>555</v>
      </c>
      <c r="B69" s="15" t="s">
        <v>322</v>
      </c>
      <c r="C69" s="321" t="s">
        <v>231</v>
      </c>
      <c r="D69" s="433" t="s">
        <v>414</v>
      </c>
    </row>
    <row r="70" spans="1:4" ht="14.45" customHeight="1" x14ac:dyDescent="0.25">
      <c r="A70" t="s">
        <v>556</v>
      </c>
      <c r="B70" s="15" t="s">
        <v>229</v>
      </c>
      <c r="C70" s="321" t="s">
        <v>231</v>
      </c>
      <c r="D70" s="433" t="s">
        <v>414</v>
      </c>
    </row>
    <row r="71" spans="1:4" ht="14.45" customHeight="1" x14ac:dyDescent="0.25">
      <c r="A71" t="s">
        <v>557</v>
      </c>
      <c r="B71" s="15" t="s">
        <v>301</v>
      </c>
      <c r="C71" s="321" t="s">
        <v>231</v>
      </c>
      <c r="D71" s="433" t="s">
        <v>414</v>
      </c>
    </row>
    <row r="72" spans="1:4" ht="14.45" customHeight="1" x14ac:dyDescent="0.25">
      <c r="A72" t="s">
        <v>558</v>
      </c>
      <c r="B72" s="15" t="s">
        <v>351</v>
      </c>
      <c r="C72" s="321" t="s">
        <v>231</v>
      </c>
      <c r="D72" s="433" t="s">
        <v>414</v>
      </c>
    </row>
    <row r="73" spans="1:4" ht="14.45" customHeight="1" x14ac:dyDescent="0.25">
      <c r="A73" t="s">
        <v>352</v>
      </c>
      <c r="B73" s="15" t="s">
        <v>353</v>
      </c>
      <c r="C73" s="321" t="s">
        <v>231</v>
      </c>
      <c r="D73" s="433" t="s">
        <v>414</v>
      </c>
    </row>
    <row r="74" spans="1:4" ht="14.45" customHeight="1" x14ac:dyDescent="0.25">
      <c r="A74" t="s">
        <v>291</v>
      </c>
      <c r="B74" s="15" t="s">
        <v>292</v>
      </c>
      <c r="C74" s="321" t="s">
        <v>231</v>
      </c>
      <c r="D74" s="433" t="s">
        <v>414</v>
      </c>
    </row>
    <row r="75" spans="1:4" ht="15.75" customHeight="1" x14ac:dyDescent="0.25">
      <c r="A75" t="s">
        <v>211</v>
      </c>
      <c r="B75" s="15" t="s">
        <v>212</v>
      </c>
      <c r="C75" s="321" t="s">
        <v>559</v>
      </c>
      <c r="D75" s="433" t="s">
        <v>414</v>
      </c>
    </row>
    <row r="76" spans="1:4" ht="16.5" customHeight="1" x14ac:dyDescent="0.25">
      <c r="A76" t="s">
        <v>362</v>
      </c>
      <c r="B76" s="15" t="s">
        <v>363</v>
      </c>
      <c r="C76" s="138" t="s">
        <v>365</v>
      </c>
      <c r="D76" s="433" t="s">
        <v>414</v>
      </c>
    </row>
    <row r="77" spans="1:4" ht="15" customHeight="1" x14ac:dyDescent="0.25">
      <c r="A77" t="s">
        <v>121</v>
      </c>
      <c r="B77" s="15" t="s">
        <v>122</v>
      </c>
      <c r="C77" s="138" t="s">
        <v>126</v>
      </c>
      <c r="D77" s="433" t="s">
        <v>414</v>
      </c>
    </row>
    <row r="78" spans="1:4" ht="16.899999999999999" customHeight="1" x14ac:dyDescent="0.25">
      <c r="A78" t="s">
        <v>377</v>
      </c>
      <c r="B78" s="15" t="s">
        <v>378</v>
      </c>
      <c r="C78" s="138" t="s">
        <v>379</v>
      </c>
      <c r="D78" s="433" t="s">
        <v>414</v>
      </c>
    </row>
    <row r="79" spans="1:4" ht="14.45" customHeight="1" x14ac:dyDescent="0.25">
      <c r="A79" t="s">
        <v>389</v>
      </c>
      <c r="B79" s="15" t="s">
        <v>390</v>
      </c>
      <c r="C79" s="138" t="s">
        <v>393</v>
      </c>
      <c r="D79" s="433" t="s">
        <v>414</v>
      </c>
    </row>
    <row r="80" spans="1:4" ht="14.45" customHeight="1" x14ac:dyDescent="0.25">
      <c r="A80" s="15" t="s">
        <v>50</v>
      </c>
      <c r="B80" s="15" t="s">
        <v>51</v>
      </c>
      <c r="C80" s="322" t="s">
        <v>54</v>
      </c>
      <c r="D80" s="433" t="s">
        <v>414</v>
      </c>
    </row>
    <row r="81" spans="1:4" ht="13.9" customHeight="1" x14ac:dyDescent="0.25">
      <c r="A81" s="15" t="s">
        <v>95</v>
      </c>
      <c r="B81" s="15" t="s">
        <v>96</v>
      </c>
      <c r="C81" s="322" t="s">
        <v>54</v>
      </c>
      <c r="D81" s="433" t="s">
        <v>414</v>
      </c>
    </row>
    <row r="82" spans="1:4" ht="14.45" customHeight="1" x14ac:dyDescent="0.25">
      <c r="A82" s="15" t="s">
        <v>86</v>
      </c>
      <c r="B82" s="15" t="s">
        <v>87</v>
      </c>
      <c r="C82" s="322" t="s">
        <v>54</v>
      </c>
      <c r="D82" s="433" t="s">
        <v>414</v>
      </c>
    </row>
    <row r="83" spans="1:4" ht="14.45" customHeight="1" x14ac:dyDescent="0.25">
      <c r="A83" s="15" t="s">
        <v>256</v>
      </c>
      <c r="B83" s="15" t="s">
        <v>257</v>
      </c>
      <c r="C83" s="322" t="s">
        <v>54</v>
      </c>
      <c r="D83" s="433" t="s">
        <v>414</v>
      </c>
    </row>
    <row r="84" spans="1:4" ht="14.45" customHeight="1" x14ac:dyDescent="0.25">
      <c r="A84" s="15" t="s">
        <v>100</v>
      </c>
      <c r="B84" s="15" t="s">
        <v>101</v>
      </c>
      <c r="C84" s="322" t="s">
        <v>54</v>
      </c>
      <c r="D84" s="433" t="s">
        <v>414</v>
      </c>
    </row>
    <row r="85" spans="1:4" ht="14.45" customHeight="1" x14ac:dyDescent="0.25">
      <c r="A85" s="15" t="s">
        <v>130</v>
      </c>
      <c r="B85" s="15" t="s">
        <v>131</v>
      </c>
      <c r="C85" s="322" t="s">
        <v>54</v>
      </c>
      <c r="D85" s="433" t="s">
        <v>414</v>
      </c>
    </row>
    <row r="86" spans="1:4" ht="14.45" customHeight="1" x14ac:dyDescent="0.25">
      <c r="A86" s="15" t="s">
        <v>174</v>
      </c>
      <c r="B86" s="15" t="s">
        <v>175</v>
      </c>
      <c r="C86" s="322" t="s">
        <v>54</v>
      </c>
      <c r="D86" s="433" t="s">
        <v>414</v>
      </c>
    </row>
    <row r="87" spans="1:4" ht="14.45" customHeight="1" x14ac:dyDescent="0.25">
      <c r="A87" s="306" t="s">
        <v>196</v>
      </c>
      <c r="B87" s="307" t="s">
        <v>197</v>
      </c>
      <c r="C87" s="322" t="s">
        <v>54</v>
      </c>
      <c r="D87" s="433" t="s">
        <v>414</v>
      </c>
    </row>
    <row r="88" spans="1:4" ht="14.45" customHeight="1" x14ac:dyDescent="0.25">
      <c r="A88" s="294" t="s">
        <v>109</v>
      </c>
      <c r="B88" s="307" t="s">
        <v>110</v>
      </c>
      <c r="C88" s="322" t="s">
        <v>111</v>
      </c>
      <c r="D88" s="433" t="s">
        <v>414</v>
      </c>
    </row>
    <row r="89" spans="1:4" ht="14.45" customHeight="1" x14ac:dyDescent="0.25">
      <c r="A89" s="294" t="s">
        <v>219</v>
      </c>
      <c r="B89" s="307" t="s">
        <v>220</v>
      </c>
      <c r="C89" s="322" t="s">
        <v>111</v>
      </c>
      <c r="D89" s="433" t="s">
        <v>414</v>
      </c>
    </row>
    <row r="90" spans="1:4" ht="14.45" customHeight="1" x14ac:dyDescent="0.25">
      <c r="A90" s="294" t="s">
        <v>35</v>
      </c>
      <c r="B90" s="307" t="s">
        <v>36</v>
      </c>
      <c r="C90" s="322" t="s">
        <v>41</v>
      </c>
      <c r="D90" s="433" t="s">
        <v>414</v>
      </c>
    </row>
    <row r="91" spans="1:4" ht="15" customHeight="1" x14ac:dyDescent="0.25">
      <c r="A91" s="294" t="s">
        <v>133</v>
      </c>
      <c r="B91" s="307" t="s">
        <v>134</v>
      </c>
      <c r="C91" s="322" t="s">
        <v>41</v>
      </c>
      <c r="D91" s="433" t="s">
        <v>560</v>
      </c>
    </row>
    <row r="92" spans="1:4" ht="14.45" customHeight="1" x14ac:dyDescent="0.25">
      <c r="A92" s="294" t="s">
        <v>127</v>
      </c>
      <c r="B92" s="307" t="s">
        <v>128</v>
      </c>
      <c r="C92" s="322" t="s">
        <v>41</v>
      </c>
      <c r="D92" s="430"/>
    </row>
    <row r="93" spans="1:4" ht="14.45" customHeight="1" x14ac:dyDescent="0.25">
      <c r="A93" s="294" t="s">
        <v>61</v>
      </c>
      <c r="B93" s="307" t="s">
        <v>62</v>
      </c>
      <c r="C93" s="322" t="s">
        <v>41</v>
      </c>
      <c r="D93" s="433" t="s">
        <v>414</v>
      </c>
    </row>
    <row r="94" spans="1:4" ht="14.45" customHeight="1" x14ac:dyDescent="0.25">
      <c r="A94" s="294" t="s">
        <v>78</v>
      </c>
      <c r="B94" s="307" t="s">
        <v>79</v>
      </c>
      <c r="C94" s="322" t="s">
        <v>41</v>
      </c>
      <c r="D94" s="433" t="s">
        <v>414</v>
      </c>
    </row>
  </sheetData>
  <hyperlinks>
    <hyperlink ref="C3" r:id="rId1" xr:uid="{00000000-0004-0000-0100-000000000000}"/>
    <hyperlink ref="I3" r:id="rId2" xr:uid="{00000000-0004-0000-0100-000001000000}"/>
    <hyperlink ref="C4" r:id="rId3" xr:uid="{00000000-0004-0000-0100-000002000000}"/>
    <hyperlink ref="I4" r:id="rId4" xr:uid="{00000000-0004-0000-0100-000003000000}"/>
    <hyperlink ref="C5" r:id="rId5" xr:uid="{00000000-0004-0000-0100-000004000000}"/>
    <hyperlink ref="I5" r:id="rId6" xr:uid="{00000000-0004-0000-0100-000005000000}"/>
    <hyperlink ref="C6" r:id="rId7" xr:uid="{00000000-0004-0000-0100-000006000000}"/>
    <hyperlink ref="I6" r:id="rId8" xr:uid="{00000000-0004-0000-0100-000007000000}"/>
    <hyperlink ref="C7" r:id="rId9" xr:uid="{00000000-0004-0000-0100-000008000000}"/>
    <hyperlink ref="I7" r:id="rId10" xr:uid="{00000000-0004-0000-0100-000009000000}"/>
    <hyperlink ref="C8" r:id="rId11" xr:uid="{00000000-0004-0000-0100-00000A000000}"/>
    <hyperlink ref="I8" r:id="rId12" xr:uid="{00000000-0004-0000-0100-00000B000000}"/>
    <hyperlink ref="C9" r:id="rId13" xr:uid="{00000000-0004-0000-0100-00000C000000}"/>
    <hyperlink ref="I9" r:id="rId14" xr:uid="{00000000-0004-0000-0100-00000D000000}"/>
    <hyperlink ref="C10" r:id="rId15" xr:uid="{00000000-0004-0000-0100-00000E000000}"/>
    <hyperlink ref="I10" r:id="rId16" xr:uid="{00000000-0004-0000-0100-00000F000000}"/>
    <hyperlink ref="C11" r:id="rId17" xr:uid="{00000000-0004-0000-0100-000010000000}"/>
    <hyperlink ref="I11" r:id="rId18" xr:uid="{00000000-0004-0000-0100-000011000000}"/>
    <hyperlink ref="C12" r:id="rId19" xr:uid="{00000000-0004-0000-0100-000012000000}"/>
    <hyperlink ref="I12" r:id="rId20" xr:uid="{00000000-0004-0000-0100-000013000000}"/>
    <hyperlink ref="C13" r:id="rId21" xr:uid="{00000000-0004-0000-0100-000014000000}"/>
    <hyperlink ref="I13" r:id="rId22" xr:uid="{00000000-0004-0000-0100-000015000000}"/>
    <hyperlink ref="C14" r:id="rId23" xr:uid="{00000000-0004-0000-0100-000016000000}"/>
    <hyperlink ref="I14" r:id="rId24" xr:uid="{00000000-0004-0000-0100-000017000000}"/>
    <hyperlink ref="C15" r:id="rId25" xr:uid="{00000000-0004-0000-0100-000018000000}"/>
    <hyperlink ref="I15" r:id="rId26" xr:uid="{00000000-0004-0000-0100-000019000000}"/>
    <hyperlink ref="C16" r:id="rId27" xr:uid="{00000000-0004-0000-0100-00001A000000}"/>
    <hyperlink ref="I16" r:id="rId28" xr:uid="{00000000-0004-0000-0100-00001B000000}"/>
    <hyperlink ref="C17" r:id="rId29" xr:uid="{00000000-0004-0000-0100-00001C000000}"/>
    <hyperlink ref="I17" r:id="rId30" xr:uid="{00000000-0004-0000-0100-00001D000000}"/>
    <hyperlink ref="C18" r:id="rId31" xr:uid="{00000000-0004-0000-0100-00001E000000}"/>
    <hyperlink ref="I18" r:id="rId32" xr:uid="{00000000-0004-0000-0100-00001F000000}"/>
    <hyperlink ref="C19" r:id="rId33" xr:uid="{00000000-0004-0000-0100-000020000000}"/>
    <hyperlink ref="I19" r:id="rId34" xr:uid="{00000000-0004-0000-0100-000021000000}"/>
    <hyperlink ref="C20" r:id="rId35" xr:uid="{00000000-0004-0000-0100-000022000000}"/>
    <hyperlink ref="I20" r:id="rId36" xr:uid="{00000000-0004-0000-0100-000023000000}"/>
    <hyperlink ref="C21" r:id="rId37" xr:uid="{00000000-0004-0000-0100-000024000000}"/>
    <hyperlink ref="I21" r:id="rId38" xr:uid="{00000000-0004-0000-0100-000025000000}"/>
    <hyperlink ref="C22" r:id="rId39" xr:uid="{00000000-0004-0000-0100-000026000000}"/>
    <hyperlink ref="I22" r:id="rId40" xr:uid="{00000000-0004-0000-0100-000027000000}"/>
    <hyperlink ref="C23" r:id="rId41" xr:uid="{00000000-0004-0000-0100-000028000000}"/>
    <hyperlink ref="I23" r:id="rId42" xr:uid="{00000000-0004-0000-0100-000029000000}"/>
    <hyperlink ref="C24" r:id="rId43" xr:uid="{00000000-0004-0000-0100-00002A000000}"/>
    <hyperlink ref="I24" r:id="rId44" xr:uid="{00000000-0004-0000-0100-00002B000000}"/>
    <hyperlink ref="C25" r:id="rId45" xr:uid="{00000000-0004-0000-0100-00002C000000}"/>
    <hyperlink ref="I25" r:id="rId46" xr:uid="{00000000-0004-0000-0100-00002D000000}"/>
    <hyperlink ref="C26" r:id="rId47" xr:uid="{00000000-0004-0000-0100-00002E000000}"/>
    <hyperlink ref="I26" r:id="rId48" xr:uid="{00000000-0004-0000-0100-00002F000000}"/>
    <hyperlink ref="C27" r:id="rId49" xr:uid="{00000000-0004-0000-0100-000030000000}"/>
    <hyperlink ref="I27" r:id="rId50" xr:uid="{00000000-0004-0000-0100-000031000000}"/>
    <hyperlink ref="C28" r:id="rId51" xr:uid="{00000000-0004-0000-0100-000032000000}"/>
    <hyperlink ref="I28" r:id="rId52" xr:uid="{00000000-0004-0000-0100-000033000000}"/>
    <hyperlink ref="C29" r:id="rId53" xr:uid="{00000000-0004-0000-0100-000034000000}"/>
    <hyperlink ref="I29" r:id="rId54" xr:uid="{00000000-0004-0000-0100-000035000000}"/>
    <hyperlink ref="C30" r:id="rId55" xr:uid="{00000000-0004-0000-0100-000036000000}"/>
    <hyperlink ref="I30" r:id="rId56" xr:uid="{00000000-0004-0000-0100-000037000000}"/>
    <hyperlink ref="C31" r:id="rId57" xr:uid="{00000000-0004-0000-0100-000038000000}"/>
    <hyperlink ref="I31" r:id="rId58" xr:uid="{00000000-0004-0000-0100-000039000000}"/>
    <hyperlink ref="C32" r:id="rId59" xr:uid="{00000000-0004-0000-0100-00003A000000}"/>
    <hyperlink ref="I32" r:id="rId60" xr:uid="{00000000-0004-0000-0100-00003B000000}"/>
    <hyperlink ref="C33" r:id="rId61" xr:uid="{00000000-0004-0000-0100-00003C000000}"/>
    <hyperlink ref="I33" r:id="rId62" xr:uid="{00000000-0004-0000-0100-00003D000000}"/>
    <hyperlink ref="C34" r:id="rId63" xr:uid="{00000000-0004-0000-0100-00003E000000}"/>
    <hyperlink ref="I34" r:id="rId64" xr:uid="{00000000-0004-0000-0100-00003F000000}"/>
    <hyperlink ref="C35" r:id="rId65" xr:uid="{00000000-0004-0000-0100-000040000000}"/>
    <hyperlink ref="I35" r:id="rId66" xr:uid="{00000000-0004-0000-0100-000041000000}"/>
    <hyperlink ref="C36" r:id="rId67" xr:uid="{00000000-0004-0000-0100-000042000000}"/>
    <hyperlink ref="C37" r:id="rId68" xr:uid="{00000000-0004-0000-0100-000043000000}"/>
    <hyperlink ref="C38" r:id="rId69" xr:uid="{00000000-0004-0000-0100-000044000000}"/>
    <hyperlink ref="C39" r:id="rId70" xr:uid="{00000000-0004-0000-0100-000045000000}"/>
    <hyperlink ref="C40" r:id="rId71" xr:uid="{00000000-0004-0000-0100-000046000000}"/>
    <hyperlink ref="C41" r:id="rId72" xr:uid="{00000000-0004-0000-0100-000047000000}"/>
    <hyperlink ref="C42" r:id="rId73" xr:uid="{00000000-0004-0000-0100-000048000000}"/>
    <hyperlink ref="C43" r:id="rId74" xr:uid="{00000000-0004-0000-0100-000049000000}"/>
    <hyperlink ref="C44" r:id="rId75" xr:uid="{00000000-0004-0000-0100-00004A000000}"/>
    <hyperlink ref="C45" r:id="rId76" xr:uid="{00000000-0004-0000-0100-00004B000000}"/>
    <hyperlink ref="C46" r:id="rId77" xr:uid="{00000000-0004-0000-0100-00004C000000}"/>
    <hyperlink ref="C47" r:id="rId78" xr:uid="{00000000-0004-0000-0100-00004D000000}"/>
    <hyperlink ref="C48" r:id="rId79" xr:uid="{00000000-0004-0000-0100-00004E000000}"/>
    <hyperlink ref="C49" r:id="rId80" xr:uid="{00000000-0004-0000-0100-00004F000000}"/>
    <hyperlink ref="C50" r:id="rId81" xr:uid="{00000000-0004-0000-0100-000050000000}"/>
    <hyperlink ref="C51" r:id="rId82" xr:uid="{00000000-0004-0000-0100-000051000000}"/>
    <hyperlink ref="C52" r:id="rId83" xr:uid="{00000000-0004-0000-0100-000052000000}"/>
    <hyperlink ref="C53" r:id="rId84" xr:uid="{00000000-0004-0000-0100-000053000000}"/>
    <hyperlink ref="C54" r:id="rId85" xr:uid="{00000000-0004-0000-0100-000054000000}"/>
    <hyperlink ref="C55" r:id="rId86" xr:uid="{00000000-0004-0000-0100-000055000000}"/>
    <hyperlink ref="C56" r:id="rId87" xr:uid="{00000000-0004-0000-0100-000056000000}"/>
    <hyperlink ref="C57" r:id="rId88" xr:uid="{00000000-0004-0000-0100-000057000000}"/>
    <hyperlink ref="C58" r:id="rId89" xr:uid="{00000000-0004-0000-0100-000058000000}"/>
    <hyperlink ref="C76" r:id="rId90" xr:uid="{00000000-0004-0000-0100-000059000000}"/>
    <hyperlink ref="C77" r:id="rId91" xr:uid="{00000000-0004-0000-0100-00005A000000}"/>
    <hyperlink ref="C78" r:id="rId92" xr:uid="{00000000-0004-0000-0100-00005B000000}"/>
    <hyperlink ref="C79" r:id="rId93" xr:uid="{00000000-0004-0000-0100-00005C000000}"/>
  </hyperlinks>
  <pageMargins left="0.7" right="0.7" top="0.75" bottom="0.75" header="0.3" footer="0.3"/>
  <pageSetup orientation="portrait"/>
  <tableParts count="2">
    <tablePart r:id="rId94"/>
    <tablePart r:id="rId9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5A87CD"/>
  </sheetPr>
  <dimension ref="A1:AQ92"/>
  <sheetViews>
    <sheetView topLeftCell="A20" zoomScale="80" zoomScaleNormal="80" workbookViewId="0">
      <selection activeCell="L8" sqref="L8"/>
    </sheetView>
  </sheetViews>
  <sheetFormatPr defaultRowHeight="15" x14ac:dyDescent="0.25"/>
  <cols>
    <col min="1" max="1" width="48.7109375" customWidth="1"/>
    <col min="2" max="2" width="17.7109375" customWidth="1"/>
    <col min="3" max="6" width="14.7109375" customWidth="1"/>
    <col min="7" max="7" width="17.7109375" customWidth="1"/>
    <col min="8" max="8" width="17.42578125" customWidth="1"/>
    <col min="9" max="9" width="8" customWidth="1"/>
    <col min="10" max="10" width="8.7109375" customWidth="1"/>
    <col min="11" max="11" width="18.42578125" customWidth="1"/>
    <col min="12" max="12" width="15" customWidth="1"/>
    <col min="13" max="21" width="19.28515625" customWidth="1"/>
    <col min="22" max="22" width="19.5703125" customWidth="1"/>
    <col min="23" max="23" width="14.140625" customWidth="1"/>
    <col min="24" max="24" width="18.140625" customWidth="1"/>
    <col min="25" max="25" width="13.5703125" customWidth="1"/>
    <col min="26" max="27" width="17.28515625" customWidth="1"/>
    <col min="28" max="39" width="18.140625" customWidth="1"/>
    <col min="40" max="41" width="17.7109375" customWidth="1"/>
    <col min="42" max="42" width="12.7109375" customWidth="1"/>
    <col min="43" max="43" width="23.28515625" customWidth="1"/>
    <col min="44" max="44" width="16.140625" customWidth="1"/>
  </cols>
  <sheetData>
    <row r="1" spans="1:43" ht="15" customHeight="1" thickBot="1" x14ac:dyDescent="0.3"/>
    <row r="2" spans="1:43" ht="73.150000000000006" customHeight="1" thickBot="1" x14ac:dyDescent="0.3">
      <c r="A2" s="510" t="s">
        <v>561</v>
      </c>
      <c r="B2" s="511"/>
      <c r="C2" s="511"/>
      <c r="D2" s="511"/>
      <c r="E2" s="512"/>
    </row>
    <row r="3" spans="1:43" ht="16.899999999999999" customHeight="1" x14ac:dyDescent="0.25"/>
    <row r="4" spans="1:43" ht="52.15" customHeight="1" x14ac:dyDescent="0.25">
      <c r="A4" s="207" t="s">
        <v>0</v>
      </c>
      <c r="B4" s="207" t="s">
        <v>1</v>
      </c>
      <c r="C4" s="207" t="s">
        <v>2</v>
      </c>
      <c r="D4" s="207" t="s">
        <v>3</v>
      </c>
      <c r="E4" s="207" t="s">
        <v>4</v>
      </c>
      <c r="F4" s="207" t="s">
        <v>5</v>
      </c>
      <c r="G4" s="207" t="s">
        <v>6</v>
      </c>
      <c r="H4" s="207" t="s">
        <v>7</v>
      </c>
      <c r="I4" s="207" t="s">
        <v>8</v>
      </c>
      <c r="J4" s="207" t="s">
        <v>9</v>
      </c>
      <c r="K4" s="207" t="s">
        <v>10</v>
      </c>
      <c r="L4" s="207" t="s">
        <v>11</v>
      </c>
      <c r="M4" s="207" t="s">
        <v>12</v>
      </c>
      <c r="N4" s="208" t="s">
        <v>26</v>
      </c>
      <c r="O4" s="209" t="s">
        <v>27</v>
      </c>
      <c r="P4" s="209" t="s">
        <v>28</v>
      </c>
      <c r="Q4" s="210" t="s">
        <v>562</v>
      </c>
      <c r="R4" s="209" t="s">
        <v>30</v>
      </c>
      <c r="S4" s="209" t="s">
        <v>32</v>
      </c>
      <c r="T4" s="209" t="s">
        <v>34</v>
      </c>
      <c r="U4" s="213" t="s">
        <v>563</v>
      </c>
      <c r="V4" s="213" t="s">
        <v>564</v>
      </c>
      <c r="W4" s="212" t="s">
        <v>14</v>
      </c>
      <c r="X4" s="212" t="s">
        <v>565</v>
      </c>
      <c r="Y4" s="212" t="s">
        <v>15</v>
      </c>
      <c r="Z4" s="212" t="s">
        <v>566</v>
      </c>
      <c r="AA4" s="212" t="s">
        <v>567</v>
      </c>
      <c r="AB4" s="211" t="s">
        <v>568</v>
      </c>
      <c r="AC4" s="211" t="s">
        <v>569</v>
      </c>
      <c r="AD4" s="211" t="s">
        <v>570</v>
      </c>
      <c r="AE4" s="211" t="s">
        <v>571</v>
      </c>
      <c r="AF4" s="211" t="s">
        <v>572</v>
      </c>
      <c r="AG4" s="211" t="s">
        <v>573</v>
      </c>
      <c r="AH4" s="211" t="s">
        <v>574</v>
      </c>
      <c r="AI4" s="211" t="s">
        <v>575</v>
      </c>
      <c r="AJ4" s="211" t="s">
        <v>576</v>
      </c>
      <c r="AK4" s="211" t="s">
        <v>577</v>
      </c>
      <c r="AL4" s="211" t="s">
        <v>578</v>
      </c>
      <c r="AM4" s="44"/>
      <c r="AO4" s="42" t="s">
        <v>579</v>
      </c>
      <c r="AP4" s="42" t="s">
        <v>580</v>
      </c>
      <c r="AQ4" s="42" t="s">
        <v>581</v>
      </c>
    </row>
    <row r="5" spans="1:43" ht="14.45" customHeight="1" x14ac:dyDescent="0.25">
      <c r="A5" s="14" t="s">
        <v>191</v>
      </c>
      <c r="B5" s="17" t="s">
        <v>192</v>
      </c>
      <c r="C5" s="16" t="s">
        <v>104</v>
      </c>
      <c r="D5" s="17"/>
      <c r="E5" s="17"/>
      <c r="F5" s="17"/>
      <c r="G5" t="s">
        <v>193</v>
      </c>
      <c r="H5" s="16" t="e">
        <v>#VALUE!</v>
      </c>
      <c r="I5" s="17">
        <v>2014</v>
      </c>
      <c r="J5" s="17">
        <v>2022</v>
      </c>
      <c r="K5">
        <f t="shared" ref="K5:K10" si="0">J5-I5</f>
        <v>8</v>
      </c>
      <c r="L5" t="s">
        <v>39</v>
      </c>
      <c r="M5" t="s">
        <v>582</v>
      </c>
      <c r="N5" s="130">
        <v>1800</v>
      </c>
      <c r="O5" s="13"/>
      <c r="P5" s="13"/>
      <c r="Q5" s="13"/>
      <c r="R5" s="13"/>
      <c r="S5" s="130">
        <v>1180</v>
      </c>
      <c r="T5" s="13">
        <v>1.525423728813559</v>
      </c>
      <c r="U5" s="62" t="s">
        <v>49</v>
      </c>
      <c r="V5" s="17" t="s">
        <v>583</v>
      </c>
      <c r="W5" s="28">
        <f>'VfM MSD Mastersheet'!$O3</f>
        <v>-0.22618499398231501</v>
      </c>
      <c r="X5" s="28" t="str">
        <f t="array" ref="X5">_xlfn.IFS(
W5&lt;= $AO$5, "1st Quintile (Lowest)",
W5&lt;= $AP$5, "2nd Quintile (Median)",
W5&lt;= $AQ$5, "3rd Quintile",
TRUE, "Above 3rd Quintile"
)</f>
        <v>Above 3rd Quintile</v>
      </c>
      <c r="Y5" s="28">
        <f>'VfM MSD Mastersheet'!$P3</f>
        <v>7.1158726153082599</v>
      </c>
      <c r="Z5" s="28" t="str">
        <f t="array" ref="Z5">_xlfn.IFS(
Y5&lt;= $AO$6, "1st Quintile (Lowest)",
Y5&lt;= $AP$6, "2nd Quintile (Median)",
Y5&lt;= $AQ$6, "3rd Quintile",
TRUE, "Above 3rd Quintile"
)</f>
        <v>3rd Quintile</v>
      </c>
      <c r="AA5" s="46" t="s">
        <v>584</v>
      </c>
      <c r="AB5" s="46" t="str">
        <f t="array" ref="AB5">_xlfn.IFS(
    (X5="1st Quintile (Lowest)")+(Z5="Above 3rd Quintile"), "Group 1",
    ((X5="2nd Quintile (Median)")+(X5="3rd Quintile")+(Z5="2nd Quintile")+(Z5="3rd Quintile")), "Group 2",
    TRUE, "Group 3"
)</f>
        <v>Group 2</v>
      </c>
      <c r="AC5" t="str">
        <f t="array" ref="AC5:AC42">_xlfn._xlws.FILTER(B5:B92, AB5:AB92="Group 1")</f>
        <v>FORESITE</v>
      </c>
      <c r="AD5" t="str">
        <f t="array" ref="AD5:AD34">_xlfn._xlws.FILTER(B5:B92,AB5:AB92="Group 2")</f>
        <v>CHAIN</v>
      </c>
      <c r="AE5" t="str">
        <f t="array" ref="AE5:AE22">_xlfn._xlws.FILTER(B5:B92, AB5:AB92="Group 3")</f>
        <v>EYE-PH1-3</v>
      </c>
      <c r="AF5" t="str">
        <f t="array" ref="AF5">_xlfn.IFS(
    ((X5="1st Quintile (Lowest)")+(Z5="Above 3rd Quintile"))*(K5&gt;5), "Group 1 - Long",
    ((X5="1st Quintile (Lowest)")+(Z5="Above 3rd Quintile"))*(K5&lt;=5), "Group 1 - Short",
    ((X5="2nd Quintile (Median)")+(X5="3rd Quintile")+(Z5="2nd Quintile")+(Z5="3rd Quintile"))*(K5&gt;5), "Group 2 - Long",
    ((X5="2nd Quintile (Median)")+(X5="3rd Quintile")+(Z5="2nd Quintile")+(Z5="3rd Quintile"))*(K5&lt;=5), "Group 2 - Short",
    K5&gt;5, "Group 3 - Long",
    K5&lt;=5, "Group 3 - Short"
)</f>
        <v>Group 2 - Long</v>
      </c>
      <c r="AG5" t="str">
        <f t="array" ref="AG5:AG19">_xlfn._xlws.FILTER(B5:B92, AF5:AF92="Group 1 - Long")</f>
        <v>M-Sawa</v>
      </c>
      <c r="AH5" t="str">
        <f t="array" ref="AH5:AH27">_xlfn._xlws.FILTER(B5:B92, AF5:AF92="Group 1 - Short")</f>
        <v>FORESITE</v>
      </c>
      <c r="AI5" t="str">
        <f t="array" ref="AI5:AI15">_xlfn._xlws.FILTER(B5:B92, AF5:AF92="Group 2 - Long")</f>
        <v>CHAIN</v>
      </c>
      <c r="AJ5" t="str">
        <f t="array" ref="AJ5:AJ23">_xlfn._xlws.FILTER(B5:B92, AF5:AF92="Group 2 - Short")</f>
        <v>SDVC</v>
      </c>
      <c r="AK5" t="str">
        <f t="array" ref="AK5:AK11">_xlfn._xlws.FILTER(B5:B92, AF5:AF92="Group 3 - Long")</f>
        <v>EYE-PH1-3</v>
      </c>
      <c r="AL5">
        <f t="array" ref="AL5:AL16">_xlfn._xlws.FILTER(B5:B92, AF5:AF92="Group 3 - Short")</f>
        <v>0</v>
      </c>
      <c r="AN5" s="15" t="s">
        <v>585</v>
      </c>
      <c r="AO5" s="48">
        <f t="array" ref="AO5">_xlfn.PERCENTILE.INC(_xlfn._xlws.FILTER(W5:W92, W5:W92&lt;&gt;0), 0.2)</f>
        <v>-1.24928412437439</v>
      </c>
      <c r="AP5" s="49">
        <f t="array" ref="AP5">_xlfn.PERCENTILE.INC(_xlfn._xlws.FILTER(W5:W92, W5:W92&lt;&gt;0), 0.5)</f>
        <v>-0.53412978351116158</v>
      </c>
      <c r="AQ5" s="50">
        <f t="array" ref="AQ5">_xlfn.PERCENTILE.INC(_xlfn._xlws.FILTER(W5:W92, W5:W92&lt;&gt;0), 0.6)</f>
        <v>-0.46644220086080701</v>
      </c>
    </row>
    <row r="6" spans="1:43" ht="14.45" customHeight="1" x14ac:dyDescent="0.25">
      <c r="A6" s="17" t="s">
        <v>151</v>
      </c>
      <c r="B6" s="17" t="s">
        <v>152</v>
      </c>
      <c r="C6" s="17" t="s">
        <v>57</v>
      </c>
      <c r="D6" s="17" t="s">
        <v>68</v>
      </c>
      <c r="E6" s="17"/>
      <c r="F6" s="17"/>
      <c r="G6" s="17" t="s">
        <v>154</v>
      </c>
      <c r="H6" s="17" t="e">
        <v>#VALUE!</v>
      </c>
      <c r="I6" s="17">
        <v>2019</v>
      </c>
      <c r="J6" s="17">
        <v>2023</v>
      </c>
      <c r="K6">
        <f t="shared" si="0"/>
        <v>4</v>
      </c>
      <c r="L6" t="s">
        <v>39</v>
      </c>
      <c r="M6" t="s">
        <v>582</v>
      </c>
      <c r="N6" s="130">
        <v>336</v>
      </c>
      <c r="O6" s="13">
        <v>1.398692810457516E-2</v>
      </c>
      <c r="P6" s="13"/>
      <c r="Q6" s="13"/>
      <c r="R6" s="13"/>
      <c r="S6" s="130"/>
      <c r="T6" s="13">
        <v>0.96</v>
      </c>
      <c r="U6" s="63" t="s">
        <v>42</v>
      </c>
      <c r="V6" s="17" t="s">
        <v>586</v>
      </c>
      <c r="W6" s="28">
        <f>'VfM MSD Mastersheet'!$O4</f>
        <v>-2.17384085059166</v>
      </c>
      <c r="X6" s="28" t="str">
        <f t="array" ref="X6">_xlfn.IFS(
W6&lt;= $AO$5, "1st Quintile (Lowest)",
W6&lt;= $AP$5, "2nd Quintile (Median)",
W6&lt;= $AQ$5, "3rd Quintile",
TRUE, "Above 3rd Quintile"
)</f>
        <v>1st Quintile (Lowest)</v>
      </c>
      <c r="Y6" s="28">
        <f>'VfM MSD Mastersheet'!$P4</f>
        <v>7.3704464696130687</v>
      </c>
      <c r="Z6" s="28" t="str">
        <f t="array" ref="Z6">_xlfn.IFS(
Y6&lt;= $AO$6, "1st Quintile (Lowest)",
Y6&lt;= $AP$6, "2nd Quintile (Median)",
Y6&lt;= $AQ$6, "3rd Quintile",
TRUE, "Above 3rd Quintile"
)</f>
        <v>Above 3rd Quintile</v>
      </c>
      <c r="AA6" s="46" t="s">
        <v>587</v>
      </c>
      <c r="AB6" s="46" t="str">
        <f t="array" ref="AB6">_xlfn.IFS(
    (X6="1st Quintile (Lowest)")+(Z6="Above 3rd Quintile"), "Group 1",
    ((X6="2nd Quintile (Median)")+(X6="3rd Quintile")+(Z6="2nd Quintile")+(Z6="3rd Quintile")), "Group 2",
    TRUE, "Group 3"
)</f>
        <v>Group 1</v>
      </c>
      <c r="AC6" t="str">
        <v>Construya Peru-PH 2</v>
      </c>
      <c r="AD6" t="str">
        <v>SDVC</v>
      </c>
      <c r="AE6" t="str">
        <v>PEPZ</v>
      </c>
      <c r="AF6" t="str">
        <f t="array" ref="AF6">_xlfn.IFS(
    ((X6="1st Quintile (Lowest)")+(Z6="Above 3rd Quintile"))*(K6&gt;5), "Group 1 - Long",
    ((X6="1st Quintile (Lowest)")+(Z6="Above 3rd Quintile"))*(K6&lt;=5), "Group 1 - Short",
    ((X6="2nd Quintile (Median)")+(X6="3rd Quintile")+(Z6="2nd Quintile")+(Z6="3rd Quintile"))*(K6&gt;5), "Group 2 - Long",
    ((X6="2nd Quintile (Median)")+(X6="3rd Quintile")+(Z6="2nd Quintile")+(Z6="3rd Quintile"))*(K6&lt;=5), "Group 2 - Short",
    K6&gt;5, "Group 3 - Long",
    K6&lt;=5, "Group 3 - Short"
)</f>
        <v>Group 1 - Short</v>
      </c>
      <c r="AG6" t="str">
        <v>EELA</v>
      </c>
      <c r="AH6" t="str">
        <v>Construya Peru-PH 2</v>
      </c>
      <c r="AI6" t="str">
        <v>PEPE</v>
      </c>
      <c r="AJ6" t="str">
        <v>RDC</v>
      </c>
      <c r="AK6" t="str">
        <v>PEPZ</v>
      </c>
      <c r="AL6" t="str">
        <v>PIMS</v>
      </c>
      <c r="AN6" s="15" t="s">
        <v>588</v>
      </c>
      <c r="AO6" s="50">
        <f t="array" ref="AO6">_xlfn.PERCENTILE.INC(_xlfn._xlws.FILTER(Y5:Y92, Y5:Y92&lt;&gt;0), 0.2)</f>
        <v>4.3624931953551158</v>
      </c>
      <c r="AP6" s="49">
        <f t="array" ref="AP6">_xlfn.PERCENTILE.INC(_xlfn._xlws.FILTER(Y5:Y92, Y5:Y92&lt;&gt;0), 0.5)</f>
        <v>6.3292360646728643</v>
      </c>
      <c r="AQ6" s="48">
        <f t="array" ref="AQ6">_xlfn.PERCENTILE.INC(_xlfn._xlws.FILTER(Y5:Y92, Y5:Y92&lt;&gt;0), 0.6)</f>
        <v>7.1388932228651472</v>
      </c>
    </row>
    <row r="7" spans="1:43" ht="14.45" customHeight="1" x14ac:dyDescent="0.25">
      <c r="A7" s="17" t="s">
        <v>71</v>
      </c>
      <c r="B7" s="17" t="s">
        <v>72</v>
      </c>
      <c r="C7" t="s">
        <v>73</v>
      </c>
      <c r="G7" s="17" t="s">
        <v>74</v>
      </c>
      <c r="H7" s="17" t="e">
        <v>#VALUE!</v>
      </c>
      <c r="I7" s="17">
        <v>2019</v>
      </c>
      <c r="J7" s="17">
        <v>2023</v>
      </c>
      <c r="K7">
        <f t="shared" si="0"/>
        <v>4</v>
      </c>
      <c r="L7" t="s">
        <v>75</v>
      </c>
      <c r="M7" t="s">
        <v>76</v>
      </c>
      <c r="N7" s="130"/>
      <c r="O7" s="13"/>
      <c r="P7" s="13"/>
      <c r="Q7" s="13"/>
      <c r="R7" s="13"/>
      <c r="S7" s="130">
        <v>538.46153846153845</v>
      </c>
      <c r="T7" s="13"/>
      <c r="U7" s="66" t="s">
        <v>49</v>
      </c>
      <c r="V7" s="17" t="s">
        <v>589</v>
      </c>
      <c r="W7" s="28">
        <f>'VfM MSD Mastersheet'!$O5</f>
        <v>-1.9798536002635951</v>
      </c>
      <c r="X7" s="28" t="str">
        <f t="array" ref="X7">_xlfn.IFS(
W7&lt;= $AO$5, "1st Quintile (Lowest)",
W7&lt;= $AP$5, "2nd Quintile (Median)",
W7&lt;= $AQ$5, "3rd Quintile",
TRUE, "Above 3rd Quintile"
)</f>
        <v>1st Quintile (Lowest)</v>
      </c>
      <c r="Y7" s="28">
        <f>'VfM MSD Mastersheet'!$P5</f>
        <v>13.309954624194646</v>
      </c>
      <c r="Z7" s="28" t="str">
        <f t="array" ref="Z7">_xlfn.IFS(
Y7&lt;= $AO$6, "1st Quintile (Lowest)",
Y7&lt;= $AP$6, "2nd Quintile (Median)",
Y7&lt;= $AQ$6, "3rd Quintile",
TRUE, "Above 3rd Quintile"
)</f>
        <v>Above 3rd Quintile</v>
      </c>
      <c r="AA7" s="46" t="s">
        <v>584</v>
      </c>
      <c r="AB7" s="46" t="str">
        <f t="array" ref="AB7">_xlfn.IFS(
    (X7="1st Quintile (Lowest)")+(Z7="Above 3rd Quintile"), "Group 1",
    ((X7="2nd Quintile (Median)")+(X7="3rd Quintile")+(Z7="2nd Quintile")+(Z7="3rd Quintile")), "Group 2",
    TRUE, "Group 3"
)</f>
        <v>Group 1</v>
      </c>
      <c r="AC7" t="str">
        <v>IMSAR</v>
      </c>
      <c r="AD7" t="str">
        <v>RDC</v>
      </c>
      <c r="AE7" t="str">
        <v>MADE Nigeria-PH1&amp;2</v>
      </c>
      <c r="AF7" t="str">
        <f t="array" ref="AF7">_xlfn.IFS(
    ((X7="1st Quintile (Lowest)")+(Z7="Above 3rd Quintile"))*(K7&gt;5), "Group 1 - Long",
    ((X7="1st Quintile (Lowest)")+(Z7="Above 3rd Quintile"))*(K7&lt;=5), "Group 1 - Short",
    ((X7="2nd Quintile (Median)")+(X7="3rd Quintile")+(Z7="2nd Quintile")+(Z7="3rd Quintile"))*(K7&gt;5), "Group 2 - Long",
    ((X7="2nd Quintile (Median)")+(X7="3rd Quintile")+(Z7="2nd Quintile")+(Z7="3rd Quintile"))*(K7&lt;=5), "Group 2 - Short",
    K7&gt;5, "Group 3 - Long",
    K7&lt;=5, "Group 3 - Short"
)</f>
        <v>Group 1 - Short</v>
      </c>
      <c r="AG7" t="str">
        <v>MOLI-PH2</v>
      </c>
      <c r="AH7" t="str">
        <v>IMSAR</v>
      </c>
      <c r="AI7" t="str">
        <v>CTDP</v>
      </c>
      <c r="AJ7" t="str">
        <v>PRISMA</v>
      </c>
      <c r="AK7" t="str">
        <v>MADE Nigeria-PH1&amp;2</v>
      </c>
      <c r="AL7" t="str">
        <v>MORINGA</v>
      </c>
    </row>
    <row r="8" spans="1:43" ht="14.45" customHeight="1" x14ac:dyDescent="0.25">
      <c r="A8" s="35" t="s">
        <v>380</v>
      </c>
      <c r="B8" s="35" t="s">
        <v>381</v>
      </c>
      <c r="C8" s="36" t="s">
        <v>104</v>
      </c>
      <c r="D8" s="36"/>
      <c r="E8" s="36"/>
      <c r="F8" s="36"/>
      <c r="G8" s="35" t="s">
        <v>105</v>
      </c>
      <c r="H8" s="35" t="e">
        <v>#VALUE!</v>
      </c>
      <c r="I8" s="35">
        <v>2013</v>
      </c>
      <c r="J8" s="35">
        <v>2024</v>
      </c>
      <c r="K8" s="36">
        <f t="shared" si="0"/>
        <v>11</v>
      </c>
      <c r="L8" s="36" t="s">
        <v>106</v>
      </c>
      <c r="M8" s="36" t="s">
        <v>107</v>
      </c>
      <c r="N8" s="199"/>
      <c r="O8" s="149">
        <v>0.52782178217821785</v>
      </c>
      <c r="P8" s="149">
        <v>1.237623762376238E-2</v>
      </c>
      <c r="Q8" s="149"/>
      <c r="R8" s="199">
        <v>3371.1615487316421</v>
      </c>
      <c r="S8" s="199">
        <v>8080</v>
      </c>
      <c r="T8" s="149"/>
      <c r="U8" s="65" t="s">
        <v>49</v>
      </c>
      <c r="V8" s="35" t="s">
        <v>589</v>
      </c>
      <c r="W8" s="37">
        <f>'VfM MSD Mastersheet'!$O9</f>
        <v>-0.37709590196609499</v>
      </c>
      <c r="X8" s="28" t="str">
        <f t="array" ref="X8">_xlfn.IFS(
W8&lt;= $AO$5, "1st Quintile (Lowest)",
W8&lt;= $AP$5, "2nd Quintile (Median)",
W8&lt;= $AQ$5, "3rd Quintile",
TRUE, "Above 3rd Quintile"
)</f>
        <v>Above 3rd Quintile</v>
      </c>
      <c r="Y8" s="37">
        <f>'VfM MSD Mastersheet'!$P9</f>
        <v>4.6631035142398671</v>
      </c>
      <c r="Z8" s="28" t="str">
        <f t="array" ref="Z8">_xlfn.IFS(
Y8&lt;= $AO$6, "1st Quintile (Lowest)",
Y8&lt;= $AP$6, "2nd Quintile (Median)",
Y8&lt;= $AQ$6, "3rd Quintile",
TRUE, "Above 3rd Quintile"
)</f>
        <v>2nd Quintile (Median)</v>
      </c>
      <c r="AA8" s="46" t="s">
        <v>584</v>
      </c>
      <c r="AB8" s="46" t="str">
        <f t="array" ref="AB8">_xlfn.IFS(
    (X8="1st Quintile (Lowest)")+(Z8="Above 3rd Quintile"), "Group 1",
    ((X8="2nd Quintile (Median)")+(X8="3rd Quintile")+(Z8="2nd Quintile")+(Z8="3rd Quintile")), "Group 2",
    TRUE, "Group 3"
)</f>
        <v>Group 3</v>
      </c>
      <c r="AC8" t="str">
        <v>STARS</v>
      </c>
      <c r="AD8" t="str">
        <v>PEPE</v>
      </c>
      <c r="AE8" t="str">
        <v>InovAgro</v>
      </c>
      <c r="AF8" t="str">
        <f t="array" ref="AF8">_xlfn.IFS(
    ((X8="1st Quintile (Lowest)")+(Z8="Above 3rd Quintile"))*(K8&gt;5), "Group 1 - Long",
    ((X8="1st Quintile (Lowest)")+(Z8="Above 3rd Quintile"))*(K8&lt;=5), "Group 1 - Short",
    ((X8="2nd Quintile (Median)")+(X8="3rd Quintile")+(Z8="2nd Quintile")+(Z8="3rd Quintile"))*(K8&gt;5), "Group 2 - Long",
    ((X8="2nd Quintile (Median)")+(X8="3rd Quintile")+(Z8="2nd Quintile")+(Z8="3rd Quintile"))*(K8&lt;=5), "Group 2 - Short",
    K8&gt;5, "Group 3 - Long",
    K8&lt;=5, "Group 3 - Short"
)</f>
        <v>Group 3 - Long</v>
      </c>
      <c r="AG8" t="str">
        <v>PPSE-PH2&amp;3</v>
      </c>
      <c r="AH8" t="str">
        <v>STARS</v>
      </c>
      <c r="AI8" t="str">
        <v>Katalyst-PH1-2</v>
      </c>
      <c r="AJ8" t="str">
        <v>SHOMOSHTI-PH2</v>
      </c>
      <c r="AK8" s="150" t="str">
        <v>InovAgro</v>
      </c>
      <c r="AL8" t="str">
        <v>CIDC</v>
      </c>
    </row>
    <row r="9" spans="1:43" ht="14.45" customHeight="1" x14ac:dyDescent="0.25">
      <c r="A9" s="4" t="s">
        <v>135</v>
      </c>
      <c r="B9" t="s">
        <v>136</v>
      </c>
      <c r="C9" t="s">
        <v>137</v>
      </c>
      <c r="G9" t="s">
        <v>138</v>
      </c>
      <c r="H9" t="e">
        <v>#VALUE!</v>
      </c>
      <c r="I9">
        <v>2019</v>
      </c>
      <c r="J9">
        <v>2022</v>
      </c>
      <c r="K9">
        <f t="shared" si="0"/>
        <v>3</v>
      </c>
      <c r="L9" t="s">
        <v>39</v>
      </c>
      <c r="M9" t="s">
        <v>582</v>
      </c>
      <c r="N9" s="130">
        <v>74.023683998532064</v>
      </c>
      <c r="O9" s="13">
        <v>0.86853405348316892</v>
      </c>
      <c r="P9" s="13">
        <v>1.6212635665019151</v>
      </c>
      <c r="Q9" s="13">
        <v>0.34741362139326759</v>
      </c>
      <c r="R9" s="130">
        <v>5027.7962154294028</v>
      </c>
      <c r="S9" s="13"/>
      <c r="T9" s="13">
        <v>1.197129437050968</v>
      </c>
      <c r="U9" s="66" t="s">
        <v>49</v>
      </c>
      <c r="V9" s="17" t="s">
        <v>586</v>
      </c>
      <c r="W9" s="28">
        <f>'VfM MSD Mastersheet'!$O10</f>
        <v>-1.5190391540527299</v>
      </c>
      <c r="X9" s="28" t="str">
        <f t="array" ref="X9">_xlfn.IFS(
W9&lt;= $AO$5, "1st Quintile (Lowest)",
W9&lt;= $AP$5, "2nd Quintile (Median)",
W9&lt;= $AQ$5, "3rd Quintile",
TRUE, "Above 3rd Quintile"
)</f>
        <v>1st Quintile (Lowest)</v>
      </c>
      <c r="Y9" s="28">
        <f>'VfM MSD Mastersheet'!$P10</f>
        <v>133.29234314751841</v>
      </c>
      <c r="Z9" s="28" t="str">
        <f t="array" ref="Z9">_xlfn.IFS(
Y9&lt;= $AO$6, "1st Quintile (Lowest)",
Y9&lt;= $AP$6, "2nd Quintile (Median)",
Y9&lt;= $AQ$6, "3rd Quintile",
TRUE, "Above 3rd Quintile"
)</f>
        <v>Above 3rd Quintile</v>
      </c>
      <c r="AA9" s="46" t="s">
        <v>587</v>
      </c>
      <c r="AB9" s="46" t="str">
        <f t="array" ref="AB9">_xlfn.IFS(
    (X9="1st Quintile (Lowest)")+(Z9="Above 3rd Quintile"), "Group 1",
    ((X9="2nd Quintile (Median)")+(X9="3rd Quintile")+(Z9="2nd Quintile")+(Z9="3rd Quintile")), "Group 2",
    TRUE, "Group 3"
)</f>
        <v>Group 1</v>
      </c>
      <c r="AC9" t="str">
        <v>AIP-Rural</v>
      </c>
      <c r="AD9" t="str">
        <v>CTDP</v>
      </c>
      <c r="AE9" t="str">
        <v>PIMS</v>
      </c>
      <c r="AF9" t="str">
        <f t="array" ref="AF9">_xlfn.IFS(
    ((X9="1st Quintile (Lowest)")+(Z9="Above 3rd Quintile"))*(K9&gt;5), "Group 1 - Long",
    ((X9="1st Quintile (Lowest)")+(Z9="Above 3rd Quintile"))*(K9&lt;=5), "Group 1 - Short",
    ((X9="2nd Quintile (Median)")+(X9="3rd Quintile")+(Z9="2nd Quintile")+(Z9="3rd Quintile"))*(K9&gt;5), "Group 2 - Long",
    ((X9="2nd Quintile (Median)")+(X9="3rd Quintile")+(Z9="2nd Quintile")+(Z9="3rd Quintile"))*(K9&lt;=5), "Group 2 - Short",
    K9&gt;5, "Group 3 - Long",
    K9&lt;=5, "Group 3 - Short"
)</f>
        <v>Group 1 - Short</v>
      </c>
      <c r="AG9" t="str">
        <v>MarketMakers-PH1-3</v>
      </c>
      <c r="AH9" t="str">
        <v>AIP-Rural</v>
      </c>
      <c r="AI9" t="str">
        <v>MDF-PH1-2</v>
      </c>
      <c r="AJ9" t="str">
        <v>FTF Inova</v>
      </c>
      <c r="AK9" t="str">
        <v>PRIME</v>
      </c>
      <c r="AL9" t="str">
        <v>MDRD</v>
      </c>
    </row>
    <row r="10" spans="1:43" ht="14.45" customHeight="1" x14ac:dyDescent="0.25">
      <c r="A10" s="17" t="s">
        <v>81</v>
      </c>
      <c r="B10" s="17" t="s">
        <v>82</v>
      </c>
      <c r="C10" t="s">
        <v>52</v>
      </c>
      <c r="G10" s="17" t="s">
        <v>83</v>
      </c>
      <c r="H10" s="17" t="e">
        <v>#VALUE!</v>
      </c>
      <c r="I10" s="17">
        <v>2013</v>
      </c>
      <c r="J10" s="17">
        <v>2016</v>
      </c>
      <c r="K10">
        <f t="shared" si="0"/>
        <v>3</v>
      </c>
      <c r="L10" t="s">
        <v>39</v>
      </c>
      <c r="M10" t="s">
        <v>84</v>
      </c>
      <c r="N10" s="130">
        <v>528</v>
      </c>
      <c r="O10" s="13"/>
      <c r="P10" s="13"/>
      <c r="Q10" s="13"/>
      <c r="R10" s="130"/>
      <c r="S10" s="130">
        <v>130</v>
      </c>
      <c r="T10" s="13">
        <v>4.0615384615384613</v>
      </c>
      <c r="U10" s="66" t="s">
        <v>49</v>
      </c>
      <c r="V10" s="17" t="s">
        <v>583</v>
      </c>
      <c r="W10" s="28">
        <f>'VfM MSD Mastersheet'!$O11</f>
        <v>-1.2482322007417688</v>
      </c>
      <c r="X10" s="28" t="str">
        <f t="array" ref="X10">_xlfn.IFS(
W10&lt;= $AO$5, "1st Quintile (Lowest)",
W10&lt;= $AP$5, "2nd Quintile (Median)",
W10&lt;= $AQ$5, "3rd Quintile",
TRUE, "Above 3rd Quintile"
)</f>
        <v>2nd Quintile (Median)</v>
      </c>
      <c r="Y10" s="28">
        <f>'VfM MSD Mastersheet'!$P11</f>
        <v>6.5574628145299991</v>
      </c>
      <c r="Z10" s="28" t="str">
        <f t="array" ref="Z10">_xlfn.IFS(
Y10&lt;= $AO$6, "1st Quintile (Lowest)",
Y10&lt;= $AP$6, "2nd Quintile (Median)",
Y10&lt;= $AQ$6, "3rd Quintile",
TRUE, "Above 3rd Quintile"
)</f>
        <v>3rd Quintile</v>
      </c>
      <c r="AA10" s="46" t="s">
        <v>590</v>
      </c>
      <c r="AB10" s="46" t="str">
        <f t="array" ref="AB10">_xlfn.IFS(
    (X10="1st Quintile (Lowest)")+(Z10="Above 3rd Quintile"), "Group 1",
    ((X10="2nd Quintile (Median)")+(X10="3rd Quintile")+(Z10="2nd Quintile")+(Z10="3rd Quintile")), "Group 2",
    TRUE, "Group 3"
)</f>
        <v>Group 2</v>
      </c>
      <c r="AC10" t="str">
        <v>R2J</v>
      </c>
      <c r="AD10" t="str">
        <v>PRISMA</v>
      </c>
      <c r="AE10" s="150" t="str">
        <v>MORINGA</v>
      </c>
      <c r="AF10" t="str">
        <f t="array" ref="AF10">_xlfn.IFS(
    ((X10="1st Quintile (Lowest)")+(Z10="Above 3rd Quintile"))*(K10&gt;5), "Group 1 - Long",
    ((X10="1st Quintile (Lowest)")+(Z10="Above 3rd Quintile"))*(K10&lt;=5), "Group 1 - Short",
    ((X10="2nd Quintile (Median)")+(X10="3rd Quintile")+(Z10="2nd Quintile")+(Z10="3rd Quintile"))*(K10&gt;5), "Group 2 - Long",
    ((X10="2nd Quintile (Median)")+(X10="3rd Quintile")+(Z10="2nd Quintile")+(Z10="3rd Quintile"))*(K10&lt;=5), "Group 2 - Short",
    K10&gt;5, "Group 3 - Long",
    K10&lt;=5, "Group 3 - Short"
)</f>
        <v>Group 2 - Short</v>
      </c>
      <c r="AG10" t="str">
        <v>M4C</v>
      </c>
      <c r="AH10" t="str">
        <v>R2J</v>
      </c>
      <c r="AI10" t="str">
        <v>ÉLAN RDC</v>
      </c>
      <c r="AJ10" t="str">
        <v>Hilando Culturas</v>
      </c>
      <c r="AK10" t="str">
        <v>NU-TEC-1</v>
      </c>
      <c r="AL10" t="str">
        <v>KUZA</v>
      </c>
    </row>
    <row r="11" spans="1:43" ht="14.45" customHeight="1" x14ac:dyDescent="0.25">
      <c r="A11" s="309"/>
      <c r="B11" s="309"/>
      <c r="C11" s="310"/>
      <c r="D11" s="310"/>
      <c r="E11" s="310"/>
      <c r="F11" s="310"/>
      <c r="G11" s="309"/>
      <c r="H11" s="309"/>
      <c r="I11" s="309"/>
      <c r="J11" s="309"/>
      <c r="K11" s="310"/>
      <c r="L11" s="310"/>
      <c r="M11" s="310"/>
      <c r="N11" s="311"/>
      <c r="O11" s="312"/>
      <c r="P11" s="312"/>
      <c r="Q11" s="312"/>
      <c r="R11" s="311"/>
      <c r="S11" s="311"/>
      <c r="T11" s="312"/>
      <c r="U11" s="313"/>
      <c r="V11" s="309"/>
      <c r="W11" s="314"/>
      <c r="X11" s="314"/>
      <c r="Y11" s="314"/>
      <c r="Z11" s="314"/>
      <c r="AA11" s="315"/>
      <c r="AB11" s="315"/>
      <c r="AC11" t="str">
        <v>PAVE-Pakistan-PH1</v>
      </c>
      <c r="AD11" t="str">
        <v>SHOMOSHTI-PH2</v>
      </c>
      <c r="AE11" t="str">
        <v>PRIME</v>
      </c>
      <c r="AF11" t="str">
        <f t="array" ref="AF11">_xlfn.IFS(
    ((X11="1st Quintile (Lowest)")+(Z11="Above 3rd Quintile"))*(K11&gt;5), "Group 1 - Long",
    ((X11="1st Quintile (Lowest)")+(Z11="Above 3rd Quintile"))*(K11&lt;=5), "Group 1 - Short",
    ((X11="2nd Quintile (Median)")+(X11="3rd Quintile")+(Z11="2nd Quintile")+(Z11="3rd Quintile"))*(K11&gt;5), "Group 2 - Long",
    ((X11="2nd Quintile (Median)")+(X11="3rd Quintile")+(Z11="2nd Quintile")+(Z11="3rd Quintile"))*(K11&lt;=5), "Group 2 - Short",
    K11&gt;5, "Group 3 - Long",
    K11&lt;=5, "Group 3 - Short"
)</f>
        <v>Group 3 - Short</v>
      </c>
      <c r="AG11" t="str">
        <v>GROW</v>
      </c>
      <c r="AH11" t="str">
        <v>PAVE-Pakistan-PH1</v>
      </c>
      <c r="AI11" t="str">
        <v>Horti-Sempre</v>
      </c>
      <c r="AJ11" t="str">
        <v>KMAP</v>
      </c>
      <c r="AK11" t="str">
        <v>NAMDP-PH1-2</v>
      </c>
      <c r="AL11" t="str">
        <v>NAFAKA</v>
      </c>
      <c r="AN11" s="179" t="s">
        <v>591</v>
      </c>
      <c r="AO11" s="180" t="s">
        <v>585</v>
      </c>
      <c r="AP11" s="180" t="s">
        <v>592</v>
      </c>
    </row>
    <row r="12" spans="1:43" ht="14.45" customHeight="1" x14ac:dyDescent="0.25">
      <c r="A12" s="17" t="s">
        <v>297</v>
      </c>
      <c r="B12" s="17" t="s">
        <v>298</v>
      </c>
      <c r="C12" t="s">
        <v>171</v>
      </c>
      <c r="G12" s="17" t="s">
        <v>182</v>
      </c>
      <c r="H12" s="17" t="e">
        <v>#VALUE!</v>
      </c>
      <c r="I12" s="17">
        <v>2016</v>
      </c>
      <c r="J12" s="17">
        <v>2021</v>
      </c>
      <c r="K12">
        <f t="shared" ref="K12:K58" si="1">J12-I12</f>
        <v>5</v>
      </c>
      <c r="L12" t="s">
        <v>39</v>
      </c>
      <c r="M12" t="s">
        <v>582</v>
      </c>
      <c r="N12" s="130">
        <v>65</v>
      </c>
      <c r="O12" s="13">
        <v>0.13848039215686281</v>
      </c>
      <c r="P12" s="13">
        <v>15.494013807189541</v>
      </c>
      <c r="Q12" s="13">
        <v>15.494013807189541</v>
      </c>
      <c r="R12" s="130"/>
      <c r="S12" s="130"/>
      <c r="T12" s="13">
        <v>2.8538690767973862</v>
      </c>
      <c r="U12" s="63" t="s">
        <v>49</v>
      </c>
      <c r="V12" s="17" t="s">
        <v>583</v>
      </c>
      <c r="W12" s="28">
        <f>'VfM MSD Mastersheet'!$O12</f>
        <v>-1.0826890110969543</v>
      </c>
      <c r="X12" s="28" t="str">
        <f t="array" ref="X12">_xlfn.IFS(
W12&lt;= $AO$5, "1st Quintile (Lowest)",
W12&lt;= $AP$5, "2nd Quintile (Median)",
W12&lt;= $AQ$5, "3rd Quintile",
TRUE, "Above 3rd Quintile"
)</f>
        <v>2nd Quintile (Median)</v>
      </c>
      <c r="Y12" s="28">
        <f>'VfM MSD Mastersheet'!$P12</f>
        <v>6.5562323096138986</v>
      </c>
      <c r="Z12" s="28" t="str">
        <f t="array" ref="Z12">_xlfn.IFS(
Y12&lt;= $AO$6, "1st Quintile (Lowest)",
Y12&lt;= $AP$6, "2nd Quintile (Median)",
Y12&lt;= $AQ$6, "3rd Quintile",
TRUE, "Above 3rd Quintile"
)</f>
        <v>3rd Quintile</v>
      </c>
      <c r="AA12" s="46" t="s">
        <v>590</v>
      </c>
      <c r="AB12" s="46" t="str">
        <f t="array" ref="AB12">_xlfn.IFS(
    (X12="1st Quintile (Lowest)")+(Z12="Above 3rd Quintile"), "Group 1",
    ((X12="2nd Quintile (Median)")+(X12="3rd Quintile")+(Z12="2nd Quintile")+(Z12="3rd Quintile")), "Group 2",
    TRUE, "Group 3"
)</f>
        <v>Group 2</v>
      </c>
      <c r="AC12" t="str">
        <v>SOBA</v>
      </c>
      <c r="AD12" t="str">
        <v>Katalyst-PH1-2</v>
      </c>
      <c r="AE12" t="str">
        <v>NU-TEC-1</v>
      </c>
      <c r="AF12" t="str">
        <f t="array" ref="AF12">_xlfn.IFS(
    ((X12="1st Quintile (Lowest)")+(Z12="Above 3rd Quintile"))*(K12&gt;5), "Group 1 - Long",
    ((X12="1st Quintile (Lowest)")+(Z12="Above 3rd Quintile"))*(K12&lt;=5), "Group 1 - Short",
    ((X12="2nd Quintile (Median)")+(X12="3rd Quintile")+(Z12="2nd Quintile")+(Z12="3rd Quintile"))*(K12&gt;5), "Group 2 - Long",
    ((X12="2nd Quintile (Median)")+(X12="3rd Quintile")+(Z12="2nd Quintile")+(Z12="3rd Quintile"))*(K12&lt;=5), "Group 2 - Short",
    K12&gt;5, "Group 3 - Long",
    K12&lt;=5, "Group 3 - Short"
)</f>
        <v>Group 2 - Short</v>
      </c>
      <c r="AG12" t="str">
        <v>MADE-Ghana</v>
      </c>
      <c r="AH12" t="str">
        <v>SOBA</v>
      </c>
      <c r="AI12" t="str">
        <v>AVC</v>
      </c>
      <c r="AJ12" t="str">
        <v>IME</v>
      </c>
      <c r="AL12" t="str">
        <v>RIPA-North</v>
      </c>
      <c r="AN12" s="181" t="s">
        <v>593</v>
      </c>
      <c r="AO12" s="239">
        <f>AVERAGEIF($AF$5:$AF$92,"Group 1 - Long",$W$5:$W$92)</f>
        <v>-0.69581273587903503</v>
      </c>
      <c r="AP12" s="245">
        <f>AVERAGEIF($AF$5:$AF$92,"Group 1 - Long",$Y$5:$Y$92)</f>
        <v>13.549446599678852</v>
      </c>
    </row>
    <row r="13" spans="1:43" ht="14.45" customHeight="1" x14ac:dyDescent="0.25">
      <c r="A13" s="4" t="s">
        <v>275</v>
      </c>
      <c r="B13" t="s">
        <v>276</v>
      </c>
      <c r="C13" t="s">
        <v>137</v>
      </c>
      <c r="G13" s="17" t="s">
        <v>277</v>
      </c>
      <c r="H13" t="e">
        <v>#VALUE!</v>
      </c>
      <c r="I13">
        <v>2014</v>
      </c>
      <c r="J13">
        <v>2020</v>
      </c>
      <c r="K13">
        <f t="shared" si="1"/>
        <v>6</v>
      </c>
      <c r="L13" t="s">
        <v>278</v>
      </c>
      <c r="M13" t="s">
        <v>594</v>
      </c>
      <c r="N13" s="130"/>
      <c r="O13" s="13">
        <v>27.261512495924169</v>
      </c>
      <c r="P13" s="13">
        <v>4.9137239241706147E-2</v>
      </c>
      <c r="Q13" s="13"/>
      <c r="R13" s="130">
        <v>535.05768986940529</v>
      </c>
      <c r="S13" s="130"/>
      <c r="T13" s="13"/>
      <c r="U13" s="63" t="s">
        <v>49</v>
      </c>
      <c r="V13" s="17" t="s">
        <v>583</v>
      </c>
      <c r="W13" s="28">
        <f>'VfM MSD Mastersheet'!$O13</f>
        <v>0.50380232746564702</v>
      </c>
      <c r="X13" s="28" t="str">
        <f t="array" ref="X13">_xlfn.IFS(
W13&lt;= $AO$5, "1st Quintile (Lowest)",
W13&lt;= $AP$5, "2nd Quintile (Median)",
W13&lt;= $AQ$5, "3rd Quintile",
TRUE, "Above 3rd Quintile"
)</f>
        <v>Above 3rd Quintile</v>
      </c>
      <c r="Y13" s="28">
        <f>'VfM MSD Mastersheet'!$P13</f>
        <v>3.7387947506717452</v>
      </c>
      <c r="Z13" s="28" t="str">
        <f t="array" ref="Z13">_xlfn.IFS(
Y13&lt;= $AO$6, "1st Quintile (Lowest)",
Y13&lt;= $AP$6, "2nd Quintile (Median)",
Y13&lt;= $AQ$6, "3rd Quintile",
TRUE, "Above 3rd Quintile"
)</f>
        <v>1st Quintile (Lowest)</v>
      </c>
      <c r="AA13" s="46" t="s">
        <v>587</v>
      </c>
      <c r="AB13" s="46" t="str">
        <f t="array" ref="AB13">_xlfn.IFS(
    (X13="1st Quintile (Lowest)")+(Z13="Above 3rd Quintile"), "Group 1",
    ((X13="2nd Quintile (Median)")+(X13="3rd Quintile")+(Z13="2nd Quintile")+(Z13="3rd Quintile")), "Group 2",
    TRUE, "Group 3"
)</f>
        <v>Group 3</v>
      </c>
      <c r="AC13" t="str">
        <v>M-Sawa</v>
      </c>
      <c r="AD13" t="str">
        <v>MDF-PH1-2</v>
      </c>
      <c r="AE13" t="str">
        <v>CIDC</v>
      </c>
      <c r="AF13" t="str">
        <f t="array" ref="AF13">_xlfn.IFS(
    ((X13="1st Quintile (Lowest)")+(Z13="Above 3rd Quintile"))*(K13&gt;5), "Group 1 - Long",
    ((X13="1st Quintile (Lowest)")+(Z13="Above 3rd Quintile"))*(K13&lt;=5), "Group 1 - Short",
    ((X13="2nd Quintile (Median)")+(X13="3rd Quintile")+(Z13="2nd Quintile")+(Z13="3rd Quintile"))*(K13&gt;5), "Group 2 - Long",
    ((X13="2nd Quintile (Median)")+(X13="3rd Quintile")+(Z13="2nd Quintile")+(Z13="3rd Quintile"))*(K13&lt;=5), "Group 2 - Short",
    K13&gt;5, "Group 3 - Long",
    K13&lt;=5, "Group 3 - Short"
)</f>
        <v>Group 3 - Long</v>
      </c>
      <c r="AG13" t="str">
        <v>IAM</v>
      </c>
      <c r="AH13" t="str">
        <v>Mercados Rurales</v>
      </c>
      <c r="AI13" t="str">
        <v>GEMS-PH1,3,4</v>
      </c>
      <c r="AJ13" t="str">
        <v>Ag Inputs</v>
      </c>
      <c r="AL13" t="str">
        <v>RRA</v>
      </c>
      <c r="AN13" s="182" t="s">
        <v>595</v>
      </c>
      <c r="AO13" s="240">
        <f>AVERAGEIF($AF$5:$AF$92,"Group 1 - Short",$W$5:$W$92)</f>
        <v>-1.1007938060642177</v>
      </c>
      <c r="AP13" s="246">
        <f>AVERAGEIF($AF$5:$AF$92,"Group 1 - Short",$Y$5:$Y$92)</f>
        <v>15.897408099015852</v>
      </c>
    </row>
    <row r="14" spans="1:43" ht="14.45" customHeight="1" x14ac:dyDescent="0.25">
      <c r="A14" s="4" t="s">
        <v>385</v>
      </c>
      <c r="B14" t="s">
        <v>386</v>
      </c>
      <c r="C14" t="s">
        <v>137</v>
      </c>
      <c r="G14" s="17" t="s">
        <v>230</v>
      </c>
      <c r="H14" t="e">
        <v>#VALUE!</v>
      </c>
      <c r="I14">
        <v>2013</v>
      </c>
      <c r="J14">
        <v>2020</v>
      </c>
      <c r="K14">
        <f t="shared" si="1"/>
        <v>7</v>
      </c>
      <c r="L14" t="s">
        <v>387</v>
      </c>
      <c r="M14" t="s">
        <v>594</v>
      </c>
      <c r="N14" s="130"/>
      <c r="O14" s="13">
        <v>6.8534883720930244</v>
      </c>
      <c r="P14" s="13">
        <v>0.68604651162790697</v>
      </c>
      <c r="Q14" s="13"/>
      <c r="R14" s="130">
        <v>1240.8669491005101</v>
      </c>
      <c r="S14" s="130">
        <v>2143.0086243461051</v>
      </c>
      <c r="T14" s="13"/>
      <c r="U14" s="63" t="s">
        <v>49</v>
      </c>
      <c r="V14" s="17" t="s">
        <v>586</v>
      </c>
      <c r="W14" s="28">
        <f>'VfM MSD Mastersheet'!$O14</f>
        <v>-0.72261035442352362</v>
      </c>
      <c r="X14" s="28" t="str">
        <f t="array" ref="X14">_xlfn.IFS(
W14&lt;= $AO$5, "1st Quintile (Lowest)",
W14&lt;= $AP$5, "2nd Quintile (Median)",
W14&lt;= $AQ$5, "3rd Quintile",
TRUE, "Above 3rd Quintile"
)</f>
        <v>2nd Quintile (Median)</v>
      </c>
      <c r="Y14" s="28">
        <f>'VfM MSD Mastersheet'!$P14</f>
        <v>4.0276587675317934</v>
      </c>
      <c r="Z14" s="28" t="str">
        <f t="array" ref="Z14">_xlfn.IFS(
Y14&lt;= $AO$6, "1st Quintile (Lowest)",
Y14&lt;= $AP$6, "2nd Quintile (Median)",
Y14&lt;= $AQ$6, "3rd Quintile",
TRUE, "Above 3rd Quintile"
)</f>
        <v>1st Quintile (Lowest)</v>
      </c>
      <c r="AA14" s="46" t="s">
        <v>587</v>
      </c>
      <c r="AB14" s="46" t="str">
        <f t="array" ref="AB14">_xlfn.IFS(
    (X14="1st Quintile (Lowest)")+(Z14="Above 3rd Quintile"), "Group 1",
    ((X14="2nd Quintile (Median)")+(X14="3rd Quintile")+(Z14="2nd Quintile")+(Z14="3rd Quintile")), "Group 2",
    TRUE, "Group 3"
)</f>
        <v>Group 2</v>
      </c>
      <c r="AC14" t="str">
        <v>EELA</v>
      </c>
      <c r="AD14" t="str">
        <v>FTF Inova</v>
      </c>
      <c r="AE14" t="str">
        <v>NAMDP-PH1-2</v>
      </c>
      <c r="AF14" t="str">
        <f t="array" ref="AF14">_xlfn.IFS(
    ((X14="1st Quintile (Lowest)")+(Z14="Above 3rd Quintile"))*(K14&gt;5), "Group 1 - Long",
    ((X14="1st Quintile (Lowest)")+(Z14="Above 3rd Quintile"))*(K14&lt;=5), "Group 1 - Short",
    ((X14="2nd Quintile (Median)")+(X14="3rd Quintile")+(Z14="2nd Quintile")+(Z14="3rd Quintile"))*(K14&gt;5), "Group 2 - Long",
    ((X14="2nd Quintile (Median)")+(X14="3rd Quintile")+(Z14="2nd Quintile")+(Z14="3rd Quintile"))*(K14&lt;=5), "Group 2 - Short",
    K14&gt;5, "Group 3 - Long",
    K14&lt;=5, "Group 3 - Short"
)</f>
        <v>Group 2 - Long</v>
      </c>
      <c r="AG14" t="e">
        <v>#N/A</v>
      </c>
      <c r="AH14" t="str">
        <v>ZGJP</v>
      </c>
      <c r="AI14" t="str">
        <v>ACLP</v>
      </c>
      <c r="AJ14" t="str">
        <v>BSB-Serbia</v>
      </c>
      <c r="AL14" t="str">
        <v>RCP</v>
      </c>
      <c r="AN14" s="183" t="s">
        <v>596</v>
      </c>
      <c r="AO14" s="241">
        <f>AVERAGEIF($AF$5:$AF$92,"Group 2 - Long",$W$5:$W$92)</f>
        <v>-0.67620679829909014</v>
      </c>
      <c r="AP14" s="247">
        <f>AVERAGEIF($AF$5:$AF$92,"Group 2 - Long",$Y$5:$Y$92)</f>
        <v>5.5478211450432777</v>
      </c>
    </row>
    <row r="15" spans="1:43" ht="14.45" customHeight="1" x14ac:dyDescent="0.25">
      <c r="A15" s="17" t="s">
        <v>232</v>
      </c>
      <c r="B15" s="17" t="s">
        <v>233</v>
      </c>
      <c r="C15" t="s">
        <v>234</v>
      </c>
      <c r="G15" s="17" t="s">
        <v>235</v>
      </c>
      <c r="H15" s="17" t="s">
        <v>236</v>
      </c>
      <c r="I15" s="17">
        <v>2017</v>
      </c>
      <c r="J15" s="17">
        <v>2021</v>
      </c>
      <c r="K15">
        <f t="shared" si="1"/>
        <v>4</v>
      </c>
      <c r="L15" t="s">
        <v>237</v>
      </c>
      <c r="M15" t="s">
        <v>238</v>
      </c>
      <c r="N15" s="130"/>
      <c r="O15" s="13">
        <v>0.1058823529411765</v>
      </c>
      <c r="P15" s="13"/>
      <c r="Q15" s="13"/>
      <c r="R15" s="130"/>
      <c r="S15" s="130"/>
      <c r="T15" s="13"/>
      <c r="U15" s="63" t="s">
        <v>240</v>
      </c>
      <c r="V15" t="s">
        <v>597</v>
      </c>
      <c r="W15" s="28">
        <f>'VfM MSD Mastersheet'!$O15</f>
        <v>-0.22316138694683704</v>
      </c>
      <c r="X15" s="28" t="str">
        <f t="array" ref="X15">_xlfn.IFS(
W15&lt;= $AO$5, "1st Quintile (Lowest)",
W15&lt;= $AP$5, "2nd Quintile (Median)",
W15&lt;= $AQ$5, "3rd Quintile",
TRUE, "Above 3rd Quintile"
)</f>
        <v>Above 3rd Quintile</v>
      </c>
      <c r="Y15" s="28">
        <f>'VfM MSD Mastersheet'!$P15</f>
        <v>8.4295016704836065</v>
      </c>
      <c r="Z15" s="28" t="str">
        <f t="array" ref="Z15">_xlfn.IFS(
Y15&lt;= $AO$6, "1st Quintile (Lowest)",
Y15&lt;= $AP$6, "2nd Quintile (Median)",
Y15&lt;= $AQ$6, "3rd Quintile",
TRUE, "Above 3rd Quintile"
)</f>
        <v>Above 3rd Quintile</v>
      </c>
      <c r="AA15" s="46" t="s">
        <v>590</v>
      </c>
      <c r="AB15" s="46" t="str">
        <f t="array" ref="AB15">_xlfn.IFS(
    (X15="1st Quintile (Lowest)")+(Z15="Above 3rd Quintile"), "Group 1",
    ((X15="2nd Quintile (Median)")+(X15="3rd Quintile")+(Z15="2nd Quintile")+(Z15="3rd Quintile")), "Group 2",
    TRUE, "Group 3"
)</f>
        <v>Group 1</v>
      </c>
      <c r="AC15" t="str">
        <v>MOLI-PH2</v>
      </c>
      <c r="AD15" t="str">
        <v>ÉLAN RDC</v>
      </c>
      <c r="AE15" t="str">
        <v>Propcom Mai-karfi</v>
      </c>
      <c r="AF15" t="str">
        <f t="array" ref="AF15">_xlfn.IFS(
    ((X15="1st Quintile (Lowest)")+(Z15="Above 3rd Quintile"))*(K15&gt;5), "Group 1 - Long",
    ((X15="1st Quintile (Lowest)")+(Z15="Above 3rd Quintile"))*(K15&lt;=5), "Group 1 - Short",
    ((X15="2nd Quintile (Median)")+(X15="3rd Quintile")+(Z15="2nd Quintile")+(Z15="3rd Quintile"))*(K15&gt;5), "Group 2 - Long",
    ((X15="2nd Quintile (Median)")+(X15="3rd Quintile")+(Z15="2nd Quintile")+(Z15="3rd Quintile"))*(K15&lt;=5), "Group 2 - Short",
    K15&gt;5, "Group 3 - Long",
    K15&lt;=5, "Group 3 - Short"
)</f>
        <v>Group 1 - Short</v>
      </c>
      <c r="AG15" t="e">
        <v>#N/A</v>
      </c>
      <c r="AH15" t="str">
        <v>LEAD</v>
      </c>
      <c r="AI15" t="str">
        <v>LPINA</v>
      </c>
      <c r="AJ15" t="str">
        <v>CPM</v>
      </c>
      <c r="AL15" t="e">
        <v>#N/A</v>
      </c>
      <c r="AN15" s="184" t="s">
        <v>598</v>
      </c>
      <c r="AO15" s="242">
        <f>AVERAGEIF($AF$5:$AF$92,"Group 2 - Short",$W$5:$W$92)</f>
        <v>-0.83663649304315713</v>
      </c>
      <c r="AP15" s="248">
        <f>AVERAGEIF($AF$5:$AF$92,"Group 2 - Short",$Y$5:$Y$92)</f>
        <v>5.1147107389997393</v>
      </c>
    </row>
    <row r="16" spans="1:43" ht="14.45" customHeight="1" x14ac:dyDescent="0.25">
      <c r="A16" s="17" t="s">
        <v>354</v>
      </c>
      <c r="B16" s="17" t="s">
        <v>355</v>
      </c>
      <c r="C16" t="s">
        <v>356</v>
      </c>
      <c r="D16" t="s">
        <v>137</v>
      </c>
      <c r="G16" s="17" t="s">
        <v>356</v>
      </c>
      <c r="H16" s="17" t="e">
        <v>#VALUE!</v>
      </c>
      <c r="I16" s="17">
        <v>2007</v>
      </c>
      <c r="J16" s="17">
        <v>2022</v>
      </c>
      <c r="K16">
        <f t="shared" si="1"/>
        <v>15</v>
      </c>
      <c r="L16" t="s">
        <v>39</v>
      </c>
      <c r="M16" t="s">
        <v>594</v>
      </c>
      <c r="N16" s="130"/>
      <c r="O16" s="13"/>
      <c r="P16" s="13">
        <v>0.13</v>
      </c>
      <c r="Q16" s="13">
        <v>0.44</v>
      </c>
      <c r="R16" s="130"/>
      <c r="S16" s="130">
        <v>9259.2592592592591</v>
      </c>
      <c r="T16" s="13"/>
      <c r="U16" s="63" t="s">
        <v>49</v>
      </c>
      <c r="V16" s="17" t="s">
        <v>583</v>
      </c>
      <c r="W16" s="28">
        <f>'VfM MSD Mastersheet'!$O16</f>
        <v>-0.21164323886235567</v>
      </c>
      <c r="X16" s="28" t="str">
        <f t="array" ref="X16">_xlfn.IFS(
W16&lt;= $AO$5, "1st Quintile (Lowest)",
W16&lt;= $AP$5, "2nd Quintile (Median)",
W16&lt;= $AQ$5, "3rd Quintile",
TRUE, "Above 3rd Quintile"
)</f>
        <v>Above 3rd Quintile</v>
      </c>
      <c r="Y16" s="28">
        <f>'VfM MSD Mastersheet'!$P16</f>
        <v>6.626175411398016</v>
      </c>
      <c r="Z16" s="28" t="str">
        <f t="array" ref="Z16">_xlfn.IFS(
Y16&lt;= $AO$6, "1st Quintile (Lowest)",
Y16&lt;= $AP$6, "2nd Quintile (Median)",
Y16&lt;= $AQ$6, "3rd Quintile",
TRUE, "Above 3rd Quintile"
)</f>
        <v>3rd Quintile</v>
      </c>
      <c r="AA16" s="46" t="s">
        <v>587</v>
      </c>
      <c r="AB16" s="46" t="str">
        <f t="array" ref="AB16">_xlfn.IFS(
    (X16="1st Quintile (Lowest)")+(Z16="Above 3rd Quintile"), "Group 1",
    ((X16="2nd Quintile (Median)")+(X16="3rd Quintile")+(Z16="2nd Quintile")+(Z16="3rd Quintile")), "Group 2",
    TRUE, "Group 3"
)</f>
        <v>Group 2</v>
      </c>
      <c r="AC16" t="str">
        <v>Mercados Rurales</v>
      </c>
      <c r="AD16" t="str">
        <v>Horti-Sempre</v>
      </c>
      <c r="AE16" t="str">
        <v>Yapasa</v>
      </c>
      <c r="AF16" t="str">
        <f t="array" ref="AF16">_xlfn.IFS(
    ((X16="1st Quintile (Lowest)")+(Z16="Above 3rd Quintile"))*(K16&gt;5), "Group 1 - Long",
    ((X16="1st Quintile (Lowest)")+(Z16="Above 3rd Quintile"))*(K16&lt;=5), "Group 1 - Short",
    ((X16="2nd Quintile (Median)")+(X16="3rd Quintile")+(Z16="2nd Quintile")+(Z16="3rd Quintile"))*(K16&gt;5), "Group 2 - Long",
    ((X16="2nd Quintile (Median)")+(X16="3rd Quintile")+(Z16="2nd Quintile")+(Z16="3rd Quintile"))*(K16&lt;=5), "Group 2 - Short",
    K16&gt;5, "Group 3 - Long",
    K16&lt;=5, "Group 3 - Short"
)</f>
        <v>Group 2 - Long</v>
      </c>
      <c r="AG16" t="e">
        <v>#N/A</v>
      </c>
      <c r="AH16" t="str">
        <v>BIF 2</v>
      </c>
      <c r="AJ16" t="str">
        <v>Nguriza Nshore</v>
      </c>
      <c r="AL16" t="e">
        <v>#N/A</v>
      </c>
      <c r="AN16" s="185" t="s">
        <v>599</v>
      </c>
      <c r="AO16" s="243">
        <f>AVERAGEIF($AF$5:$AF$92,"Group 3 - Long",$W$5:$W$92)</f>
        <v>-0.2185958216367769</v>
      </c>
      <c r="AP16" s="249">
        <f>AVERAGEIF($AF$5:$AF$92,"Group 3 - Long",$Y$5:$Y$92)</f>
        <v>2.9279470771272136</v>
      </c>
    </row>
    <row r="17" spans="1:42" ht="14.45" customHeight="1" x14ac:dyDescent="0.25">
      <c r="A17" s="17" t="s">
        <v>306</v>
      </c>
      <c r="B17" t="s">
        <v>307</v>
      </c>
      <c r="C17" t="s">
        <v>137</v>
      </c>
      <c r="G17" s="17" t="s">
        <v>230</v>
      </c>
      <c r="H17" s="17" t="e">
        <v>#VALUE!</v>
      </c>
      <c r="I17">
        <v>2013</v>
      </c>
      <c r="J17">
        <v>2020</v>
      </c>
      <c r="K17">
        <f t="shared" si="1"/>
        <v>7</v>
      </c>
      <c r="L17" t="s">
        <v>39</v>
      </c>
      <c r="M17" t="s">
        <v>84</v>
      </c>
      <c r="N17" s="130">
        <v>117.60204960463879</v>
      </c>
      <c r="O17" s="13">
        <v>0.43977591240875907</v>
      </c>
      <c r="P17" s="13">
        <v>1.973794160583942</v>
      </c>
      <c r="Q17" s="13"/>
      <c r="R17" s="130"/>
      <c r="S17" s="130">
        <v>89.041407504175851</v>
      </c>
      <c r="T17" s="13">
        <v>2.3671532846715331</v>
      </c>
      <c r="U17" s="63" t="s">
        <v>49</v>
      </c>
      <c r="V17" s="17" t="s">
        <v>583</v>
      </c>
      <c r="W17" s="28">
        <f>'VfM MSD Mastersheet'!$O17</f>
        <v>-0.43793727755546552</v>
      </c>
      <c r="X17" s="28" t="str">
        <f t="array" ref="X17">_xlfn.IFS(
W17&lt;= $AO$5, "1st Quintile (Lowest)",
W17&lt;= $AP$5, "2nd Quintile (Median)",
W17&lt;= $AQ$5, "3rd Quintile",
TRUE, "Above 3rd Quintile"
)</f>
        <v>Above 3rd Quintile</v>
      </c>
      <c r="Y17" s="28">
        <f>'VfM MSD Mastersheet'!$P17</f>
        <v>4.3624931953551158</v>
      </c>
      <c r="Z17" s="28" t="str">
        <f t="array" ref="Z17">_xlfn.IFS(
Y17&lt;= $AO$6, "1st Quintile (Lowest)",
Y17&lt;= $AP$6, "2nd Quintile (Median)",
Y17&lt;= $AQ$6, "3rd Quintile",
TRUE, "Above 3rd Quintile"
)</f>
        <v>1st Quintile (Lowest)</v>
      </c>
      <c r="AA17" s="46" t="s">
        <v>587</v>
      </c>
      <c r="AB17" s="46" t="str">
        <f t="array" ref="AB17">_xlfn.IFS(
    (X17="1st Quintile (Lowest)")+(Z17="Above 3rd Quintile"), "Group 1",
    ((X17="2nd Quintile (Median)")+(X17="3rd Quintile")+(Z17="2nd Quintile")+(Z17="3rd Quintile")), "Group 2",
    TRUE, "Group 3"
)</f>
        <v>Group 3</v>
      </c>
      <c r="AC17" t="str">
        <v>ZGJP</v>
      </c>
      <c r="AD17" t="str">
        <v>Hilando Culturas</v>
      </c>
      <c r="AE17" t="str">
        <v>MDRD</v>
      </c>
      <c r="AF17" t="str">
        <f t="array" ref="AF17">_xlfn.IFS(
    ((X17="1st Quintile (Lowest)")+(Z17="Above 3rd Quintile"))*(K17&gt;5), "Group 1 - Long",
    ((X17="1st Quintile (Lowest)")+(Z17="Above 3rd Quintile"))*(K17&lt;=5), "Group 1 - Short",
    ((X17="2nd Quintile (Median)")+(X17="3rd Quintile")+(Z17="2nd Quintile")+(Z17="3rd Quintile"))*(K17&gt;5), "Group 2 - Long",
    ((X17="2nd Quintile (Median)")+(X17="3rd Quintile")+(Z17="2nd Quintile")+(Z17="3rd Quintile"))*(K17&lt;=5), "Group 2 - Short",
    K17&gt;5, "Group 3 - Long",
    K17&lt;=5, "Group 3 - Short"
)</f>
        <v>Group 3 - Long</v>
      </c>
      <c r="AG17" t="e">
        <v>#N/A</v>
      </c>
      <c r="AH17" t="str">
        <v>3AG</v>
      </c>
      <c r="AJ17" t="str">
        <v>Naatal Mbay</v>
      </c>
      <c r="AN17" s="186" t="s">
        <v>600</v>
      </c>
      <c r="AO17" s="244">
        <f>AVERAGEIF($AF$5:$AF$92,"Group 3 - Short",$W$5:$W$92)</f>
        <v>-0.26011960980907528</v>
      </c>
      <c r="AP17" s="250">
        <f>AVERAGEIF($AF$5:$AF$92,"Group 3 - Short",$Y$5:$Y$92)</f>
        <v>4.6600891780178886</v>
      </c>
    </row>
    <row r="18" spans="1:42" ht="14.45" customHeight="1" x14ac:dyDescent="0.25">
      <c r="A18" s="17" t="s">
        <v>601</v>
      </c>
      <c r="B18" t="s">
        <v>281</v>
      </c>
      <c r="C18" t="s">
        <v>104</v>
      </c>
      <c r="G18" s="17" t="s">
        <v>230</v>
      </c>
      <c r="H18" s="17" t="e">
        <v>#VALUE!</v>
      </c>
      <c r="I18">
        <v>2010</v>
      </c>
      <c r="J18">
        <v>2021</v>
      </c>
      <c r="K18">
        <f t="shared" si="1"/>
        <v>11</v>
      </c>
      <c r="L18" t="s">
        <v>39</v>
      </c>
      <c r="M18" t="s">
        <v>84</v>
      </c>
      <c r="N18" s="130">
        <v>909.59614672100781</v>
      </c>
      <c r="O18" s="13"/>
      <c r="P18" s="13">
        <v>0.48617511520737328</v>
      </c>
      <c r="Q18" s="13"/>
      <c r="R18" s="130"/>
      <c r="S18" s="130">
        <v>574.28677287884398</v>
      </c>
      <c r="T18" s="13">
        <v>1.583870967741936</v>
      </c>
      <c r="U18" s="63" t="s">
        <v>42</v>
      </c>
      <c r="V18" s="17" t="s">
        <v>586</v>
      </c>
      <c r="W18" s="28">
        <f>'VfM MSD Mastersheet'!$O18</f>
        <v>-0.22211006972938768</v>
      </c>
      <c r="X18" s="28" t="str">
        <f t="array" ref="X18">_xlfn.IFS(
W18&lt;= $AO$5, "1st Quintile (Lowest)",
W18&lt;= $AP$5, "2nd Quintile (Median)",
W18&lt;= $AQ$5, "3rd Quintile",
TRUE, "Above 3rd Quintile"
)</f>
        <v>Above 3rd Quintile</v>
      </c>
      <c r="Y18" s="28">
        <f>'VfM MSD Mastersheet'!$P18</f>
        <v>0.60743203839786963</v>
      </c>
      <c r="Z18" s="28" t="str">
        <f t="array" ref="Z18">_xlfn.IFS(
Y18&lt;= $AO$6, "1st Quintile (Lowest)",
Y18&lt;= $AP$6, "2nd Quintile (Median)",
Y18&lt;= $AQ$6, "3rd Quintile",
TRUE, "Above 3rd Quintile"
)</f>
        <v>1st Quintile (Lowest)</v>
      </c>
      <c r="AA18" s="46" t="s">
        <v>587</v>
      </c>
      <c r="AB18" s="46" t="str">
        <f t="array" ref="AB18">_xlfn.IFS(
    (X18="1st Quintile (Lowest)")+(Z18="Above 3rd Quintile"), "Group 1",
    ((X18="2nd Quintile (Median)")+(X18="3rd Quintile")+(Z18="2nd Quintile")+(Z18="3rd Quintile")), "Group 2",
    TRUE, "Group 3"
)</f>
        <v>Group 3</v>
      </c>
      <c r="AC18" t="str">
        <v>PPSE-PH2&amp;3</v>
      </c>
      <c r="AD18" t="str">
        <v>AVC</v>
      </c>
      <c r="AE18" t="str">
        <v>KUZA</v>
      </c>
      <c r="AF18" t="str">
        <f t="array" ref="AF18">_xlfn.IFS(
    ((X18="1st Quintile (Lowest)")+(Z18="Above 3rd Quintile"))*(K18&gt;5), "Group 1 - Long",
    ((X18="1st Quintile (Lowest)")+(Z18="Above 3rd Quintile"))*(K18&lt;=5), "Group 1 - Short",
    ((X18="2nd Quintile (Median)")+(X18="3rd Quintile")+(Z18="2nd Quintile")+(Z18="3rd Quintile"))*(K18&gt;5), "Group 2 - Long",
    ((X18="2nd Quintile (Median)")+(X18="3rd Quintile")+(Z18="2nd Quintile")+(Z18="3rd Quintile"))*(K18&lt;=5), "Group 2 - Short",
    K18&gt;5, "Group 3 - Long",
    K18&lt;=5, "Group 3 - Short"
)</f>
        <v>Group 3 - Long</v>
      </c>
      <c r="AG18" t="e">
        <v>#N/A</v>
      </c>
      <c r="AH18" t="str">
        <v>MSR</v>
      </c>
      <c r="AJ18" t="str">
        <v>Google-Labs</v>
      </c>
    </row>
    <row r="19" spans="1:42" ht="14.45" customHeight="1" x14ac:dyDescent="0.25">
      <c r="A19" s="17" t="s">
        <v>252</v>
      </c>
      <c r="B19" t="s">
        <v>253</v>
      </c>
      <c r="C19" t="s">
        <v>137</v>
      </c>
      <c r="D19" t="s">
        <v>254</v>
      </c>
      <c r="G19" s="17" t="s">
        <v>230</v>
      </c>
      <c r="H19" s="17" t="e">
        <v>#VALUE!</v>
      </c>
      <c r="I19">
        <v>2015</v>
      </c>
      <c r="J19">
        <v>2019</v>
      </c>
      <c r="K19">
        <f t="shared" si="1"/>
        <v>4</v>
      </c>
      <c r="L19" t="s">
        <v>39</v>
      </c>
      <c r="M19" t="s">
        <v>594</v>
      </c>
      <c r="N19" s="130">
        <v>502.86619067864939</v>
      </c>
      <c r="O19" s="13">
        <v>0.94535519125683065</v>
      </c>
      <c r="P19" s="13"/>
      <c r="Q19" s="13">
        <v>3.3224043715846989E-3</v>
      </c>
      <c r="R19" s="130">
        <v>1572.57025006445</v>
      </c>
      <c r="S19" s="130"/>
      <c r="T19" s="13">
        <v>1.87431693989071</v>
      </c>
      <c r="U19" s="63" t="s">
        <v>42</v>
      </c>
      <c r="V19" s="17" t="s">
        <v>586</v>
      </c>
      <c r="W19" s="28">
        <f>'VfM MSD Mastersheet'!$O19</f>
        <v>-0.46441576257348077</v>
      </c>
      <c r="X19" s="28" t="str">
        <f t="array" ref="X19">_xlfn.IFS(
W19&lt;= $AO$5, "1st Quintile (Lowest)",
W19&lt;= $AP$5, "2nd Quintile (Median)",
W19&lt;= $AQ$5, "3rd Quintile",
TRUE, "Above 3rd Quintile"
)</f>
        <v>Above 3rd Quintile</v>
      </c>
      <c r="Y19" s="17"/>
      <c r="Z19" s="28"/>
      <c r="AA19" s="46" t="s">
        <v>587</v>
      </c>
      <c r="AB19" s="46" t="str">
        <f t="array" ref="AB19">_xlfn.IFS(
    (X19="1st Quintile (Lowest)")+(Z19="Above 3rd Quintile"), "Group 1",
    ((X19="2nd Quintile (Median)")+(X19="3rd Quintile")+(Z19="2nd Quintile")+(Z19="3rd Quintile")), "Group 2",
    TRUE, "Group 3"
)</f>
        <v>Group 3</v>
      </c>
      <c r="AC19" t="str">
        <v>MarketMakers-PH1-3</v>
      </c>
      <c r="AD19" t="str">
        <v>KMAP</v>
      </c>
      <c r="AE19" t="str">
        <v>NAFAKA</v>
      </c>
      <c r="AF19" t="str">
        <f t="array" ref="AF19">_xlfn.IFS(
    ((X19="1st Quintile (Lowest)")+(Z19="Above 3rd Quintile"))*(K19&gt;5), "Group 1 - Long",
    ((X19="1st Quintile (Lowest)")+(Z19="Above 3rd Quintile"))*(K19&lt;=5), "Group 1 - Short",
    ((X19="2nd Quintile (Median)")+(X19="3rd Quintile")+(Z19="2nd Quintile")+(Z19="3rd Quintile"))*(K19&gt;5), "Group 2 - Long",
    ((X19="2nd Quintile (Median)")+(X19="3rd Quintile")+(Z19="2nd Quintile")+(Z19="3rd Quintile"))*(K19&lt;=5), "Group 2 - Short",
    K19&gt;5, "Group 3 - Long",
    K19&lt;=5, "Group 3 - Short"
)</f>
        <v>Group 3 - Short</v>
      </c>
      <c r="AG19" t="e">
        <v>#N/A</v>
      </c>
      <c r="AH19" t="str">
        <v>ECP</v>
      </c>
      <c r="AJ19" t="str">
        <v>NU-TEC-FS</v>
      </c>
    </row>
    <row r="20" spans="1:42" ht="14.45" customHeight="1" x14ac:dyDescent="0.25">
      <c r="A20" s="17" t="s">
        <v>401</v>
      </c>
      <c r="B20" t="s">
        <v>402</v>
      </c>
      <c r="C20" t="s">
        <v>45</v>
      </c>
      <c r="G20" s="17" t="s">
        <v>138</v>
      </c>
      <c r="H20" s="17" t="e">
        <v>#VALUE!</v>
      </c>
      <c r="I20">
        <v>2019</v>
      </c>
      <c r="J20">
        <v>2023</v>
      </c>
      <c r="K20">
        <f t="shared" si="1"/>
        <v>4</v>
      </c>
      <c r="L20" t="s">
        <v>39</v>
      </c>
      <c r="M20" t="s">
        <v>602</v>
      </c>
      <c r="N20" s="130"/>
      <c r="O20" s="13">
        <v>0.1757894736842105</v>
      </c>
      <c r="P20" s="13">
        <v>0.8147368421052632</v>
      </c>
      <c r="Q20" s="13"/>
      <c r="R20" s="130"/>
      <c r="S20" s="130">
        <v>77.577998552966179</v>
      </c>
      <c r="T20" s="13"/>
      <c r="U20" s="63" t="s">
        <v>49</v>
      </c>
      <c r="V20" s="17" t="s">
        <v>589</v>
      </c>
      <c r="W20" s="28">
        <f>'VfM MSD Mastersheet'!$O20</f>
        <v>-1.1122348407904319</v>
      </c>
      <c r="X20" s="28" t="str">
        <f t="array" ref="X20">_xlfn.IFS(
W20&lt;= $AO$5, "1st Quintile (Lowest)",
W20&lt;= $AP$5, "2nd Quintile (Median)",
W20&lt;= $AQ$5, "3rd Quintile",
TRUE, "Above 3rd Quintile"
)</f>
        <v>2nd Quintile (Median)</v>
      </c>
      <c r="Y20" s="28">
        <f>'VfM MSD Mastersheet'!$P20</f>
        <v>5.6688043857563271</v>
      </c>
      <c r="Z20" s="28" t="str">
        <f t="array" ref="Z20">_xlfn.IFS(
Y20&lt;= $AO$6, "1st Quintile (Lowest)",
Y20&lt;= $AP$6, "2nd Quintile (Median)",
Y20&lt;= $AQ$6, "3rd Quintile",
TRUE, "Above 3rd Quintile"
)</f>
        <v>2nd Quintile (Median)</v>
      </c>
      <c r="AA20" s="46" t="s">
        <v>590</v>
      </c>
      <c r="AB20" s="46" t="str">
        <f t="array" ref="AB20">_xlfn.IFS(
    (X20="1st Quintile (Lowest)")+(Z20="Above 3rd Quintile"), "Group 1",
    ((X20="2nd Quintile (Median)")+(X20="3rd Quintile")+(Z20="2nd Quintile")+(Z20="3rd Quintile")), "Group 2",
    TRUE, "Group 3"
)</f>
        <v>Group 2</v>
      </c>
      <c r="AC20" t="str">
        <v>M4C</v>
      </c>
      <c r="AD20" t="str">
        <v>IME</v>
      </c>
      <c r="AE20" t="str">
        <v>RIPA-North</v>
      </c>
      <c r="AF20" t="str">
        <f t="array" ref="AF20">_xlfn.IFS(
    ((X20="1st Quintile (Lowest)")+(Z20="Above 3rd Quintile"))*(K20&gt;5), "Group 1 - Long",
    ((X20="1st Quintile (Lowest)")+(Z20="Above 3rd Quintile"))*(K20&lt;=5), "Group 1 - Short",
    ((X20="2nd Quintile (Median)")+(X20="3rd Quintile")+(Z20="2nd Quintile")+(Z20="3rd Quintile"))*(K20&gt;5), "Group 2 - Long",
    ((X20="2nd Quintile (Median)")+(X20="3rd Quintile")+(Z20="2nd Quintile")+(Z20="3rd Quintile"))*(K20&lt;=5), "Group 2 - Short",
    K20&gt;5, "Group 3 - Long",
    K20&lt;=5, "Group 3 - Short"
)</f>
        <v>Group 2 - Short</v>
      </c>
      <c r="AH20" t="str">
        <v>HFNFC</v>
      </c>
      <c r="AJ20" t="str">
        <v>PAVE-SriLanka</v>
      </c>
    </row>
    <row r="21" spans="1:42" ht="14.45" customHeight="1" x14ac:dyDescent="0.25">
      <c r="A21" s="17" t="s">
        <v>382</v>
      </c>
      <c r="B21" t="s">
        <v>383</v>
      </c>
      <c r="C21" t="s">
        <v>45</v>
      </c>
      <c r="G21" s="17" t="s">
        <v>138</v>
      </c>
      <c r="H21" s="17" t="e">
        <v>#VALUE!</v>
      </c>
      <c r="I21">
        <v>2013</v>
      </c>
      <c r="J21">
        <v>2018</v>
      </c>
      <c r="K21">
        <f t="shared" si="1"/>
        <v>5</v>
      </c>
      <c r="L21" t="s">
        <v>39</v>
      </c>
      <c r="M21" t="s">
        <v>594</v>
      </c>
      <c r="N21" s="130">
        <v>374.63659525624558</v>
      </c>
      <c r="O21" s="13">
        <v>1.276372702807018</v>
      </c>
      <c r="P21" s="13">
        <v>1.5929824561403509</v>
      </c>
      <c r="Q21" s="13"/>
      <c r="R21" s="130">
        <v>53672.316384180791</v>
      </c>
      <c r="S21" s="130">
        <v>170.46168200821799</v>
      </c>
      <c r="T21" s="13">
        <v>4.5350877192982457</v>
      </c>
      <c r="U21" s="63" t="s">
        <v>49</v>
      </c>
      <c r="V21" s="17" t="s">
        <v>589</v>
      </c>
      <c r="W21" s="28">
        <f>'VfM MSD Mastersheet'!$O21</f>
        <v>-0.35559853166341782</v>
      </c>
      <c r="X21" s="28" t="str">
        <f t="array" ref="X21">_xlfn.IFS(
W21&lt;= $AO$5, "1st Quintile (Lowest)",
W21&lt;= $AP$5, "2nd Quintile (Median)",
W21&lt;= $AQ$5, "3rd Quintile",
TRUE, "Above 3rd Quintile"
)</f>
        <v>Above 3rd Quintile</v>
      </c>
      <c r="Y21" s="28">
        <f>'VfM MSD Mastersheet'!$P21</f>
        <v>14.182405575860892</v>
      </c>
      <c r="Z21" s="28" t="str">
        <f t="array" ref="Z21">_xlfn.IFS(
Y21&lt;= $AO$6, "1st Quintile (Lowest)",
Y21&lt;= $AP$6, "2nd Quintile (Median)",
Y21&lt;= $AQ$6, "3rd Quintile",
TRUE, "Above 3rd Quintile"
)</f>
        <v>Above 3rd Quintile</v>
      </c>
      <c r="AA21" s="46" t="s">
        <v>590</v>
      </c>
      <c r="AB21" s="46" t="str">
        <f t="array" ref="AB21">_xlfn.IFS(
    (X21="1st Quintile (Lowest)")+(Z21="Above 3rd Quintile"), "Group 1",
    ((X21="2nd Quintile (Median)")+(X21="3rd Quintile")+(Z21="2nd Quintile")+(Z21="3rd Quintile")), "Group 2",
    TRUE, "Group 3"
)</f>
        <v>Group 1</v>
      </c>
      <c r="AC21" t="str">
        <v>LEAD</v>
      </c>
      <c r="AD21" t="str">
        <v>GEMS-PH1,3,4</v>
      </c>
      <c r="AE21" t="str">
        <v>RRA</v>
      </c>
      <c r="AF21" t="str">
        <f t="array" ref="AF21">_xlfn.IFS(
    ((X21="1st Quintile (Lowest)")+(Z21="Above 3rd Quintile"))*(K21&gt;5), "Group 1 - Long",
    ((X21="1st Quintile (Lowest)")+(Z21="Above 3rd Quintile"))*(K21&lt;=5), "Group 1 - Short",
    ((X21="2nd Quintile (Median)")+(X21="3rd Quintile")+(Z21="2nd Quintile")+(Z21="3rd Quintile"))*(K21&gt;5), "Group 2 - Long",
    ((X21="2nd Quintile (Median)")+(X21="3rd Quintile")+(Z21="2nd Quintile")+(Z21="3rd Quintile"))*(K21&lt;=5), "Group 2 - Short",
    K21&gt;5, "Group 3 - Long",
    K21&lt;=5, "Group 3 - Short"
)</f>
        <v>Group 1 - Short</v>
      </c>
      <c r="AH21" t="str">
        <v>ESP</v>
      </c>
      <c r="AJ21" t="e">
        <v>#N/A</v>
      </c>
    </row>
    <row r="22" spans="1:42" ht="14.45" customHeight="1" x14ac:dyDescent="0.25">
      <c r="A22" s="4" t="s">
        <v>166</v>
      </c>
      <c r="B22" t="s">
        <v>167</v>
      </c>
      <c r="C22" t="s">
        <v>80</v>
      </c>
      <c r="G22" s="17" t="s">
        <v>38</v>
      </c>
      <c r="H22" s="17" t="e">
        <v>#VALUE!</v>
      </c>
      <c r="I22">
        <v>2015</v>
      </c>
      <c r="J22">
        <v>2020</v>
      </c>
      <c r="K22">
        <f t="shared" si="1"/>
        <v>5</v>
      </c>
      <c r="L22" t="s">
        <v>39</v>
      </c>
      <c r="M22" t="s">
        <v>594</v>
      </c>
      <c r="N22" s="130">
        <v>285.22750050110238</v>
      </c>
      <c r="O22" s="13"/>
      <c r="P22" s="13"/>
      <c r="Q22" s="13"/>
      <c r="R22" s="130">
        <v>1709.090909090909</v>
      </c>
      <c r="S22" s="130">
        <v>188.41451192623771</v>
      </c>
      <c r="T22" s="13">
        <v>1.513829787234042</v>
      </c>
      <c r="U22" s="63" t="s">
        <v>42</v>
      </c>
      <c r="V22" s="17" t="s">
        <v>586</v>
      </c>
      <c r="W22" s="28">
        <f>'VfM MSD Mastersheet'!$O22</f>
        <v>-0.8579562107721963</v>
      </c>
      <c r="X22" s="28" t="str">
        <f t="array" ref="X22">_xlfn.IFS(
W22&lt;= $AO$5, "1st Quintile (Lowest)",
W22&lt;= $AP$5, "2nd Quintile (Median)",
W22&lt;= $AQ$5, "3rd Quintile",
TRUE, "Above 3rd Quintile"
)</f>
        <v>2nd Quintile (Median)</v>
      </c>
      <c r="Y22" s="28">
        <f>'VfM MSD Mastersheet'!$P22</f>
        <v>8.0867273158547945</v>
      </c>
      <c r="Z22" s="28" t="str">
        <f t="array" ref="Z22">_xlfn.IFS(
Y22&lt;= $AO$6, "1st Quintile (Lowest)",
Y22&lt;= $AP$6, "2nd Quintile (Median)",
Y22&lt;= $AQ$6, "3rd Quintile",
TRUE, "Above 3rd Quintile"
)</f>
        <v>Above 3rd Quintile</v>
      </c>
      <c r="AA22" s="46" t="s">
        <v>587</v>
      </c>
      <c r="AB22" s="46" t="str">
        <f t="array" ref="AB22">_xlfn.IFS(
    (X22="1st Quintile (Lowest)")+(Z22="Above 3rd Quintile"), "Group 1",
    ((X22="2nd Quintile (Median)")+(X22="3rd Quintile")+(Z22="2nd Quintile")+(Z22="3rd Quintile")), "Group 2",
    TRUE, "Group 3"
)</f>
        <v>Group 1</v>
      </c>
      <c r="AC22" t="str">
        <v>GROW</v>
      </c>
      <c r="AD22" t="str">
        <v>Ag Inputs</v>
      </c>
      <c r="AE22" t="str">
        <v>RCP</v>
      </c>
      <c r="AF22" t="str">
        <f t="array" ref="AF22">_xlfn.IFS(
    ((X22="1st Quintile (Lowest)")+(Z22="Above 3rd Quintile"))*(K22&gt;5), "Group 1 - Long",
    ((X22="1st Quintile (Lowest)")+(Z22="Above 3rd Quintile"))*(K22&lt;=5), "Group 1 - Short",
    ((X22="2nd Quintile (Median)")+(X22="3rd Quintile")+(Z22="2nd Quintile")+(Z22="3rd Quintile"))*(K22&gt;5), "Group 2 - Long",
    ((X22="2nd Quintile (Median)")+(X22="3rd Quintile")+(Z22="2nd Quintile")+(Z22="3rd Quintile"))*(K22&lt;=5), "Group 2 - Short",
    K22&gt;5, "Group 3 - Long",
    K22&lt;=5, "Group 3 - Short"
)</f>
        <v>Group 1 - Short</v>
      </c>
      <c r="AH22" t="str">
        <v>Orora Wihaze</v>
      </c>
      <c r="AJ22" t="e">
        <v>#N/A</v>
      </c>
    </row>
    <row r="23" spans="1:42" ht="14.45" customHeight="1" x14ac:dyDescent="0.25">
      <c r="A23" s="4" t="s">
        <v>65</v>
      </c>
      <c r="B23" t="s">
        <v>66</v>
      </c>
      <c r="C23" s="29" t="s">
        <v>45</v>
      </c>
      <c r="D23" s="230" t="s">
        <v>67</v>
      </c>
      <c r="E23" s="17" t="s">
        <v>68</v>
      </c>
      <c r="G23" s="17" t="s">
        <v>69</v>
      </c>
      <c r="H23" s="17" t="e">
        <v>#VALUE!</v>
      </c>
      <c r="I23">
        <v>2017</v>
      </c>
      <c r="J23">
        <v>2022</v>
      </c>
      <c r="K23">
        <f t="shared" si="1"/>
        <v>5</v>
      </c>
      <c r="L23" t="s">
        <v>39</v>
      </c>
      <c r="M23" t="s">
        <v>602</v>
      </c>
      <c r="N23" s="130">
        <v>116.634423977346</v>
      </c>
      <c r="O23" s="13">
        <v>1.3678571428571431</v>
      </c>
      <c r="P23" s="13">
        <v>0.31157142857142861</v>
      </c>
      <c r="Q23" s="13"/>
      <c r="R23" s="130"/>
      <c r="S23" s="130">
        <v>78.503939215521356</v>
      </c>
      <c r="T23" s="13">
        <v>1.485714285714286</v>
      </c>
      <c r="U23" s="63" t="s">
        <v>49</v>
      </c>
      <c r="V23" s="17" t="s">
        <v>589</v>
      </c>
      <c r="W23" s="28">
        <f>'VfM MSD Mastersheet'!$O23</f>
        <v>-0.46518776645617821</v>
      </c>
      <c r="X23" s="28" t="str">
        <f t="array" ref="X23">_xlfn.IFS(
W23&lt;= $AO$5, "1st Quintile (Lowest)",
W23&lt;= $AP$5, "2nd Quintile (Median)",
W23&lt;= $AQ$5, "3rd Quintile",
TRUE, "Above 3rd Quintile"
)</f>
        <v>Above 3rd Quintile</v>
      </c>
      <c r="Y23" s="28">
        <f>'VfM MSD Mastersheet'!$P23</f>
        <v>5.4702914269318219</v>
      </c>
      <c r="Z23" s="28" t="str">
        <f t="array" ref="Z23">_xlfn.IFS(
Y23&lt;= $AO$6, "1st Quintile (Lowest)",
Y23&lt;= $AP$6, "2nd Quintile (Median)",
Y23&lt;= $AQ$6, "3rd Quintile",
TRUE, "Above 3rd Quintile"
)</f>
        <v>2nd Quintile (Median)</v>
      </c>
      <c r="AA23" s="46" t="s">
        <v>590</v>
      </c>
      <c r="AB23" s="46" t="str">
        <f t="array" ref="AB23">_xlfn.IFS(
    (X23="1st Quintile (Lowest)")+(Z23="Above 3rd Quintile"), "Group 1",
    ((X23="2nd Quintile (Median)")+(X23="3rd Quintile")+(Z23="2nd Quintile")+(Z23="3rd Quintile")), "Group 2",
    TRUE, "Group 3"
)</f>
        <v>Group 3</v>
      </c>
      <c r="AC23" t="str">
        <v>BIF 2</v>
      </c>
      <c r="AD23" t="str">
        <v>ACLP</v>
      </c>
      <c r="AF23" t="str">
        <f t="array" ref="AF23">_xlfn.IFS(
    ((X23="1st Quintile (Lowest)")+(Z23="Above 3rd Quintile"))*(K23&gt;5), "Group 1 - Long",
    ((X23="1st Quintile (Lowest)")+(Z23="Above 3rd Quintile"))*(K23&lt;=5), "Group 1 - Short",
    ((X23="2nd Quintile (Median)")+(X23="3rd Quintile")+(Z23="2nd Quintile")+(Z23="3rd Quintile"))*(K23&gt;5), "Group 2 - Long",
    ((X23="2nd Quintile (Median)")+(X23="3rd Quintile")+(Z23="2nd Quintile")+(Z23="3rd Quintile"))*(K23&lt;=5), "Group 2 - Short",
    K23&gt;5, "Group 3 - Long",
    K23&lt;=5, "Group 3 - Short"
)</f>
        <v>Group 3 - Short</v>
      </c>
      <c r="AH23" t="str">
        <v>WIN</v>
      </c>
      <c r="AJ23" t="e">
        <v>#N/A</v>
      </c>
    </row>
    <row r="24" spans="1:42" ht="14.45" customHeight="1" x14ac:dyDescent="0.25">
      <c r="A24" s="17" t="s">
        <v>43</v>
      </c>
      <c r="B24" s="17" t="s">
        <v>44</v>
      </c>
      <c r="C24" t="s">
        <v>45</v>
      </c>
      <c r="G24" s="17" t="s">
        <v>46</v>
      </c>
      <c r="H24" s="17" t="e">
        <v>#VALUE!</v>
      </c>
      <c r="I24" s="17">
        <v>2017</v>
      </c>
      <c r="J24" s="17">
        <v>2020</v>
      </c>
      <c r="K24">
        <f t="shared" si="1"/>
        <v>3</v>
      </c>
      <c r="L24" t="s">
        <v>39</v>
      </c>
      <c r="M24" t="s">
        <v>603</v>
      </c>
      <c r="N24" s="130"/>
      <c r="O24" s="13"/>
      <c r="P24" s="13"/>
      <c r="Q24" s="13"/>
      <c r="R24" s="130"/>
      <c r="S24" s="130">
        <v>1100.6289308176099</v>
      </c>
      <c r="T24" s="13"/>
      <c r="U24" s="63" t="s">
        <v>49</v>
      </c>
      <c r="V24" s="17" t="s">
        <v>583</v>
      </c>
      <c r="W24" s="28">
        <f>'VfM MSD Mastersheet'!$O24</f>
        <v>7.029367517679927E-2</v>
      </c>
      <c r="X24" s="28" t="str">
        <f t="array" ref="X24">_xlfn.IFS(
W24&lt;= $AO$5, "1st Quintile (Lowest)",
W24&lt;= $AP$5, "2nd Quintile (Median)",
W24&lt;= $AQ$5, "3rd Quintile",
TRUE, "Above 3rd Quintile"
)</f>
        <v>Above 3rd Quintile</v>
      </c>
      <c r="Y24" s="28">
        <f>'VfM MSD Mastersheet'!$P24</f>
        <v>7.624034595908272</v>
      </c>
      <c r="Z24" s="28" t="str">
        <f t="array" ref="Z24">_xlfn.IFS(
Y24&lt;= $AO$6, "1st Quintile (Lowest)",
Y24&lt;= $AP$6, "2nd Quintile (Median)",
Y24&lt;= $AQ$6, "3rd Quintile",
TRUE, "Above 3rd Quintile"
)</f>
        <v>Above 3rd Quintile</v>
      </c>
      <c r="AA24" s="46" t="s">
        <v>587</v>
      </c>
      <c r="AB24" s="46" t="str">
        <f t="array" ref="AB24">_xlfn.IFS(
    (X24="1st Quintile (Lowest)")+(Z24="Above 3rd Quintile"), "Group 1",
    ((X24="2nd Quintile (Median)")+(X24="3rd Quintile")+(Z24="2nd Quintile")+(Z24="3rd Quintile")), "Group 2",
    TRUE, "Group 3"
)</f>
        <v>Group 1</v>
      </c>
      <c r="AC24" t="str">
        <v>MADE-Ghana</v>
      </c>
      <c r="AD24" t="str">
        <v>BSB-Serbia</v>
      </c>
      <c r="AF24" t="str">
        <f t="array" ref="AF24">_xlfn.IFS(
    ((X24="1st Quintile (Lowest)")+(Z24="Above 3rd Quintile"))*(K24&gt;5), "Group 1 - Long",
    ((X24="1st Quintile (Lowest)")+(Z24="Above 3rd Quintile"))*(K24&lt;=5), "Group 1 - Short",
    ((X24="2nd Quintile (Median)")+(X24="3rd Quintile")+(Z24="2nd Quintile")+(Z24="3rd Quintile"))*(K24&gt;5), "Group 2 - Long",
    ((X24="2nd Quintile (Median)")+(X24="3rd Quintile")+(Z24="2nd Quintile")+(Z24="3rd Quintile"))*(K24&lt;=5), "Group 2 - Short",
    K24&gt;5, "Group 3 - Long",
    K24&lt;=5, "Group 3 - Short"
)</f>
        <v>Group 1 - Short</v>
      </c>
      <c r="AH24" t="str">
        <v>AVC-HVC</v>
      </c>
    </row>
    <row r="25" spans="1:42" ht="14.45" customHeight="1" x14ac:dyDescent="0.25">
      <c r="A25" s="17" t="s">
        <v>394</v>
      </c>
      <c r="B25" t="s">
        <v>395</v>
      </c>
      <c r="C25" t="s">
        <v>171</v>
      </c>
      <c r="G25" s="17" t="s">
        <v>53</v>
      </c>
      <c r="H25" t="e">
        <v>#VALUE!</v>
      </c>
      <c r="I25">
        <v>2012</v>
      </c>
      <c r="J25">
        <v>2018</v>
      </c>
      <c r="K25">
        <f t="shared" si="1"/>
        <v>6</v>
      </c>
      <c r="L25" t="s">
        <v>39</v>
      </c>
      <c r="M25" t="s">
        <v>582</v>
      </c>
      <c r="N25" s="130">
        <v>99.714285714285708</v>
      </c>
      <c r="O25" s="13">
        <v>0.26501766784452302</v>
      </c>
      <c r="P25" s="13"/>
      <c r="Q25" s="13"/>
      <c r="R25" s="130">
        <v>11983.062808750879</v>
      </c>
      <c r="S25" s="130"/>
      <c r="T25" s="13">
        <v>3.3067852767962309</v>
      </c>
      <c r="U25" s="63" t="s">
        <v>42</v>
      </c>
      <c r="V25" s="17" t="s">
        <v>586</v>
      </c>
      <c r="W25" s="28">
        <f>'VfM MSD Mastersheet'!$O25</f>
        <v>-0.44831524416804303</v>
      </c>
      <c r="X25" s="28" t="str">
        <f t="array" ref="X25">_xlfn.IFS(
W25&lt;= $AO$5, "1st Quintile (Lowest)",
W25&lt;= $AP$5, "2nd Quintile (Median)",
W25&lt;= $AQ$5, "3rd Quintile",
TRUE, "Above 3rd Quintile"
)</f>
        <v>Above 3rd Quintile</v>
      </c>
      <c r="Y25" s="28">
        <f>'VfM MSD Mastersheet'!$P25</f>
        <v>0.48313053254445415</v>
      </c>
      <c r="Z25" s="28" t="str">
        <f t="array" ref="Z25">_xlfn.IFS(
Y25&lt;= $AO$6, "1st Quintile (Lowest)",
Y25&lt;= $AP$6, "2nd Quintile (Median)",
Y25&lt;= $AQ$6, "3rd Quintile",
TRUE, "Above 3rd Quintile"
)</f>
        <v>1st Quintile (Lowest)</v>
      </c>
      <c r="AA25" s="46" t="s">
        <v>587</v>
      </c>
      <c r="AB25" s="46" t="str">
        <f t="array" ref="AB25">_xlfn.IFS(
    (X25="1st Quintile (Lowest)")+(Z25="Above 3rd Quintile"), "Group 1",
    ((X25="2nd Quintile (Median)")+(X25="3rd Quintile")+(Z25="2nd Quintile")+(Z25="3rd Quintile")), "Group 2",
    TRUE, "Group 3"
)</f>
        <v>Group 3</v>
      </c>
      <c r="AC25" t="str">
        <v>3AG</v>
      </c>
      <c r="AD25" t="str">
        <v>LPINA</v>
      </c>
      <c r="AF25" t="str">
        <f t="array" ref="AF25">_xlfn.IFS(
    ((X25="1st Quintile (Lowest)")+(Z25="Above 3rd Quintile"))*(K25&gt;5), "Group 1 - Long",
    ((X25="1st Quintile (Lowest)")+(Z25="Above 3rd Quintile"))*(K25&lt;=5), "Group 1 - Short",
    ((X25="2nd Quintile (Median)")+(X25="3rd Quintile")+(Z25="2nd Quintile")+(Z25="3rd Quintile"))*(K25&gt;5), "Group 2 - Long",
    ((X25="2nd Quintile (Median)")+(X25="3rd Quintile")+(Z25="2nd Quintile")+(Z25="3rd Quintile"))*(K25&lt;=5), "Group 2 - Short",
    K25&gt;5, "Group 3 - Long",
    K25&lt;=5, "Group 3 - Short"
)</f>
        <v>Group 3 - Long</v>
      </c>
      <c r="AH25" t="str">
        <v>PDR</v>
      </c>
    </row>
    <row r="26" spans="1:42" ht="14.45" customHeight="1" x14ac:dyDescent="0.25">
      <c r="A26" s="17" t="s">
        <v>144</v>
      </c>
      <c r="B26" t="s">
        <v>145</v>
      </c>
      <c r="C26" t="s">
        <v>104</v>
      </c>
      <c r="G26" s="17" t="s">
        <v>146</v>
      </c>
      <c r="H26" s="17" t="e">
        <v>#VALUE!</v>
      </c>
      <c r="I26">
        <v>2016</v>
      </c>
      <c r="J26">
        <v>2020</v>
      </c>
      <c r="K26">
        <f t="shared" si="1"/>
        <v>4</v>
      </c>
      <c r="L26" t="s">
        <v>39</v>
      </c>
      <c r="M26" t="s">
        <v>582</v>
      </c>
      <c r="N26" s="130">
        <v>674.14298974167343</v>
      </c>
      <c r="O26" s="13"/>
      <c r="P26" s="13">
        <v>5.4702702702702705E-4</v>
      </c>
      <c r="Q26" s="13"/>
      <c r="R26" s="130"/>
      <c r="S26" s="130">
        <v>89.202840025555403</v>
      </c>
      <c r="T26" s="13">
        <v>7.5574162162162164</v>
      </c>
      <c r="U26" s="63" t="s">
        <v>49</v>
      </c>
      <c r="V26" s="17" t="s">
        <v>583</v>
      </c>
      <c r="W26" s="28">
        <f>'VfM MSD Mastersheet'!$O26</f>
        <v>-1.0686749696731559</v>
      </c>
      <c r="X26" s="28" t="str">
        <f t="array" ref="X26">_xlfn.IFS(
W26&lt;= $AO$5, "1st Quintile (Lowest)",
W26&lt;= $AP$5, "2nd Quintile (Median)",
W26&lt;= $AQ$5, "3rd Quintile",
TRUE, "Above 3rd Quintile"
)</f>
        <v>2nd Quintile (Median)</v>
      </c>
      <c r="Y26" s="28">
        <f>'VfM MSD Mastersheet'!$P26</f>
        <v>5.6084576851471022</v>
      </c>
      <c r="Z26" s="28" t="str">
        <f t="array" ref="Z26">_xlfn.IFS(
Y26&lt;= $AO$6, "1st Quintile (Lowest)",
Y26&lt;= $AP$6, "2nd Quintile (Median)",
Y26&lt;= $AQ$6, "3rd Quintile",
TRUE, "Above 3rd Quintile"
)</f>
        <v>2nd Quintile (Median)</v>
      </c>
      <c r="AA26" s="46" t="s">
        <v>590</v>
      </c>
      <c r="AB26" s="46" t="str">
        <f t="array" ref="AB26">_xlfn.IFS(
    (X26="1st Quintile (Lowest)")+(Z26="Above 3rd Quintile"), "Group 1",
    ((X26="2nd Quintile (Median)")+(X26="3rd Quintile")+(Z26="2nd Quintile")+(Z26="3rd Quintile")), "Group 2",
    TRUE, "Group 3"
)</f>
        <v>Group 2</v>
      </c>
      <c r="AC26" t="str">
        <v>MSR</v>
      </c>
      <c r="AD26" t="str">
        <v>CPM</v>
      </c>
      <c r="AF26" t="str">
        <f t="array" ref="AF26">_xlfn.IFS(
    ((X26="1st Quintile (Lowest)")+(Z26="Above 3rd Quintile"))*(K26&gt;5), "Group 1 - Long",
    ((X26="1st Quintile (Lowest)")+(Z26="Above 3rd Quintile"))*(K26&lt;=5), "Group 1 - Short",
    ((X26="2nd Quintile (Median)")+(X26="3rd Quintile")+(Z26="2nd Quintile")+(Z26="3rd Quintile"))*(K26&gt;5), "Group 2 - Long",
    ((X26="2nd Quintile (Median)")+(X26="3rd Quintile")+(Z26="2nd Quintile")+(Z26="3rd Quintile"))*(K26&lt;=5), "Group 2 - Short",
    K26&gt;5, "Group 3 - Long",
    K26&lt;=5, "Group 3 - Short"
)</f>
        <v>Group 2 - Short</v>
      </c>
      <c r="AG26" t="s">
        <v>604</v>
      </c>
      <c r="AH26" t="str">
        <v>MVMW</v>
      </c>
    </row>
    <row r="27" spans="1:42" ht="14.45" customHeight="1" x14ac:dyDescent="0.25">
      <c r="A27" s="36" t="s">
        <v>407</v>
      </c>
      <c r="B27" s="36" t="s">
        <v>408</v>
      </c>
      <c r="C27" s="36" t="s">
        <v>137</v>
      </c>
      <c r="D27" s="36" t="s">
        <v>104</v>
      </c>
      <c r="E27" s="36" t="s">
        <v>605</v>
      </c>
      <c r="F27" s="36" t="s">
        <v>606</v>
      </c>
      <c r="G27" s="35" t="s">
        <v>74</v>
      </c>
      <c r="H27" s="35" t="e">
        <v>#VALUE!</v>
      </c>
      <c r="I27" s="36">
        <v>2003</v>
      </c>
      <c r="J27" s="36">
        <v>2013</v>
      </c>
      <c r="K27" s="36">
        <f t="shared" si="1"/>
        <v>10</v>
      </c>
      <c r="L27" s="36" t="s">
        <v>333</v>
      </c>
      <c r="M27" s="36" t="s">
        <v>594</v>
      </c>
      <c r="N27" s="199">
        <v>74</v>
      </c>
      <c r="O27" s="149"/>
      <c r="P27" s="149">
        <v>1.963414634146341</v>
      </c>
      <c r="Q27" s="149"/>
      <c r="R27" s="199">
        <v>410</v>
      </c>
      <c r="S27" s="199">
        <v>30.37037037037037</v>
      </c>
      <c r="T27" s="149">
        <v>1.963414634146341</v>
      </c>
      <c r="U27" s="65" t="s">
        <v>49</v>
      </c>
      <c r="V27" s="35" t="s">
        <v>583</v>
      </c>
      <c r="W27" s="37">
        <f>'VfM MSD Mastersheet'!$O29</f>
        <v>-0.52113158404827131</v>
      </c>
      <c r="X27" s="28" t="str">
        <f t="array" ref="X27">_xlfn.IFS(
W27&lt;= $AO$5, "1st Quintile (Lowest)",
W27&lt;= $AP$5, "2nd Quintile (Median)",
W27&lt;= $AQ$5, "3rd Quintile",
TRUE, "Above 3rd Quintile"
)</f>
        <v>3rd Quintile</v>
      </c>
      <c r="Y27" s="37">
        <f>'VfM MSD Mastersheet'!$P29</f>
        <v>5.3192992039255742</v>
      </c>
      <c r="Z27" s="28" t="str">
        <f t="array" ref="Z27">_xlfn.IFS(
Y27&lt;= $AO$6, "1st Quintile (Lowest)",
Y27&lt;= $AP$6, "2nd Quintile (Median)",
Y27&lt;= $AQ$6, "3rd Quintile",
TRUE, "Above 3rd Quintile"
)</f>
        <v>2nd Quintile (Median)</v>
      </c>
      <c r="AA27" s="46" t="s">
        <v>587</v>
      </c>
      <c r="AB27" s="46" t="str">
        <f t="array" ref="AB27">_xlfn.IFS(
    (X27="1st Quintile (Lowest)")+(Z27="Above 3rd Quintile"), "Group 1",
    ((X27="2nd Quintile (Median)")+(X27="3rd Quintile")+(Z27="2nd Quintile")+(Z27="3rd Quintile")), "Group 2",
    TRUE, "Group 3"
)</f>
        <v>Group 2</v>
      </c>
      <c r="AC27" t="str">
        <v>ECP</v>
      </c>
      <c r="AD27" t="str">
        <v>Nguriza Nshore</v>
      </c>
      <c r="AF27" t="str">
        <f t="array" ref="AF27">_xlfn.IFS(
    ((X27="1st Quintile (Lowest)")+(Z27="Above 3rd Quintile"))*(K27&gt;5), "Group 1 - Long",
    ((X27="1st Quintile (Lowest)")+(Z27="Above 3rd Quintile"))*(K27&lt;=5), "Group 1 - Short",
    ((X27="2nd Quintile (Median)")+(X27="3rd Quintile")+(Z27="2nd Quintile")+(Z27="3rd Quintile"))*(K27&gt;5), "Group 2 - Long",
    ((X27="2nd Quintile (Median)")+(X27="3rd Quintile")+(Z27="2nd Quintile")+(Z27="3rd Quintile"))*(K27&lt;=5), "Group 2 - Short",
    K27&gt;5, "Group 3 - Long",
    K27&lt;=5, "Group 3 - Short"
)</f>
        <v>Group 2 - Long</v>
      </c>
      <c r="AH27" t="str">
        <v>PROSPECT IV</v>
      </c>
    </row>
    <row r="28" spans="1:42" ht="14.45" customHeight="1" x14ac:dyDescent="0.25">
      <c r="A28" t="s">
        <v>503</v>
      </c>
      <c r="B28" t="s">
        <v>607</v>
      </c>
      <c r="C28" t="s">
        <v>137</v>
      </c>
      <c r="G28" s="17" t="s">
        <v>138</v>
      </c>
      <c r="H28" s="17" t="e">
        <v>#VALUE!</v>
      </c>
      <c r="I28">
        <v>2015</v>
      </c>
      <c r="J28">
        <v>2022</v>
      </c>
      <c r="K28">
        <f t="shared" si="1"/>
        <v>7</v>
      </c>
      <c r="L28" t="s">
        <v>39</v>
      </c>
      <c r="M28" t="s">
        <v>602</v>
      </c>
      <c r="N28" s="130"/>
      <c r="O28" s="13">
        <v>1.9702500000000001</v>
      </c>
      <c r="P28" s="13">
        <v>1.33125</v>
      </c>
      <c r="Q28" s="13"/>
      <c r="R28" s="130"/>
      <c r="S28" s="130"/>
      <c r="T28" s="13"/>
      <c r="U28" s="63" t="s">
        <v>42</v>
      </c>
      <c r="V28" s="17" t="s">
        <v>586</v>
      </c>
      <c r="W28" s="28">
        <f>'VfM MSD Mastersheet'!$O30</f>
        <v>-0.28434941172599798</v>
      </c>
      <c r="X28" s="28" t="str">
        <f t="array" ref="X28">_xlfn.IFS(
W28&lt;= $AO$5, "1st Quintile (Lowest)",
W28&lt;= $AP$5, "2nd Quintile (Median)",
W28&lt;= $AQ$5, "3rd Quintile",
TRUE, "Above 3rd Quintile"
)</f>
        <v>Above 3rd Quintile</v>
      </c>
      <c r="Y28" s="28">
        <f>'VfM MSD Mastersheet'!$P30</f>
        <v>4.0680458825652419</v>
      </c>
      <c r="Z28" s="28" t="str">
        <f t="array" ref="Z28">_xlfn.IFS(
Y28&lt;= $AO$6, "1st Quintile (Lowest)",
Y28&lt;= $AP$6, "2nd Quintile (Median)",
Y28&lt;= $AQ$6, "3rd Quintile",
TRUE, "Above 3rd Quintile"
)</f>
        <v>1st Quintile (Lowest)</v>
      </c>
      <c r="AA28" s="46" t="s">
        <v>590</v>
      </c>
      <c r="AB28" s="46" t="str">
        <f t="array" ref="AB28">_xlfn.IFS(
    (X28="1st Quintile (Lowest)")+(Z28="Above 3rd Quintile"), "Group 1",
    ((X28="2nd Quintile (Median)")+(X28="3rd Quintile")+(Z28="2nd Quintile")+(Z28="3rd Quintile")), "Group 2",
    TRUE, "Group 3"
)</f>
        <v>Group 3</v>
      </c>
      <c r="AC28" t="str">
        <v>HFNFC</v>
      </c>
      <c r="AD28" t="str">
        <v>Naatal Mbay</v>
      </c>
      <c r="AF28" t="str">
        <f t="array" ref="AF28">_xlfn.IFS(
    ((X28="1st Quintile (Lowest)")+(Z28="Above 3rd Quintile"))*(K28&gt;5), "Group 1 - Long",
    ((X28="1st Quintile (Lowest)")+(Z28="Above 3rd Quintile"))*(K28&lt;=5), "Group 1 - Short",
    ((X28="2nd Quintile (Median)")+(X28="3rd Quintile")+(Z28="2nd Quintile")+(Z28="3rd Quintile"))*(K28&gt;5), "Group 2 - Long",
    ((X28="2nd Quintile (Median)")+(X28="3rd Quintile")+(Z28="2nd Quintile")+(Z28="3rd Quintile"))*(K28&lt;=5), "Group 2 - Short",
    K28&gt;5, "Group 3 - Long",
    K28&lt;=5, "Group 3 - Short"
)</f>
        <v>Group 3 - Long</v>
      </c>
    </row>
    <row r="29" spans="1:42" ht="14.45" customHeight="1" x14ac:dyDescent="0.25">
      <c r="A29" s="36" t="s">
        <v>404</v>
      </c>
      <c r="B29" s="36" t="s">
        <v>405</v>
      </c>
      <c r="C29" s="36" t="s">
        <v>45</v>
      </c>
      <c r="D29" s="36"/>
      <c r="E29" s="36"/>
      <c r="F29" s="36"/>
      <c r="G29" s="35" t="s">
        <v>406</v>
      </c>
      <c r="H29" s="35" t="s">
        <v>337</v>
      </c>
      <c r="I29" s="36">
        <v>2011</v>
      </c>
      <c r="J29" s="36">
        <v>2022</v>
      </c>
      <c r="K29" s="36">
        <f t="shared" si="1"/>
        <v>11</v>
      </c>
      <c r="L29" s="36" t="s">
        <v>312</v>
      </c>
      <c r="M29" s="36" t="s">
        <v>594</v>
      </c>
      <c r="N29" s="199">
        <v>492.39882661123181</v>
      </c>
      <c r="O29" s="149">
        <v>0.48221049077583339</v>
      </c>
      <c r="P29" s="149">
        <v>3.2399911384850131</v>
      </c>
      <c r="Q29" s="149"/>
      <c r="R29" s="199">
        <v>9620.9987560570407</v>
      </c>
      <c r="S29" s="199">
        <v>4673.3338275050437</v>
      </c>
      <c r="T29" s="149">
        <v>2.479045428182832</v>
      </c>
      <c r="U29" s="65" t="s">
        <v>240</v>
      </c>
      <c r="V29" s="36" t="s">
        <v>597</v>
      </c>
      <c r="W29" s="37">
        <f>'VfM MSD Mastersheet'!$O33</f>
        <v>-0.79026403029759706</v>
      </c>
      <c r="X29" s="28" t="str">
        <f t="array" ref="X29">_xlfn.IFS(
W29&lt;= $AO$5, "1st Quintile (Lowest)",
W29&lt;= $AP$5, "2nd Quintile (Median)",
W29&lt;= $AQ$5, "3rd Quintile",
TRUE, "Above 3rd Quintile"
)</f>
        <v>2nd Quintile (Median)</v>
      </c>
      <c r="Y29" s="37">
        <f>'VfM MSD Mastersheet'!$P33</f>
        <v>6.1942885561365557</v>
      </c>
      <c r="Z29" s="28" t="str">
        <f t="array" ref="Z29">_xlfn.IFS(
Y29&lt;= $AO$6, "1st Quintile (Lowest)",
Y29&lt;= $AP$6, "2nd Quintile (Median)",
Y29&lt;= $AQ$6, "3rd Quintile",
TRUE, "Above 3rd Quintile"
)</f>
        <v>2nd Quintile (Median)</v>
      </c>
      <c r="AA29" s="46" t="s">
        <v>590</v>
      </c>
      <c r="AB29" s="46" t="str">
        <f t="array" ref="AB29">_xlfn.IFS(
    (X29="1st Quintile (Lowest)")+(Z29="Above 3rd Quintile"), "Group 1",
    ((X29="2nd Quintile (Median)")+(X29="3rd Quintile")+(Z29="2nd Quintile")+(Z29="3rd Quintile")), "Group 2",
    TRUE, "Group 3"
)</f>
        <v>Group 2</v>
      </c>
      <c r="AC29" t="str">
        <v>IAM</v>
      </c>
      <c r="AD29" t="str">
        <v>TMS</v>
      </c>
      <c r="AF29" t="str">
        <f t="array" ref="AF29">_xlfn.IFS(
    ((X29="1st Quintile (Lowest)")+(Z29="Above 3rd Quintile"))*(K29&gt;5), "Group 1 - Long",
    ((X29="1st Quintile (Lowest)")+(Z29="Above 3rd Quintile"))*(K29&lt;=5), "Group 1 - Short",
    ((X29="2nd Quintile (Median)")+(X29="3rd Quintile")+(Z29="2nd Quintile")+(Z29="3rd Quintile"))*(K29&gt;5), "Group 2 - Long",
    ((X29="2nd Quintile (Median)")+(X29="3rd Quintile")+(Z29="2nd Quintile")+(Z29="3rd Quintile"))*(K29&lt;=5), "Group 2 - Short",
    K29&gt;5, "Group 3 - Long",
    K29&lt;=5, "Group 3 - Short"
)</f>
        <v>Group 2 - Long</v>
      </c>
    </row>
    <row r="30" spans="1:42" ht="14.45" customHeight="1" x14ac:dyDescent="0.25">
      <c r="A30" t="s">
        <v>89</v>
      </c>
      <c r="B30" t="s">
        <v>90</v>
      </c>
      <c r="C30" t="s">
        <v>57</v>
      </c>
      <c r="G30" s="17" t="s">
        <v>91</v>
      </c>
      <c r="H30" s="17" t="s">
        <v>92</v>
      </c>
      <c r="I30">
        <v>2015</v>
      </c>
      <c r="J30">
        <v>2018</v>
      </c>
      <c r="K30">
        <f t="shared" si="1"/>
        <v>3</v>
      </c>
      <c r="L30" t="s">
        <v>39</v>
      </c>
      <c r="M30" t="s">
        <v>594</v>
      </c>
      <c r="N30" s="130"/>
      <c r="O30" s="13">
        <v>8.908685968819599</v>
      </c>
      <c r="P30" s="13"/>
      <c r="Q30" s="13"/>
      <c r="R30" s="130"/>
      <c r="S30" s="130">
        <v>2199.902008819206</v>
      </c>
      <c r="T30" s="13"/>
      <c r="U30" s="63" t="s">
        <v>49</v>
      </c>
      <c r="V30" t="s">
        <v>597</v>
      </c>
      <c r="W30" s="28">
        <f>'VfM MSD Mastersheet'!$O34</f>
        <v>0.73502775430679335</v>
      </c>
      <c r="X30" s="28" t="str">
        <f t="array" ref="X30">_xlfn.IFS(
W30&lt;= $AO$5, "1st Quintile (Lowest)",
W30&lt;= $AP$5, "2nd Quintile (Median)",
W30&lt;= $AQ$5, "3rd Quintile",
TRUE, "Above 3rd Quintile"
)</f>
        <v>Above 3rd Quintile</v>
      </c>
      <c r="Y30" s="28">
        <f>'VfM MSD Mastersheet'!$P34</f>
        <v>5.9018836260540146</v>
      </c>
      <c r="Z30" s="28" t="str">
        <f t="array" ref="Z30">_xlfn.IFS(
Y30&lt;= $AO$6, "1st Quintile (Lowest)",
Y30&lt;= $AP$6, "2nd Quintile (Median)",
Y30&lt;= $AQ$6, "3rd Quintile",
TRUE, "Above 3rd Quintile"
)</f>
        <v>2nd Quintile (Median)</v>
      </c>
      <c r="AA30" s="46" t="s">
        <v>584</v>
      </c>
      <c r="AB30" s="46" t="str">
        <f t="array" ref="AB30">_xlfn.IFS(
    (X30="1st Quintile (Lowest)")+(Z30="Above 3rd Quintile"), "Group 1",
    ((X30="2nd Quintile (Median)")+(X30="3rd Quintile")+(Z30="2nd Quintile")+(Z30="3rd Quintile")), "Group 2",
    TRUE, "Group 3"
)</f>
        <v>Group 3</v>
      </c>
      <c r="AC30" t="str">
        <v>ESP</v>
      </c>
      <c r="AD30" t="str">
        <v>MUSIKA</v>
      </c>
      <c r="AF30" t="str">
        <f t="array" ref="AF30">_xlfn.IFS(
    ((X30="1st Quintile (Lowest)")+(Z30="Above 3rd Quintile"))*(K30&gt;5), "Group 1 - Long",
    ((X30="1st Quintile (Lowest)")+(Z30="Above 3rd Quintile"))*(K30&lt;=5), "Group 1 - Short",
    ((X30="2nd Quintile (Median)")+(X30="3rd Quintile")+(Z30="2nd Quintile")+(Z30="3rd Quintile"))*(K30&gt;5), "Group 2 - Long",
    ((X30="2nd Quintile (Median)")+(X30="3rd Quintile")+(Z30="2nd Quintile")+(Z30="3rd Quintile"))*(K30&lt;=5), "Group 2 - Short",
    K30&gt;5, "Group 3 - Long",
    K30&lt;=5, "Group 3 - Short"
)</f>
        <v>Group 3 - Short</v>
      </c>
    </row>
    <row r="31" spans="1:42" ht="14.45" customHeight="1" x14ac:dyDescent="0.25">
      <c r="A31" t="s">
        <v>309</v>
      </c>
      <c r="B31" t="s">
        <v>310</v>
      </c>
      <c r="C31" t="s">
        <v>137</v>
      </c>
      <c r="D31" t="s">
        <v>57</v>
      </c>
      <c r="G31" s="17" t="s">
        <v>230</v>
      </c>
      <c r="H31" s="17" t="s">
        <v>311</v>
      </c>
      <c r="I31">
        <v>2013</v>
      </c>
      <c r="J31">
        <v>2018</v>
      </c>
      <c r="K31">
        <f t="shared" si="1"/>
        <v>5</v>
      </c>
      <c r="L31" t="s">
        <v>312</v>
      </c>
      <c r="M31" t="s">
        <v>594</v>
      </c>
      <c r="N31" s="130"/>
      <c r="O31" s="13"/>
      <c r="P31" s="13">
        <v>0.2779701</v>
      </c>
      <c r="Q31" s="13"/>
      <c r="R31" s="130">
        <v>179419.75308641969</v>
      </c>
      <c r="S31" s="130">
        <v>26044.802867383511</v>
      </c>
      <c r="T31" s="13"/>
      <c r="U31" s="63" t="s">
        <v>42</v>
      </c>
      <c r="V31" s="17" t="s">
        <v>586</v>
      </c>
      <c r="W31" s="28"/>
      <c r="X31" s="28"/>
      <c r="Y31" s="17"/>
      <c r="Z31" s="28"/>
      <c r="AA31" s="46" t="s">
        <v>587</v>
      </c>
      <c r="AB31" s="46"/>
      <c r="AC31" t="str">
        <v>Orora Wihaze</v>
      </c>
      <c r="AD31" t="str">
        <v>Google-Labs</v>
      </c>
    </row>
    <row r="32" spans="1:42" ht="14.45" customHeight="1" x14ac:dyDescent="0.25">
      <c r="A32" t="s">
        <v>267</v>
      </c>
      <c r="B32" t="s">
        <v>268</v>
      </c>
      <c r="C32" t="s">
        <v>171</v>
      </c>
      <c r="G32" s="17" t="s">
        <v>230</v>
      </c>
      <c r="H32" s="17" t="e">
        <v>#VALUE!</v>
      </c>
      <c r="I32">
        <v>2017</v>
      </c>
      <c r="J32">
        <v>2022</v>
      </c>
      <c r="K32">
        <f t="shared" si="1"/>
        <v>5</v>
      </c>
      <c r="L32" t="s">
        <v>39</v>
      </c>
      <c r="M32" t="s">
        <v>602</v>
      </c>
      <c r="N32" s="130"/>
      <c r="O32" s="13">
        <v>9.0909090909090912E-2</v>
      </c>
      <c r="P32" s="13">
        <v>0.82296650717703346</v>
      </c>
      <c r="Q32" s="13"/>
      <c r="R32" s="130"/>
      <c r="S32" s="130">
        <v>3650.6550218340608</v>
      </c>
      <c r="T32" s="13"/>
      <c r="U32" s="63" t="s">
        <v>42</v>
      </c>
      <c r="V32" s="17" t="s">
        <v>586</v>
      </c>
      <c r="W32" s="28">
        <f>'VfM MSD Mastersheet'!$O36</f>
        <v>-1.0842901979173927</v>
      </c>
      <c r="X32" s="28" t="str">
        <f t="array" ref="X32">_xlfn.IFS(
W32&lt;= $AO$5, "1st Quintile (Lowest)",
W32&lt;= $AP$5, "2nd Quintile (Median)",
W32&lt;= $AQ$5, "3rd Quintile",
TRUE, "Above 3rd Quintile"
)</f>
        <v>2nd Quintile (Median)</v>
      </c>
      <c r="Y32" s="28">
        <f>'VfM MSD Mastersheet'!$P36</f>
        <v>5.6831747090457245</v>
      </c>
      <c r="Z32" s="28" t="str">
        <f t="array" ref="Z32">_xlfn.IFS(
Y32&lt;= $AO$6, "1st Quintile (Lowest)",
Y32&lt;= $AP$6, "2nd Quintile (Median)",
Y32&lt;= $AQ$6, "3rd Quintile",
TRUE, "Above 3rd Quintile"
)</f>
        <v>2nd Quintile (Median)</v>
      </c>
      <c r="AA32" s="46" t="s">
        <v>587</v>
      </c>
      <c r="AB32" s="46" t="str">
        <f t="array" ref="AB32">_xlfn.IFS(
    (X32="1st Quintile (Lowest)")+(Z32="Above 3rd Quintile"), "Group 1",
    ((X32="2nd Quintile (Median)")+(X32="3rd Quintile")+(Z32="2nd Quintile")+(Z32="3rd Quintile")), "Group 2",
    TRUE, "Group 3"
)</f>
        <v>Group 2</v>
      </c>
      <c r="AC32" t="str">
        <v>WIN</v>
      </c>
      <c r="AD32" t="str">
        <v>LIWAY</v>
      </c>
      <c r="AF32" t="str">
        <f t="array" ref="AF32">_xlfn.IFS(
    ((X32="1st Quintile (Lowest)")+(Z32="Above 3rd Quintile"))*(K32&gt;5), "Group 1 - Long",
    ((X32="1st Quintile (Lowest)")+(Z32="Above 3rd Quintile"))*(K32&lt;=5), "Group 1 - Short",
    ((X32="2nd Quintile (Median)")+(X32="3rd Quintile")+(Z32="2nd Quintile")+(Z32="3rd Quintile"))*(K32&gt;5), "Group 2 - Long",
    ((X32="2nd Quintile (Median)")+(X32="3rd Quintile")+(Z32="2nd Quintile")+(Z32="3rd Quintile"))*(K32&lt;=5), "Group 2 - Short",
    K32&gt;5, "Group 3 - Long",
    K32&lt;=5, "Group 3 - Short"
)</f>
        <v>Group 2 - Short</v>
      </c>
    </row>
    <row r="33" spans="1:33" ht="14.45" customHeight="1" x14ac:dyDescent="0.25">
      <c r="A33" s="36" t="s">
        <v>608</v>
      </c>
      <c r="B33" s="36" t="s">
        <v>340</v>
      </c>
      <c r="C33" s="36" t="s">
        <v>104</v>
      </c>
      <c r="D33" s="36"/>
      <c r="E33" s="36"/>
      <c r="F33" s="36"/>
      <c r="G33" s="35" t="s">
        <v>74</v>
      </c>
      <c r="H33" s="36" t="e">
        <v>#VALUE!</v>
      </c>
      <c r="I33" s="36">
        <v>2016</v>
      </c>
      <c r="J33" s="36">
        <v>2025</v>
      </c>
      <c r="K33" s="36">
        <f t="shared" si="1"/>
        <v>9</v>
      </c>
      <c r="L33" s="36" t="s">
        <v>39</v>
      </c>
      <c r="M33" s="35" t="s">
        <v>594</v>
      </c>
      <c r="N33" s="38">
        <v>132.465622476475</v>
      </c>
      <c r="O33" s="37">
        <v>6.5921787709497207E-2</v>
      </c>
      <c r="P33" s="37">
        <v>10.851955307262569</v>
      </c>
      <c r="Q33" s="37"/>
      <c r="R33" s="38">
        <v>4772.0607837909893</v>
      </c>
      <c r="S33" s="38">
        <v>192.67822736030831</v>
      </c>
      <c r="T33" s="37">
        <v>0.68749658065290509</v>
      </c>
      <c r="U33" s="65" t="s">
        <v>49</v>
      </c>
      <c r="V33" s="35" t="s">
        <v>583</v>
      </c>
      <c r="W33" s="37">
        <f>'VfM MSD Mastersheet'!$O39</f>
        <v>-1.8838691628640797E-3</v>
      </c>
      <c r="X33" s="28" t="str">
        <f t="array" ref="X33">_xlfn.IFS(
W33&lt;= $AO$5, "1st Quintile (Lowest)",
W33&lt;= $AP$5, "2nd Quintile (Median)",
W33&lt;= $AQ$5, "3rd Quintile",
TRUE, "Above 3rd Quintile"
)</f>
        <v>Above 3rd Quintile</v>
      </c>
      <c r="Y33" s="149">
        <f>'VfM MSD Mastersheet'!$P39</f>
        <v>2.9575320693461555</v>
      </c>
      <c r="Z33" s="28" t="str">
        <f t="array" ref="Z33">_xlfn.IFS(
Y33&lt;= $AO$6, "1st Quintile (Lowest)",
Y33&lt;= $AP$6, "2nd Quintile (Median)",
Y33&lt;= $AQ$6, "3rd Quintile",
TRUE, "Above 3rd Quintile"
)</f>
        <v>1st Quintile (Lowest)</v>
      </c>
      <c r="AA33" s="46" t="s">
        <v>584</v>
      </c>
      <c r="AB33" s="46" t="str">
        <f t="array" ref="AB33">_xlfn.IFS(
    (X33="1st Quintile (Lowest)")+(Z33="Above 3rd Quintile"), "Group 1",
    ((X33="2nd Quintile (Median)")+(X33="3rd Quintile")+(Z33="2nd Quintile")+(Z33="3rd Quintile")), "Group 2",
    TRUE, "Group 3"
)</f>
        <v>Group 3</v>
      </c>
      <c r="AC33" t="str">
        <v>AVC-HVC</v>
      </c>
      <c r="AD33" t="str">
        <v>NU-TEC-FS</v>
      </c>
      <c r="AF33" t="str">
        <f t="array" ref="AF33">_xlfn.IFS(
    ((X33="1st Quintile (Lowest)")+(Z33="Above 3rd Quintile"))*(K33&gt;5), "Group 1 - Long",
    ((X33="1st Quintile (Lowest)")+(Z33="Above 3rd Quintile"))*(K33&lt;=5), "Group 1 - Short",
    ((X33="2nd Quintile (Median)")+(X33="3rd Quintile")+(Z33="2nd Quintile")+(Z33="3rd Quintile"))*(K33&gt;5), "Group 2 - Long",
    ((X33="2nd Quintile (Median)")+(X33="3rd Quintile")+(Z33="2nd Quintile")+(Z33="3rd Quintile"))*(K33&lt;=5), "Group 2 - Short",
    K33&gt;5, "Group 3 - Long",
    K33&lt;=5, "Group 3 - Short"
)</f>
        <v>Group 3 - Long</v>
      </c>
    </row>
    <row r="34" spans="1:33" ht="14.45" customHeight="1" x14ac:dyDescent="0.25">
      <c r="A34" t="s">
        <v>397</v>
      </c>
      <c r="B34" t="s">
        <v>397</v>
      </c>
      <c r="C34" t="s">
        <v>137</v>
      </c>
      <c r="G34" t="s">
        <v>200</v>
      </c>
      <c r="H34" t="e">
        <v>#VALUE!</v>
      </c>
      <c r="I34">
        <v>2014</v>
      </c>
      <c r="J34">
        <v>2021</v>
      </c>
      <c r="K34">
        <f t="shared" si="1"/>
        <v>7</v>
      </c>
      <c r="L34" t="s">
        <v>39</v>
      </c>
      <c r="M34" s="17" t="s">
        <v>594</v>
      </c>
      <c r="N34" s="32">
        <v>51.919783760864973</v>
      </c>
      <c r="O34" s="28"/>
      <c r="P34" s="28"/>
      <c r="Q34" s="28">
        <v>9.1880142857142869E-2</v>
      </c>
      <c r="R34" s="32"/>
      <c r="S34" s="32"/>
      <c r="T34" s="28">
        <v>0.69973034285714297</v>
      </c>
      <c r="U34" s="63" t="s">
        <v>42</v>
      </c>
      <c r="V34" s="17" t="s">
        <v>586</v>
      </c>
      <c r="W34" s="28">
        <f>'VfM MSD Mastersheet'!$O40</f>
        <v>-0.77115476131439187</v>
      </c>
      <c r="X34" s="28" t="str">
        <f t="array" ref="X34">_xlfn.IFS(
W34&lt;= $AO$5, "1st Quintile (Lowest)",
W34&lt;= $AP$5, "2nd Quintile (Median)",
W34&lt;= $AQ$5, "3rd Quintile",
TRUE, "Above 3rd Quintile"
)</f>
        <v>2nd Quintile (Median)</v>
      </c>
      <c r="Y34" s="13">
        <f>'VfM MSD Mastersheet'!$P40</f>
        <v>3.6394567493538004</v>
      </c>
      <c r="Z34" s="28" t="str">
        <f t="array" ref="Z34">_xlfn.IFS(
Y34&lt;= $AO$6, "1st Quintile (Lowest)",
Y34&lt;= $AP$6, "2nd Quintile (Median)",
Y34&lt;= $AQ$6, "3rd Quintile",
TRUE, "Above 3rd Quintile"
)</f>
        <v>1st Quintile (Lowest)</v>
      </c>
      <c r="AA34" s="46" t="s">
        <v>587</v>
      </c>
      <c r="AB34" s="46" t="str">
        <f t="array" ref="AB34">_xlfn.IFS(
    (X34="1st Quintile (Lowest)")+(Z34="Above 3rd Quintile"), "Group 1",
    ((X34="2nd Quintile (Median)")+(X34="3rd Quintile")+(Z34="2nd Quintile")+(Z34="3rd Quintile")), "Group 2",
    TRUE, "Group 3"
)</f>
        <v>Group 2</v>
      </c>
      <c r="AC34" t="str">
        <v>PDR</v>
      </c>
      <c r="AD34" t="str">
        <v>LEED-PH1&amp;2</v>
      </c>
      <c r="AF34" t="str">
        <f t="array" ref="AF34">_xlfn.IFS(
    ((X34="1st Quintile (Lowest)")+(Z34="Above 3rd Quintile"))*(K34&gt;5), "Group 1 - Long",
    ((X34="1st Quintile (Lowest)")+(Z34="Above 3rd Quintile"))*(K34&lt;=5), "Group 1 - Short",
    ((X34="2nd Quintile (Median)")+(X34="3rd Quintile")+(Z34="2nd Quintile")+(Z34="3rd Quintile"))*(K34&gt;5), "Group 2 - Long",
    ((X34="2nd Quintile (Median)")+(X34="3rd Quintile")+(Z34="2nd Quintile")+(Z34="3rd Quintile"))*(K34&lt;=5), "Group 2 - Short",
    K34&gt;5, "Group 3 - Long",
    K34&lt;=5, "Group 3 - Short"
)</f>
        <v>Group 2 - Long</v>
      </c>
      <c r="AG34" s="238" t="s">
        <v>310</v>
      </c>
    </row>
    <row r="35" spans="1:33" ht="14.45" customHeight="1" x14ac:dyDescent="0.25">
      <c r="A35" t="s">
        <v>198</v>
      </c>
      <c r="B35" t="s">
        <v>199</v>
      </c>
      <c r="C35" s="17" t="s">
        <v>137</v>
      </c>
      <c r="G35" t="s">
        <v>200</v>
      </c>
      <c r="H35" t="e">
        <v>#VALUE!</v>
      </c>
      <c r="I35">
        <v>2013</v>
      </c>
      <c r="J35">
        <v>2017</v>
      </c>
      <c r="K35">
        <f t="shared" si="1"/>
        <v>4</v>
      </c>
      <c r="L35" t="s">
        <v>201</v>
      </c>
      <c r="M35" t="s">
        <v>602</v>
      </c>
      <c r="N35" s="130">
        <v>96.491061571125272</v>
      </c>
      <c r="O35" s="13">
        <v>0.53168400000000005</v>
      </c>
      <c r="P35" s="13"/>
      <c r="Q35" s="13"/>
      <c r="R35" s="130"/>
      <c r="S35" s="130">
        <v>276.0084925690021</v>
      </c>
      <c r="T35" s="13">
        <v>0.34959453846153848</v>
      </c>
      <c r="U35" s="63" t="s">
        <v>49</v>
      </c>
      <c r="V35" s="17" t="s">
        <v>586</v>
      </c>
      <c r="W35" s="28">
        <f>'VfM MSD Mastersheet'!$O41</f>
        <v>-0.11831410974264159</v>
      </c>
      <c r="X35" s="28" t="str">
        <f t="array" ref="X35">_xlfn.IFS(
W35&lt;= $AO$5, "1st Quintile (Lowest)",
W35&lt;= $AP$5, "2nd Quintile (Median)",
W35&lt;= $AQ$5, "3rd Quintile",
TRUE, "Above 3rd Quintile"
)</f>
        <v>Above 3rd Quintile</v>
      </c>
      <c r="Y35" s="13">
        <f>'VfM MSD Mastersheet'!$P41</f>
        <v>9.1920892921510209</v>
      </c>
      <c r="Z35" s="28" t="str">
        <f t="array" ref="Z35">_xlfn.IFS(
Y35&lt;= $AO$6, "1st Quintile (Lowest)",
Y35&lt;= $AP$6, "2nd Quintile (Median)",
Y35&lt;= $AQ$6, "3rd Quintile",
TRUE, "Above 3rd Quintile"
)</f>
        <v>Above 3rd Quintile</v>
      </c>
      <c r="AA35" s="46" t="s">
        <v>587</v>
      </c>
      <c r="AB35" s="46" t="str">
        <f t="array" ref="AB35">_xlfn.IFS(
    (X35="1st Quintile (Lowest)")+(Z35="Above 3rd Quintile"), "Group 1",
    ((X35="2nd Quintile (Median)")+(X35="3rd Quintile")+(Z35="2nd Quintile")+(Z35="3rd Quintile")), "Group 2",
    TRUE, "Group 3"
)</f>
        <v>Group 1</v>
      </c>
      <c r="AC35" t="str">
        <v>MVMW</v>
      </c>
      <c r="AF35" t="str">
        <f t="array" ref="AF35">_xlfn.IFS(
    ((X35="1st Quintile (Lowest)")+(Z35="Above 3rd Quintile"))*(K35&gt;5), "Group 1 - Long",
    ((X35="1st Quintile (Lowest)")+(Z35="Above 3rd Quintile"))*(K35&lt;=5), "Group 1 - Short",
    ((X35="2nd Quintile (Median)")+(X35="3rd Quintile")+(Z35="2nd Quintile")+(Z35="3rd Quintile"))*(K35&gt;5), "Group 2 - Long",
    ((X35="2nd Quintile (Median)")+(X35="3rd Quintile")+(Z35="2nd Quintile")+(Z35="3rd Quintile"))*(K35&lt;=5), "Group 2 - Short",
    K35&gt;5, "Group 3 - Long",
    K35&lt;=5, "Group 3 - Short"
)</f>
        <v>Group 1 - Short</v>
      </c>
    </row>
    <row r="36" spans="1:33" ht="30" x14ac:dyDescent="0.25">
      <c r="A36" t="s">
        <v>215</v>
      </c>
      <c r="B36" t="s">
        <v>216</v>
      </c>
      <c r="C36" s="17" t="s">
        <v>216</v>
      </c>
      <c r="G36" t="s">
        <v>217</v>
      </c>
      <c r="H36" t="e">
        <v>#VALUE!</v>
      </c>
      <c r="I36">
        <v>2015</v>
      </c>
      <c r="J36">
        <v>2022</v>
      </c>
      <c r="K36">
        <f t="shared" si="1"/>
        <v>7</v>
      </c>
      <c r="L36" t="s">
        <v>39</v>
      </c>
      <c r="M36" t="s">
        <v>602</v>
      </c>
      <c r="N36" s="130"/>
      <c r="O36" s="13"/>
      <c r="P36" s="13"/>
      <c r="Q36" s="13"/>
      <c r="R36" s="130"/>
      <c r="S36" s="130">
        <v>493.11417462000708</v>
      </c>
      <c r="T36" s="13"/>
      <c r="U36" s="63" t="s">
        <v>49</v>
      </c>
      <c r="V36" s="17" t="s">
        <v>583</v>
      </c>
      <c r="W36" s="28">
        <f>'VfM MSD Mastersheet'!$O42</f>
        <v>0.18240995580951372</v>
      </c>
      <c r="X36" s="28" t="str">
        <f t="array" ref="X36">_xlfn.IFS(
W36&lt;= $AO$5, "1st Quintile (Lowest)",
W36&lt;= $AP$5, "2nd Quintile (Median)",
W36&lt;= $AQ$5, "3rd Quintile",
TRUE, "Above 3rd Quintile"
)</f>
        <v>Above 3rd Quintile</v>
      </c>
      <c r="Y36" s="13">
        <f>'VfM MSD Mastersheet'!$P42</f>
        <v>9.4727930050660962</v>
      </c>
      <c r="Z36" s="28" t="str">
        <f t="array" ref="Z36">_xlfn.IFS(
Y36&lt;= $AO$6, "1st Quintile (Lowest)",
Y36&lt;= $AP$6, "2nd Quintile (Median)",
Y36&lt;= $AQ$6, "3rd Quintile",
TRUE, "Above 3rd Quintile"
)</f>
        <v>Above 3rd Quintile</v>
      </c>
      <c r="AA36" s="46" t="s">
        <v>590</v>
      </c>
      <c r="AB36" s="46" t="str">
        <f t="array" ref="AB36">_xlfn.IFS(
    (X36="1st Quintile (Lowest)")+(Z36="Above 3rd Quintile"), "Group 1",
    ((X36="2nd Quintile (Median)")+(X36="3rd Quintile")+(Z36="2nd Quintile")+(Z36="3rd Quintile")), "Group 2",
    TRUE, "Group 3"
)</f>
        <v>Group 1</v>
      </c>
      <c r="AC36" t="str">
        <v>PROSPECT IV</v>
      </c>
      <c r="AF36" t="str">
        <f t="array" ref="AF36">_xlfn.IFS(
    ((X36="1st Quintile (Lowest)")+(Z36="Above 3rd Quintile"))*(K36&gt;5), "Group 1 - Long",
    ((X36="1st Quintile (Lowest)")+(Z36="Above 3rd Quintile"))*(K36&lt;=5), "Group 1 - Short",
    ((X36="2nd Quintile (Median)")+(X36="3rd Quintile")+(Z36="2nd Quintile")+(Z36="3rd Quintile"))*(K36&gt;5), "Group 2 - Long",
    ((X36="2nd Quintile (Median)")+(X36="3rd Quintile")+(Z36="2nd Quintile")+(Z36="3rd Quintile"))*(K36&lt;=5), "Group 2 - Short",
    K36&gt;5, "Group 3 - Long",
    K36&lt;=5, "Group 3 - Short"
)</f>
        <v>Group 1 - Long</v>
      </c>
    </row>
    <row r="37" spans="1:33" ht="30" x14ac:dyDescent="0.25">
      <c r="A37" t="s">
        <v>399</v>
      </c>
      <c r="B37" t="s">
        <v>399</v>
      </c>
      <c r="C37" s="17" t="s">
        <v>137</v>
      </c>
      <c r="G37" t="s">
        <v>138</v>
      </c>
      <c r="H37" t="e">
        <v>#VALUE!</v>
      </c>
      <c r="I37">
        <v>2012</v>
      </c>
      <c r="J37">
        <v>2021</v>
      </c>
      <c r="K37">
        <f t="shared" si="1"/>
        <v>9</v>
      </c>
      <c r="L37" t="s">
        <v>39</v>
      </c>
      <c r="M37" t="s">
        <v>594</v>
      </c>
      <c r="N37" s="32">
        <v>94.051340826613838</v>
      </c>
      <c r="O37" s="28">
        <v>1.426401761744966</v>
      </c>
      <c r="P37" s="28"/>
      <c r="Q37" s="28"/>
      <c r="R37" s="32"/>
      <c r="S37" s="32">
        <v>65.570665191416765</v>
      </c>
      <c r="T37" s="28">
        <v>1.434350872483221</v>
      </c>
      <c r="U37" s="63" t="s">
        <v>42</v>
      </c>
      <c r="V37" s="17" t="s">
        <v>583</v>
      </c>
      <c r="W37" s="28">
        <f>'VfM MSD Mastersheet'!$O43</f>
        <v>-0.31180437334946232</v>
      </c>
      <c r="X37" s="28" t="str">
        <f t="array" ref="X37">_xlfn.IFS(
W37&lt;= $AO$5, "1st Quintile (Lowest)",
W37&lt;= $AP$5, "2nd Quintile (Median)",
W37&lt;= $AQ$5, "3rd Quintile",
TRUE, "Above 3rd Quintile"
)</f>
        <v>Above 3rd Quintile</v>
      </c>
      <c r="Y37" s="13">
        <f>'VfM MSD Mastersheet'!$P43</f>
        <v>3.6135397465801344</v>
      </c>
      <c r="Z37" s="28" t="str">
        <f t="array" ref="Z37">_xlfn.IFS(
Y37&lt;= $AO$6, "1st Quintile (Lowest)",
Y37&lt;= $AP$6, "2nd Quintile (Median)",
Y37&lt;= $AQ$6, "3rd Quintile",
TRUE, "Above 3rd Quintile"
)</f>
        <v>1st Quintile (Lowest)</v>
      </c>
      <c r="AA37" s="46" t="s">
        <v>587</v>
      </c>
      <c r="AB37" s="46" t="str">
        <f t="array" ref="AB37">_xlfn.IFS(
    (X37="1st Quintile (Lowest)")+(Z37="Above 3rd Quintile"), "Group 1",
    ((X37="2nd Quintile (Median)")+(X37="3rd Quintile")+(Z37="2nd Quintile")+(Z37="3rd Quintile")), "Group 2",
    TRUE, "Group 3"
)</f>
        <v>Group 3</v>
      </c>
      <c r="AC37" t="str">
        <v>RAIN</v>
      </c>
      <c r="AF37" t="str">
        <f t="array" ref="AF37">_xlfn.IFS(
    ((X37="1st Quintile (Lowest)")+(Z37="Above 3rd Quintile"))*(K37&gt;5), "Group 1 - Long",
    ((X37="1st Quintile (Lowest)")+(Z37="Above 3rd Quintile"))*(K37&lt;=5), "Group 1 - Short",
    ((X37="2nd Quintile (Median)")+(X37="3rd Quintile")+(Z37="2nd Quintile")+(Z37="3rd Quintile"))*(K37&gt;5), "Group 2 - Long",
    ((X37="2nd Quintile (Median)")+(X37="3rd Quintile")+(Z37="2nd Quintile")+(Z37="3rd Quintile"))*(K37&lt;=5), "Group 2 - Short",
    K37&gt;5, "Group 3 - Long",
    K37&lt;=5, "Group 3 - Short"
)</f>
        <v>Group 3 - Long</v>
      </c>
    </row>
    <row r="38" spans="1:33" ht="14.45" customHeight="1" x14ac:dyDescent="0.25">
      <c r="A38" s="238" t="s">
        <v>244</v>
      </c>
      <c r="B38" s="238" t="s">
        <v>245</v>
      </c>
      <c r="C38" s="33" t="s">
        <v>104</v>
      </c>
      <c r="D38" s="238"/>
      <c r="E38" s="238"/>
      <c r="F38" s="238"/>
      <c r="G38" s="238" t="s">
        <v>74</v>
      </c>
      <c r="H38" s="238" t="s">
        <v>246</v>
      </c>
      <c r="I38" s="238">
        <v>2010</v>
      </c>
      <c r="J38" s="238">
        <v>2017</v>
      </c>
      <c r="K38" s="238">
        <f t="shared" si="1"/>
        <v>7</v>
      </c>
      <c r="L38" s="238" t="s">
        <v>247</v>
      </c>
      <c r="M38" s="238" t="s">
        <v>248</v>
      </c>
      <c r="N38" s="308"/>
      <c r="O38" s="112">
        <v>1.7777777777777779</v>
      </c>
      <c r="P38" s="112"/>
      <c r="Q38" s="112"/>
      <c r="R38" s="308"/>
      <c r="S38" s="308">
        <v>4951.8569463548829</v>
      </c>
      <c r="T38" s="112"/>
      <c r="U38" s="316" t="s">
        <v>49</v>
      </c>
      <c r="V38" s="238" t="s">
        <v>597</v>
      </c>
      <c r="W38" s="28">
        <f>'VfM MSD Mastersheet'!$O44</f>
        <v>7.7853234857320819E-2</v>
      </c>
      <c r="X38" s="28" t="str">
        <f t="array" ref="X38">_xlfn.IFS(
W38&lt;= $AO$5, "1st Quintile (Lowest)",
W38&lt;= $AP$5, "2nd Quintile (Median)",
W38&lt;= $AQ$5, "3rd Quintile",
TRUE, "Above 3rd Quintile"
)</f>
        <v>Above 3rd Quintile</v>
      </c>
      <c r="Y38" s="13">
        <f>'VfM MSD Mastersheet'!$P44</f>
        <v>8.6759962553477372</v>
      </c>
      <c r="Z38" s="28" t="str">
        <f t="array" ref="Z38">_xlfn.IFS(
Y38&lt;= $AO$6, "1st Quintile (Lowest)",
Y38&lt;= $AP$6, "2nd Quintile (Median)",
Y38&lt;= $AQ$6, "3rd Quintile",
TRUE, "Above 3rd Quintile"
)</f>
        <v>Above 3rd Quintile</v>
      </c>
      <c r="AA38" s="46" t="s">
        <v>584</v>
      </c>
      <c r="AB38" s="46" t="str">
        <f t="array" ref="AB38">_xlfn.IFS(
    (X38="1st Quintile (Lowest)")+(Z38="Above 3rd Quintile"), "Group 1",
    ((X38="2nd Quintile (Median)")+(X38="3rd Quintile")+(Z38="2nd Quintile")+(Z38="3rd Quintile")), "Group 2",
    TRUE, "Group 3"
)</f>
        <v>Group 1</v>
      </c>
      <c r="AC38" t="str">
        <v>EMPODDERA</v>
      </c>
      <c r="AF38" t="str">
        <f t="array" ref="AF38">_xlfn.IFS(
    ((X38="1st Quintile (Lowest)")+(Z38="Above 3rd Quintile"))*(K38&gt;5), "Group 1 - Long",
    ((X38="1st Quintile (Lowest)")+(Z38="Above 3rd Quintile"))*(K38&lt;=5), "Group 1 - Short",
    ((X38="2nd Quintile (Median)")+(X38="3rd Quintile")+(Z38="2nd Quintile")+(Z38="3rd Quintile"))*(K38&gt;5), "Group 2 - Long",
    ((X38="2nd Quintile (Median)")+(X38="3rd Quintile")+(Z38="2nd Quintile")+(Z38="3rd Quintile"))*(K38&lt;=5), "Group 2 - Short",
    K38&gt;5, "Group 3 - Long",
    K38&lt;=5, "Group 3 - Short"
)</f>
        <v>Group 1 - Long</v>
      </c>
    </row>
    <row r="39" spans="1:33" ht="14.45" customHeight="1" x14ac:dyDescent="0.25">
      <c r="A39" t="s">
        <v>184</v>
      </c>
      <c r="B39" t="s">
        <v>185</v>
      </c>
      <c r="C39" s="17" t="s">
        <v>104</v>
      </c>
      <c r="G39" t="s">
        <v>74</v>
      </c>
      <c r="H39" t="e">
        <v>#VALUE!</v>
      </c>
      <c r="I39">
        <v>2012</v>
      </c>
      <c r="J39">
        <v>2020</v>
      </c>
      <c r="K39">
        <f t="shared" si="1"/>
        <v>8</v>
      </c>
      <c r="L39" t="s">
        <v>39</v>
      </c>
      <c r="M39" t="s">
        <v>602</v>
      </c>
      <c r="N39" s="130">
        <v>208.85773458658599</v>
      </c>
      <c r="O39" s="13"/>
      <c r="P39" s="13"/>
      <c r="Q39" s="13"/>
      <c r="R39" s="130"/>
      <c r="S39" s="130">
        <v>1832.085391110403</v>
      </c>
      <c r="T39" s="13">
        <v>0.114</v>
      </c>
      <c r="U39" s="63" t="s">
        <v>42</v>
      </c>
      <c r="V39" s="17" t="s">
        <v>586</v>
      </c>
      <c r="W39" s="28">
        <f>'VfM MSD Mastersheet'!$O45</f>
        <v>-1.1245846748352053</v>
      </c>
      <c r="X39" s="28" t="str">
        <f t="array" ref="X39">_xlfn.IFS(
W39&lt;= $AO$5, "1st Quintile (Lowest)",
W39&lt;= $AP$5, "2nd Quintile (Median)",
W39&lt;= $AQ$5, "3rd Quintile",
TRUE, "Above 3rd Quintile"
)</f>
        <v>2nd Quintile (Median)</v>
      </c>
      <c r="Y39" s="13">
        <f>'VfM MSD Mastersheet'!$P45</f>
        <v>6.2484323415190781</v>
      </c>
      <c r="Z39" s="28" t="str">
        <f t="array" ref="Z39">_xlfn.IFS(
Y39&lt;= $AO$6, "1st Quintile (Lowest)",
Y39&lt;= $AP$6, "2nd Quintile (Median)",
Y39&lt;= $AQ$6, "3rd Quintile",
TRUE, "Above 3rd Quintile"
)</f>
        <v>2nd Quintile (Median)</v>
      </c>
      <c r="AA39" s="46" t="s">
        <v>590</v>
      </c>
      <c r="AB39" s="46" t="str">
        <f t="array" ref="AB39">_xlfn.IFS(
    (X39="1st Quintile (Lowest)")+(Z39="Above 3rd Quintile"), "Group 1",
    ((X39="2nd Quintile (Median)")+(X39="3rd Quintile")+(Z39="2nd Quintile")+(Z39="3rd Quintile")), "Group 2",
    TRUE, "Group 3"
)</f>
        <v>Group 2</v>
      </c>
      <c r="AC39" t="str">
        <v>GRAISEA-PH2</v>
      </c>
      <c r="AF39" t="str">
        <f t="array" ref="AF39">_xlfn.IFS(
    ((X39="1st Quintile (Lowest)")+(Z39="Above 3rd Quintile"))*(K39&gt;5), "Group 1 - Long",
    ((X39="1st Quintile (Lowest)")+(Z39="Above 3rd Quintile"))*(K39&lt;=5), "Group 1 - Short",
    ((X39="2nd Quintile (Median)")+(X39="3rd Quintile")+(Z39="2nd Quintile")+(Z39="3rd Quintile"))*(K39&gt;5), "Group 2 - Long",
    ((X39="2nd Quintile (Median)")+(X39="3rd Quintile")+(Z39="2nd Quintile")+(Z39="3rd Quintile"))*(K39&lt;=5), "Group 2 - Short",
    K39&gt;5, "Group 3 - Long",
    K39&lt;=5, "Group 3 - Short"
)</f>
        <v>Group 2 - Long</v>
      </c>
    </row>
    <row r="40" spans="1:33" ht="14.45" customHeight="1" x14ac:dyDescent="0.25">
      <c r="A40" t="s">
        <v>55</v>
      </c>
      <c r="B40" t="s">
        <v>56</v>
      </c>
      <c r="C40" s="17" t="s">
        <v>57</v>
      </c>
      <c r="G40" t="s">
        <v>58</v>
      </c>
      <c r="H40" t="s">
        <v>59</v>
      </c>
      <c r="I40">
        <v>2014</v>
      </c>
      <c r="J40">
        <v>2017</v>
      </c>
      <c r="K40">
        <f t="shared" si="1"/>
        <v>3</v>
      </c>
      <c r="L40" t="s">
        <v>39</v>
      </c>
      <c r="M40" t="s">
        <v>602</v>
      </c>
      <c r="N40" s="130">
        <v>13.5</v>
      </c>
      <c r="O40" s="13"/>
      <c r="P40" s="13"/>
      <c r="Q40" s="13"/>
      <c r="R40" s="130"/>
      <c r="S40" s="130">
        <v>1286.903860711582</v>
      </c>
      <c r="T40" s="13">
        <v>1.0490294117647059E-2</v>
      </c>
      <c r="U40" s="63" t="s">
        <v>49</v>
      </c>
      <c r="V40" t="s">
        <v>597</v>
      </c>
      <c r="W40" s="28">
        <f>'VfM MSD Mastersheet'!$O46</f>
        <v>-0.67747198417782784</v>
      </c>
      <c r="X40" s="28" t="str">
        <f t="array" ref="X40">_xlfn.IFS(
W40&lt;= $AO$5, "1st Quintile (Lowest)",
W40&lt;= $AP$5, "2nd Quintile (Median)",
W40&lt;= $AQ$5, "3rd Quintile",
TRUE, "Above 3rd Quintile"
)</f>
        <v>2nd Quintile (Median)</v>
      </c>
      <c r="Y40" s="13">
        <f>'VfM MSD Mastersheet'!$P46</f>
        <v>5.4825869586466647</v>
      </c>
      <c r="Z40" s="28" t="str">
        <f t="array" ref="Z40">_xlfn.IFS(
Y40&lt;= $AO$6, "1st Quintile (Lowest)",
Y40&lt;= $AP$6, "2nd Quintile (Median)",
Y40&lt;= $AQ$6, "3rd Quintile",
TRUE, "Above 3rd Quintile"
)</f>
        <v>2nd Quintile (Median)</v>
      </c>
      <c r="AA40" s="46" t="s">
        <v>584</v>
      </c>
      <c r="AB40" s="46" t="str">
        <f t="array" ref="AB40">_xlfn.IFS(
    (X40="1st Quintile (Lowest)")+(Z40="Above 3rd Quintile"), "Group 1",
    ((X40="2nd Quintile (Median)")+(X40="3rd Quintile")+(Z40="2nd Quintile")+(Z40="3rd Quintile")), "Group 2",
    TRUE, "Group 3"
)</f>
        <v>Group 2</v>
      </c>
      <c r="AC40" t="str">
        <v>AIMS</v>
      </c>
      <c r="AF40" t="str">
        <f t="array" ref="AF40">_xlfn.IFS(
    ((X40="1st Quintile (Lowest)")+(Z40="Above 3rd Quintile"))*(K40&gt;5), "Group 1 - Long",
    ((X40="1st Quintile (Lowest)")+(Z40="Above 3rd Quintile"))*(K40&lt;=5), "Group 1 - Short",
    ((X40="2nd Quintile (Median)")+(X40="3rd Quintile")+(Z40="2nd Quintile")+(Z40="3rd Quintile"))*(K40&gt;5), "Group 2 - Long",
    ((X40="2nd Quintile (Median)")+(X40="3rd Quintile")+(Z40="2nd Quintile")+(Z40="3rd Quintile"))*(K40&lt;=5), "Group 2 - Short",
    K40&gt;5, "Group 3 - Long",
    K40&lt;=5, "Group 3 - Short"
)</f>
        <v>Group 2 - Short</v>
      </c>
    </row>
    <row r="41" spans="1:33" ht="14.45" customHeight="1" x14ac:dyDescent="0.25">
      <c r="A41" t="s">
        <v>162</v>
      </c>
      <c r="B41" t="s">
        <v>163</v>
      </c>
      <c r="C41" s="17" t="s">
        <v>609</v>
      </c>
      <c r="G41" t="s">
        <v>164</v>
      </c>
      <c r="H41" t="e">
        <v>#VALUE!</v>
      </c>
      <c r="I41">
        <v>2013</v>
      </c>
      <c r="J41">
        <v>2019</v>
      </c>
      <c r="K41">
        <f t="shared" si="1"/>
        <v>6</v>
      </c>
      <c r="L41" t="s">
        <v>39</v>
      </c>
      <c r="M41" t="s">
        <v>602</v>
      </c>
      <c r="N41" s="130"/>
      <c r="O41" s="13">
        <v>4.878048780487805E-2</v>
      </c>
      <c r="P41" s="13"/>
      <c r="Q41" s="13"/>
      <c r="R41" s="130"/>
      <c r="S41" s="130">
        <v>753.81503952932519</v>
      </c>
      <c r="T41" s="13"/>
      <c r="U41" s="63" t="s">
        <v>49</v>
      </c>
      <c r="V41" s="17" t="s">
        <v>583</v>
      </c>
      <c r="W41" s="28">
        <f>'VfM MSD Mastersheet'!$O47</f>
        <v>-0.38766857453932363</v>
      </c>
      <c r="X41" s="28" t="str">
        <f t="array" ref="X41">_xlfn.IFS(
W41&lt;= $AO$5, "1st Quintile (Lowest)",
W41&lt;= $AP$5, "2nd Quintile (Median)",
W41&lt;= $AQ$5, "3rd Quintile",
TRUE, "Above 3rd Quintile"
)</f>
        <v>Above 3rd Quintile</v>
      </c>
      <c r="Y41" s="13">
        <f>'VfM MSD Mastersheet'!$P47</f>
        <v>1.8574519644443452</v>
      </c>
      <c r="Z41" s="28" t="str">
        <f t="array" ref="Z41">_xlfn.IFS(
Y41&lt;= $AO$6, "1st Quintile (Lowest)",
Y41&lt;= $AP$6, "2nd Quintile (Median)",
Y41&lt;= $AQ$6, "3rd Quintile",
TRUE, "Above 3rd Quintile"
)</f>
        <v>1st Quintile (Lowest)</v>
      </c>
      <c r="AA41" s="46" t="s">
        <v>587</v>
      </c>
      <c r="AB41" s="46" t="str">
        <f t="array" ref="AB41">_xlfn.IFS(
    (X41="1st Quintile (Lowest)")+(Z41="Above 3rd Quintile"), "Group 1",
    ((X41="2nd Quintile (Median)")+(X41="3rd Quintile")+(Z41="2nd Quintile")+(Z41="3rd Quintile")), "Group 2",
    TRUE, "Group 3"
)</f>
        <v>Group 3</v>
      </c>
      <c r="AC41" t="str">
        <v>BOZOUR</v>
      </c>
      <c r="AF41" t="str">
        <f t="array" ref="AF41">_xlfn.IFS(
    ((X41="1st Quintile (Lowest)")+(Z41="Above 3rd Quintile"))*(K41&gt;5), "Group 1 - Long",
    ((X41="1st Quintile (Lowest)")+(Z41="Above 3rd Quintile"))*(K41&lt;=5), "Group 1 - Short",
    ((X41="2nd Quintile (Median)")+(X41="3rd Quintile")+(Z41="2nd Quintile")+(Z41="3rd Quintile"))*(K41&gt;5), "Group 2 - Long",
    ((X41="2nd Quintile (Median)")+(X41="3rd Quintile")+(Z41="2nd Quintile")+(Z41="3rd Quintile"))*(K41&lt;=5), "Group 2 - Short",
    K41&gt;5, "Group 3 - Long",
    K41&lt;=5, "Group 3 - Short"
)</f>
        <v>Group 3 - Long</v>
      </c>
    </row>
    <row r="42" spans="1:33" ht="14.45" customHeight="1" x14ac:dyDescent="0.25">
      <c r="A42" t="s">
        <v>117</v>
      </c>
      <c r="B42" t="s">
        <v>118</v>
      </c>
      <c r="C42" s="17" t="s">
        <v>104</v>
      </c>
      <c r="G42" t="s">
        <v>119</v>
      </c>
      <c r="H42" t="e">
        <v>#VALUE!</v>
      </c>
      <c r="I42">
        <v>2011</v>
      </c>
      <c r="J42">
        <v>2018</v>
      </c>
      <c r="K42">
        <f t="shared" si="1"/>
        <v>7</v>
      </c>
      <c r="L42" t="s">
        <v>39</v>
      </c>
      <c r="M42" t="s">
        <v>602</v>
      </c>
      <c r="N42" s="130">
        <v>93.054412500000012</v>
      </c>
      <c r="O42" s="13"/>
      <c r="P42" s="13"/>
      <c r="Q42" s="13"/>
      <c r="R42" s="130"/>
      <c r="S42" s="130">
        <v>5854.5797922568463</v>
      </c>
      <c r="T42" s="13">
        <v>3.0017552419354838E-2</v>
      </c>
      <c r="U42" s="63" t="s">
        <v>49</v>
      </c>
      <c r="V42" s="17" t="s">
        <v>589</v>
      </c>
      <c r="W42" s="28">
        <f>'VfM MSD Mastersheet'!$O48</f>
        <v>8.1836365784208026E-2</v>
      </c>
      <c r="X42" s="28" t="str">
        <f t="array" ref="X42">_xlfn.IFS(
W42&lt;= $AO$5, "1st Quintile (Lowest)",
W42&lt;= $AP$5, "2nd Quintile (Median)",
W42&lt;= $AQ$5, "3rd Quintile",
TRUE, "Above 3rd Quintile"
)</f>
        <v>Above 3rd Quintile</v>
      </c>
      <c r="Y42" s="13">
        <f>'VfM MSD Mastersheet'!$P48</f>
        <v>8.32907916161823</v>
      </c>
      <c r="Z42" s="28" t="str">
        <f t="array" ref="Z42">_xlfn.IFS(
Y42&lt;= $AO$6, "1st Quintile (Lowest)",
Y42&lt;= $AP$6, "2nd Quintile (Median)",
Y42&lt;= $AQ$6, "3rd Quintile",
TRUE, "Above 3rd Quintile"
)</f>
        <v>Above 3rd Quintile</v>
      </c>
      <c r="AA42" s="46" t="s">
        <v>584</v>
      </c>
      <c r="AB42" s="46" t="str">
        <f t="array" ref="AB42">_xlfn.IFS(
    (X42="1st Quintile (Lowest)")+(Z42="Above 3rd Quintile"), "Group 1",
    ((X42="2nd Quintile (Median)")+(X42="3rd Quintile")+(Z42="2nd Quintile")+(Z42="3rd Quintile")), "Group 2",
    TRUE, "Group 3"
)</f>
        <v>Group 1</v>
      </c>
      <c r="AC42" t="e">
        <v>#N/A</v>
      </c>
      <c r="AF42" t="str">
        <f t="array" ref="AF42">_xlfn.IFS(
    ((X42="1st Quintile (Lowest)")+(Z42="Above 3rd Quintile"))*(K42&gt;5), "Group 1 - Long",
    ((X42="1st Quintile (Lowest)")+(Z42="Above 3rd Quintile"))*(K42&lt;=5), "Group 1 - Short",
    ((X42="2nd Quintile (Median)")+(X42="3rd Quintile")+(Z42="2nd Quintile")+(Z42="3rd Quintile"))*(K42&gt;5), "Group 2 - Long",
    ((X42="2nd Quintile (Median)")+(X42="3rd Quintile")+(Z42="2nd Quintile")+(Z42="3rd Quintile"))*(K42&lt;=5), "Group 2 - Short",
    K42&gt;5, "Group 3 - Long",
    K42&lt;=5, "Group 3 - Short"
)</f>
        <v>Group 1 - Long</v>
      </c>
    </row>
    <row r="43" spans="1:33" ht="14.45" customHeight="1" x14ac:dyDescent="0.25">
      <c r="A43" t="s">
        <v>341</v>
      </c>
      <c r="B43" t="s">
        <v>342</v>
      </c>
      <c r="C43" t="s">
        <v>171</v>
      </c>
      <c r="G43" t="s">
        <v>230</v>
      </c>
      <c r="H43" t="e">
        <v>#VALUE!</v>
      </c>
      <c r="I43">
        <v>2013</v>
      </c>
      <c r="J43">
        <v>2019</v>
      </c>
      <c r="K43">
        <f t="shared" si="1"/>
        <v>6</v>
      </c>
      <c r="L43" t="s">
        <v>39</v>
      </c>
      <c r="M43" s="17" t="s">
        <v>594</v>
      </c>
      <c r="N43" s="32">
        <v>87.461244316931172</v>
      </c>
      <c r="O43" s="28">
        <v>0.56052631578947365</v>
      </c>
      <c r="P43" s="28">
        <v>3.4210526315789469</v>
      </c>
      <c r="Q43" s="28"/>
      <c r="R43" s="32">
        <v>306.28145653848219</v>
      </c>
      <c r="S43" s="32"/>
      <c r="T43" s="28">
        <v>0.78617684990253411</v>
      </c>
      <c r="U43" s="63" t="s">
        <v>49</v>
      </c>
      <c r="V43" s="17" t="s">
        <v>583</v>
      </c>
      <c r="W43" s="28">
        <f>'VfM MSD Mastersheet'!$O49</f>
        <v>-0.73671676218509685</v>
      </c>
      <c r="X43" s="28" t="str">
        <f t="array" ref="X43">_xlfn.IFS(
W43&lt;= $AO$5, "1st Quintile (Lowest)",
W43&lt;= $AP$5, "2nd Quintile (Median)",
W43&lt;= $AQ$5, "3rd Quintile",
TRUE, "Above 3rd Quintile"
)</f>
        <v>2nd Quintile (Median)</v>
      </c>
      <c r="Y43" s="13">
        <f>'VfM MSD Mastersheet'!$P49</f>
        <v>6.11535740701283</v>
      </c>
      <c r="Z43" s="28" t="str">
        <f t="array" ref="Z43">_xlfn.IFS(
Y43&lt;= $AO$6, "1st Quintile (Lowest)",
Y43&lt;= $AP$6, "2nd Quintile (Median)",
Y43&lt;= $AQ$6, "3rd Quintile",
TRUE, "Above 3rd Quintile"
)</f>
        <v>2nd Quintile (Median)</v>
      </c>
      <c r="AA43" s="46" t="s">
        <v>590</v>
      </c>
      <c r="AB43" s="46" t="str">
        <f t="array" ref="AB43">_xlfn.IFS(
    (X43="1st Quintile (Lowest)")+(Z43="Above 3rd Quintile"), "Group 1",
    ((X43="2nd Quintile (Median)")+(X43="3rd Quintile")+(Z43="2nd Quintile")+(Z43="3rd Quintile")), "Group 2",
    TRUE, "Group 3"
)</f>
        <v>Group 2</v>
      </c>
      <c r="AF43" t="str">
        <f t="array" ref="AF43">_xlfn.IFS(
    ((X43="1st Quintile (Lowest)")+(Z43="Above 3rd Quintile"))*(K43&gt;5), "Group 1 - Long",
    ((X43="1st Quintile (Lowest)")+(Z43="Above 3rd Quintile"))*(K43&lt;=5), "Group 1 - Short",
    ((X43="2nd Quintile (Median)")+(X43="3rd Quintile")+(Z43="2nd Quintile")+(Z43="3rd Quintile"))*(K43&gt;5), "Group 2 - Long",
    ((X43="2nd Quintile (Median)")+(X43="3rd Quintile")+(Z43="2nd Quintile")+(Z43="3rd Quintile"))*(K43&lt;=5), "Group 2 - Short",
    K43&gt;5, "Group 3 - Long",
    K43&lt;=5, "Group 3 - Short"
)</f>
        <v>Group 2 - Long</v>
      </c>
    </row>
    <row r="44" spans="1:33" ht="14.45" customHeight="1" x14ac:dyDescent="0.25">
      <c r="A44" t="s">
        <v>159</v>
      </c>
      <c r="B44" t="s">
        <v>159</v>
      </c>
      <c r="C44" s="17" t="s">
        <v>104</v>
      </c>
      <c r="G44" t="s">
        <v>160</v>
      </c>
      <c r="H44" t="e">
        <v>#VALUE!</v>
      </c>
      <c r="I44">
        <v>2014</v>
      </c>
      <c r="J44">
        <v>2017</v>
      </c>
      <c r="K44">
        <f t="shared" si="1"/>
        <v>3</v>
      </c>
      <c r="L44" t="s">
        <v>39</v>
      </c>
      <c r="M44" t="s">
        <v>602</v>
      </c>
      <c r="N44" s="130">
        <v>96.060311284046691</v>
      </c>
      <c r="O44" s="13"/>
      <c r="P44" s="13"/>
      <c r="Q44" s="13"/>
      <c r="R44" s="130"/>
      <c r="S44" s="130">
        <v>464.70588235294122</v>
      </c>
      <c r="T44" s="13">
        <v>2.57</v>
      </c>
      <c r="U44" s="63" t="s">
        <v>49</v>
      </c>
      <c r="V44" s="17" t="s">
        <v>583</v>
      </c>
      <c r="W44" s="28">
        <f>'VfM MSD Mastersheet'!$O50</f>
        <v>-0.97695460915565491</v>
      </c>
      <c r="X44" s="28" t="str">
        <f t="array" ref="X44">_xlfn.IFS(
W44&lt;= $AO$5, "1st Quintile (Lowest)",
W44&lt;= $AP$5, "2nd Quintile (Median)",
W44&lt;= $AQ$5, "3rd Quintile",
TRUE, "Above 3rd Quintile"
)</f>
        <v>2nd Quintile (Median)</v>
      </c>
      <c r="Y44" s="13">
        <f>'VfM MSD Mastersheet'!$P50</f>
        <v>7.8565869482198369</v>
      </c>
      <c r="Z44" s="28" t="str">
        <f t="array" ref="Z44">_xlfn.IFS(
Y44&lt;= $AO$6, "1st Quintile (Lowest)",
Y44&lt;= $AP$6, "2nd Quintile (Median)",
Y44&lt;= $AQ$6, "3rd Quintile",
TRUE, "Above 3rd Quintile"
)</f>
        <v>Above 3rd Quintile</v>
      </c>
      <c r="AA44" s="46" t="s">
        <v>584</v>
      </c>
      <c r="AB44" s="46" t="str">
        <f t="array" ref="AB44">_xlfn.IFS(
    (X44="1st Quintile (Lowest)")+(Z44="Above 3rd Quintile"), "Group 1",
    ((X44="2nd Quintile (Median)")+(X44="3rd Quintile")+(Z44="2nd Quintile")+(Z44="3rd Quintile")), "Group 2",
    TRUE, "Group 3"
)</f>
        <v>Group 1</v>
      </c>
      <c r="AF44" t="str">
        <f t="array" ref="AF44">_xlfn.IFS(
    ((X44="1st Quintile (Lowest)")+(Z44="Above 3rd Quintile"))*(K44&gt;5), "Group 1 - Long",
    ((X44="1st Quintile (Lowest)")+(Z44="Above 3rd Quintile"))*(K44&lt;=5), "Group 1 - Short",
    ((X44="2nd Quintile (Median)")+(X44="3rd Quintile")+(Z44="2nd Quintile")+(Z44="3rd Quintile"))*(K44&gt;5), "Group 2 - Long",
    ((X44="2nd Quintile (Median)")+(X44="3rd Quintile")+(Z44="2nd Quintile")+(Z44="3rd Quintile"))*(K44&lt;=5), "Group 2 - Short",
    K44&gt;5, "Group 3 - Long",
    K44&lt;=5, "Group 3 - Short"
)</f>
        <v>Group 1 - Short</v>
      </c>
    </row>
    <row r="45" spans="1:33" ht="14.45" customHeight="1" x14ac:dyDescent="0.25">
      <c r="A45" t="s">
        <v>315</v>
      </c>
      <c r="B45" t="s">
        <v>316</v>
      </c>
      <c r="C45" s="17" t="s">
        <v>137</v>
      </c>
      <c r="D45" t="s">
        <v>610</v>
      </c>
      <c r="E45" t="s">
        <v>318</v>
      </c>
      <c r="G45" t="s">
        <v>319</v>
      </c>
      <c r="H45" t="e">
        <v>#VALUE!</v>
      </c>
      <c r="I45">
        <v>2012</v>
      </c>
      <c r="J45">
        <v>2015</v>
      </c>
      <c r="K45">
        <f t="shared" si="1"/>
        <v>3</v>
      </c>
      <c r="L45" t="s">
        <v>39</v>
      </c>
      <c r="M45" t="s">
        <v>611</v>
      </c>
      <c r="N45" s="130">
        <v>188.1985</v>
      </c>
      <c r="O45" s="13">
        <v>0.52716666666666656</v>
      </c>
      <c r="P45" s="13"/>
      <c r="Q45" s="13"/>
      <c r="R45" s="130">
        <v>447.76119402985069</v>
      </c>
      <c r="S45" s="130">
        <v>254237.2881355932</v>
      </c>
      <c r="T45" s="13">
        <v>1.0677128233333331</v>
      </c>
      <c r="U45" s="63" t="s">
        <v>49</v>
      </c>
      <c r="V45" s="17" t="s">
        <v>583</v>
      </c>
      <c r="W45" s="28">
        <f>'VfM MSD Mastersheet'!$O51</f>
        <v>-0.46847647625587097</v>
      </c>
      <c r="X45" s="28" t="str">
        <f t="array" ref="X45">_xlfn.IFS(
W45&lt;= $AO$5, "1st Quintile (Lowest)",
W45&lt;= $AP$5, "2nd Quintile (Median)",
W45&lt;= $AQ$5, "3rd Quintile",
TRUE, "Above 3rd Quintile"
)</f>
        <v>3rd Quintile</v>
      </c>
      <c r="Y45" s="13">
        <f>'VfM MSD Mastersheet'!$P51</f>
        <v>4.200131286015746</v>
      </c>
      <c r="Z45" s="28" t="str">
        <f t="array" ref="Z45">_xlfn.IFS(
Y45&lt;= $AO$6, "1st Quintile (Lowest)",
Y45&lt;= $AP$6, "2nd Quintile (Median)",
Y45&lt;= $AQ$6, "3rd Quintile",
TRUE, "Above 3rd Quintile"
)</f>
        <v>1st Quintile (Lowest)</v>
      </c>
      <c r="AA45" s="46" t="s">
        <v>587</v>
      </c>
      <c r="AB45" s="46" t="str">
        <f t="array" ref="AB45">_xlfn.IFS(
    (X45="1st Quintile (Lowest)")+(Z45="Above 3rd Quintile"), "Group 1",
    ((X45="2nd Quintile (Median)")+(X45="3rd Quintile")+(Z45="2nd Quintile")+(Z45="3rd Quintile")), "Group 2",
    TRUE, "Group 3"
)</f>
        <v>Group 2</v>
      </c>
      <c r="AF45" t="str">
        <f t="array" ref="AF45">_xlfn.IFS(
    ((X45="1st Quintile (Lowest)")+(Z45="Above 3rd Quintile"))*(K45&gt;5), "Group 1 - Long",
    ((X45="1st Quintile (Lowest)")+(Z45="Above 3rd Quintile"))*(K45&lt;=5), "Group 1 - Short",
    ((X45="2nd Quintile (Median)")+(X45="3rd Quintile")+(Z45="2nd Quintile")+(Z45="3rd Quintile"))*(K45&gt;5), "Group 2 - Long",
    ((X45="2nd Quintile (Median)")+(X45="3rd Quintile")+(Z45="2nd Quintile")+(Z45="3rd Quintile"))*(K45&lt;=5), "Group 2 - Short",
    K45&gt;5, "Group 3 - Long",
    K45&lt;=5, "Group 3 - Short"
)</f>
        <v>Group 2 - Short</v>
      </c>
    </row>
    <row r="46" spans="1:33" ht="14.45" customHeight="1" x14ac:dyDescent="0.25">
      <c r="A46" t="s">
        <v>203</v>
      </c>
      <c r="B46" t="s">
        <v>204</v>
      </c>
      <c r="C46" s="17" t="s">
        <v>205</v>
      </c>
      <c r="G46" t="s">
        <v>38</v>
      </c>
      <c r="H46" t="e">
        <v>#VALUE!</v>
      </c>
      <c r="I46">
        <v>2013</v>
      </c>
      <c r="J46">
        <v>2018</v>
      </c>
      <c r="K46">
        <f t="shared" si="1"/>
        <v>5</v>
      </c>
      <c r="L46" t="s">
        <v>39</v>
      </c>
      <c r="M46" t="s">
        <v>611</v>
      </c>
      <c r="N46" s="130"/>
      <c r="O46" s="13"/>
      <c r="P46" s="13"/>
      <c r="Q46" s="13"/>
      <c r="R46" s="130">
        <v>4583.333333333333</v>
      </c>
      <c r="S46" s="130">
        <v>4551.7241379310344</v>
      </c>
      <c r="T46" s="13"/>
      <c r="U46" s="63" t="s">
        <v>49</v>
      </c>
      <c r="V46" s="17" t="s">
        <v>583</v>
      </c>
      <c r="W46" s="28">
        <f>'VfM MSD Mastersheet'!$O52</f>
        <v>-0.10658958554267906</v>
      </c>
      <c r="X46" s="28" t="str">
        <f t="array" ref="X46">_xlfn.IFS(
W46&lt;= $AO$5, "1st Quintile (Lowest)",
W46&lt;= $AP$5, "2nd Quintile (Median)",
W46&lt;= $AQ$5, "3rd Quintile",
TRUE, "Above 3rd Quintile"
)</f>
        <v>Above 3rd Quintile</v>
      </c>
      <c r="Y46" s="13">
        <f>'VfM MSD Mastersheet'!$P52</f>
        <v>9.6746486128739697</v>
      </c>
      <c r="Z46" s="28" t="str">
        <f t="array" ref="Z46">_xlfn.IFS(
Y46&lt;= $AO$6, "1st Quintile (Lowest)",
Y46&lt;= $AP$6, "2nd Quintile (Median)",
Y46&lt;= $AQ$6, "3rd Quintile",
TRUE, "Above 3rd Quintile"
)</f>
        <v>Above 3rd Quintile</v>
      </c>
      <c r="AA46" s="46" t="s">
        <v>587</v>
      </c>
      <c r="AB46" s="46" t="str">
        <f t="array" ref="AB46">_xlfn.IFS(
    (X46="1st Quintile (Lowest)")+(Z46="Above 3rd Quintile"), "Group 1",
    ((X46="2nd Quintile (Median)")+(X46="3rd Quintile")+(Z46="2nd Quintile")+(Z46="3rd Quintile")), "Group 2",
    TRUE, "Group 3"
)</f>
        <v>Group 1</v>
      </c>
      <c r="AF46" t="str">
        <f t="array" ref="AF46">_xlfn.IFS(
    ((X46="1st Quintile (Lowest)")+(Z46="Above 3rd Quintile"))*(K46&gt;5), "Group 1 - Long",
    ((X46="1st Quintile (Lowest)")+(Z46="Above 3rd Quintile"))*(K46&lt;=5), "Group 1 - Short",
    ((X46="2nd Quintile (Median)")+(X46="3rd Quintile")+(Z46="2nd Quintile")+(Z46="3rd Quintile"))*(K46&gt;5), "Group 2 - Long",
    ((X46="2nd Quintile (Median)")+(X46="3rd Quintile")+(Z46="2nd Quintile")+(Z46="3rd Quintile"))*(K46&lt;=5), "Group 2 - Short",
    K46&gt;5, "Group 3 - Long",
    K46&lt;=5, "Group 3 - Short"
)</f>
        <v>Group 1 - Short</v>
      </c>
    </row>
    <row r="47" spans="1:33" ht="14.45" customHeight="1" x14ac:dyDescent="0.25">
      <c r="A47" t="s">
        <v>207</v>
      </c>
      <c r="B47" t="s">
        <v>208</v>
      </c>
      <c r="C47" t="s">
        <v>104</v>
      </c>
      <c r="G47" t="s">
        <v>74</v>
      </c>
      <c r="H47" t="e">
        <v>#VALUE!</v>
      </c>
      <c r="I47">
        <v>2017</v>
      </c>
      <c r="J47">
        <v>2025</v>
      </c>
      <c r="K47">
        <f t="shared" si="1"/>
        <v>8</v>
      </c>
      <c r="L47" t="s">
        <v>209</v>
      </c>
      <c r="M47" t="s">
        <v>611</v>
      </c>
      <c r="N47" s="130">
        <v>1665.753424657534</v>
      </c>
      <c r="O47" s="13">
        <v>0.79365079365079361</v>
      </c>
      <c r="P47" s="13"/>
      <c r="Q47" s="13"/>
      <c r="R47" s="130">
        <v>5697.0610399397137</v>
      </c>
      <c r="S47" s="130"/>
      <c r="T47" s="13">
        <v>0.80423280423280419</v>
      </c>
      <c r="U47" s="63" t="s">
        <v>49</v>
      </c>
      <c r="V47" s="17" t="s">
        <v>589</v>
      </c>
      <c r="W47" s="28">
        <f>'VfM MSD Mastersheet'!$O53</f>
        <v>-2.3205353736877443</v>
      </c>
      <c r="X47" s="28" t="str">
        <f t="array" ref="X47">_xlfn.IFS(
W47&lt;= $AO$5, "1st Quintile (Lowest)",
W47&lt;= $AP$5, "2nd Quintile (Median)",
W47&lt;= $AQ$5, "3rd Quintile",
TRUE, "Above 3rd Quintile"
)</f>
        <v>1st Quintile (Lowest)</v>
      </c>
      <c r="Y47" s="13" t="str">
        <f>'VfM MSD Mastersheet'!$P53</f>
        <v>N/A</v>
      </c>
      <c r="Z47" s="28" t="str">
        <f t="array" ref="Z47">_xlfn.IFS(
Y47&lt;= $AO$6, "1st Quintile (Lowest)",
Y47&lt;= $AP$6, "2nd Quintile (Median)",
Y47&lt;= $AQ$6, "3rd Quintile",
TRUE, "Above 3rd Quintile"
)</f>
        <v>Above 3rd Quintile</v>
      </c>
      <c r="AA47" s="46" t="s">
        <v>584</v>
      </c>
      <c r="AB47" s="46" t="str">
        <f t="array" ref="AB47">_xlfn.IFS(
    (X47="1st Quintile (Lowest)")+(Z47="Above 3rd Quintile"), "Group 1",
    ((X47="2nd Quintile (Median)")+(X47="3rd Quintile")+(Z47="2nd Quintile")+(Z47="3rd Quintile")), "Group 2",
    TRUE, "Group 3"
)</f>
        <v>Group 1</v>
      </c>
      <c r="AF47" t="str">
        <f t="array" ref="AF47">_xlfn.IFS(
    ((X47="1st Quintile (Lowest)")+(Z47="Above 3rd Quintile"))*(K47&gt;5), "Group 1 - Long",
    ((X47="1st Quintile (Lowest)")+(Z47="Above 3rd Quintile"))*(K47&lt;=5), "Group 1 - Short",
    ((X47="2nd Quintile (Median)")+(X47="3rd Quintile")+(Z47="2nd Quintile")+(Z47="3rd Quintile"))*(K47&gt;5), "Group 2 - Long",
    ((X47="2nd Quintile (Median)")+(X47="3rd Quintile")+(Z47="2nd Quintile")+(Z47="3rd Quintile"))*(K47&lt;=5), "Group 2 - Short",
    K47&gt;5, "Group 3 - Long",
    K47&lt;=5, "Group 3 - Short"
)</f>
        <v>Group 1 - Long</v>
      </c>
    </row>
    <row r="48" spans="1:33" ht="14.45" customHeight="1" x14ac:dyDescent="0.25">
      <c r="A48" t="s">
        <v>223</v>
      </c>
      <c r="B48" t="s">
        <v>224</v>
      </c>
      <c r="C48" t="s">
        <v>104</v>
      </c>
      <c r="G48" t="s">
        <v>225</v>
      </c>
      <c r="H48" t="e">
        <v>#VALUE!</v>
      </c>
      <c r="I48">
        <v>2012</v>
      </c>
      <c r="J48">
        <v>2023</v>
      </c>
      <c r="K48">
        <f t="shared" si="1"/>
        <v>11</v>
      </c>
      <c r="L48" t="s">
        <v>226</v>
      </c>
      <c r="M48" s="17" t="s">
        <v>594</v>
      </c>
      <c r="N48" s="32"/>
      <c r="O48" s="28">
        <v>1.198347107438017</v>
      </c>
      <c r="P48" s="28"/>
      <c r="Q48" s="28"/>
      <c r="R48" s="32">
        <v>2963.2653061224491</v>
      </c>
      <c r="S48" s="32"/>
      <c r="T48" s="28"/>
      <c r="U48" s="63" t="s">
        <v>49</v>
      </c>
      <c r="V48" s="17" t="s">
        <v>589</v>
      </c>
      <c r="W48" s="28">
        <f>'VfM MSD Mastersheet'!$O54</f>
        <v>-1.747615831238883</v>
      </c>
      <c r="X48" s="28" t="str">
        <f t="array" ref="X48">_xlfn.IFS(
W48&lt;= $AO$5, "1st Quintile (Lowest)",
W48&lt;= $AP$5, "2nd Quintile (Median)",
W48&lt;= $AQ$5, "3rd Quintile",
TRUE, "Above 3rd Quintile"
)</f>
        <v>1st Quintile (Lowest)</v>
      </c>
      <c r="Y48" s="13">
        <f>'VfM MSD Mastersheet'!$P54</f>
        <v>21.584013181511438</v>
      </c>
      <c r="Z48" s="28" t="str">
        <f t="array" ref="Z48">_xlfn.IFS(
Y48&lt;= $AO$6, "1st Quintile (Lowest)",
Y48&lt;= $AP$6, "2nd Quintile (Median)",
Y48&lt;= $AQ$6, "3rd Quintile",
TRUE, "Above 3rd Quintile"
)</f>
        <v>Above 3rd Quintile</v>
      </c>
      <c r="AA48" s="46" t="s">
        <v>584</v>
      </c>
      <c r="AB48" s="46" t="str">
        <f t="array" ref="AB48">_xlfn.IFS(
    (X48="1st Quintile (Lowest)")+(Z48="Above 3rd Quintile"), "Group 1",
    ((X48="2nd Quintile (Median)")+(X48="3rd Quintile")+(Z48="2nd Quintile")+(Z48="3rd Quintile")), "Group 2",
    TRUE, "Group 3"
)</f>
        <v>Group 1</v>
      </c>
      <c r="AF48" t="str">
        <f t="array" ref="AF48">_xlfn.IFS(
    ((X48="1st Quintile (Lowest)")+(Z48="Above 3rd Quintile"))*(K48&gt;5), "Group 1 - Long",
    ((X48="1st Quintile (Lowest)")+(Z48="Above 3rd Quintile"))*(K48&lt;=5), "Group 1 - Short",
    ((X48="2nd Quintile (Median)")+(X48="3rd Quintile")+(Z48="2nd Quintile")+(Z48="3rd Quintile"))*(K48&gt;5), "Group 2 - Long",
    ((X48="2nd Quintile (Median)")+(X48="3rd Quintile")+(Z48="2nd Quintile")+(Z48="3rd Quintile"))*(K48&lt;=5), "Group 2 - Short",
    K48&gt;5, "Group 3 - Long",
    K48&lt;=5, "Group 3 - Short"
)</f>
        <v>Group 1 - Long</v>
      </c>
    </row>
    <row r="49" spans="1:32" ht="14.45" customHeight="1" x14ac:dyDescent="0.25">
      <c r="A49" t="s">
        <v>270</v>
      </c>
      <c r="B49" t="s">
        <v>271</v>
      </c>
      <c r="C49" s="17" t="s">
        <v>104</v>
      </c>
      <c r="G49" t="s">
        <v>272</v>
      </c>
      <c r="H49" s="17" t="e">
        <v>#VALUE!</v>
      </c>
      <c r="I49">
        <v>2012</v>
      </c>
      <c r="J49">
        <v>2024</v>
      </c>
      <c r="K49">
        <f t="shared" si="1"/>
        <v>12</v>
      </c>
      <c r="L49" t="s">
        <v>273</v>
      </c>
      <c r="M49" t="s">
        <v>602</v>
      </c>
      <c r="N49" s="130">
        <v>188.66995073891621</v>
      </c>
      <c r="O49" s="13"/>
      <c r="P49" s="13"/>
      <c r="Q49" s="13"/>
      <c r="R49" s="130"/>
      <c r="S49" s="130">
        <v>102.95566502463051</v>
      </c>
      <c r="T49" s="13">
        <v>1.832535885167464</v>
      </c>
      <c r="U49" s="63" t="s">
        <v>49</v>
      </c>
      <c r="V49" s="17" t="s">
        <v>583</v>
      </c>
      <c r="W49" s="28">
        <f>'VfM MSD Mastersheet'!$O55</f>
        <v>1.3810529373586086E-2</v>
      </c>
      <c r="X49" s="28" t="str">
        <f t="array" ref="X49">_xlfn.IFS(
W49&lt;= $AO$5, "1st Quintile (Lowest)",
W49&lt;= $AP$5, "2nd Quintile (Median)",
W49&lt;= $AQ$5, "3rd Quintile",
TRUE, "Above 3rd Quintile"
)</f>
        <v>Above 3rd Quintile</v>
      </c>
      <c r="Y49" s="13">
        <f>'VfM MSD Mastersheet'!$P55</f>
        <v>12.371503607649888</v>
      </c>
      <c r="Z49" s="28" t="str">
        <f t="array" ref="Z49">_xlfn.IFS(
Y49&lt;= $AO$6, "1st Quintile (Lowest)",
Y49&lt;= $AP$6, "2nd Quintile (Median)",
Y49&lt;= $AQ$6, "3rd Quintile",
TRUE, "Above 3rd Quintile"
)</f>
        <v>Above 3rd Quintile</v>
      </c>
      <c r="AA49" s="46" t="s">
        <v>590</v>
      </c>
      <c r="AB49" s="46" t="str">
        <f t="array" ref="AB49">_xlfn.IFS(
    (X49="1st Quintile (Lowest)")+(Z49="Above 3rd Quintile"), "Group 1",
    ((X49="2nd Quintile (Median)")+(X49="3rd Quintile")+(Z49="2nd Quintile")+(Z49="3rd Quintile")), "Group 2",
    TRUE, "Group 3"
)</f>
        <v>Group 1</v>
      </c>
      <c r="AF49" t="str">
        <f t="array" ref="AF49">_xlfn.IFS(
    ((X49="1st Quintile (Lowest)")+(Z49="Above 3rd Quintile"))*(K49&gt;5), "Group 1 - Long",
    ((X49="1st Quintile (Lowest)")+(Z49="Above 3rd Quintile"))*(K49&lt;=5), "Group 1 - Short",
    ((X49="2nd Quintile (Median)")+(X49="3rd Quintile")+(Z49="2nd Quintile")+(Z49="3rd Quintile"))*(K49&gt;5), "Group 2 - Long",
    ((X49="2nd Quintile (Median)")+(X49="3rd Quintile")+(Z49="2nd Quintile")+(Z49="3rd Quintile"))*(K49&lt;=5), "Group 2 - Short",
    K49&gt;5, "Group 3 - Long",
    K49&lt;=5, "Group 3 - Short"
)</f>
        <v>Group 1 - Long</v>
      </c>
    </row>
    <row r="50" spans="1:32" ht="14.45" customHeight="1" x14ac:dyDescent="0.25">
      <c r="A50" t="s">
        <v>187</v>
      </c>
      <c r="B50" t="s">
        <v>188</v>
      </c>
      <c r="C50" s="17" t="s">
        <v>137</v>
      </c>
      <c r="G50" t="s">
        <v>189</v>
      </c>
      <c r="H50" t="e">
        <v>#VALUE!</v>
      </c>
      <c r="I50">
        <v>2013</v>
      </c>
      <c r="J50">
        <v>2017</v>
      </c>
      <c r="K50">
        <f t="shared" si="1"/>
        <v>4</v>
      </c>
      <c r="L50" t="s">
        <v>39</v>
      </c>
      <c r="M50" t="s">
        <v>602</v>
      </c>
      <c r="N50" s="130"/>
      <c r="O50" s="13">
        <v>6.280869565217391E-2</v>
      </c>
      <c r="P50" s="13"/>
      <c r="Q50" s="13"/>
      <c r="R50" s="130"/>
      <c r="S50" s="130">
        <v>148.96373056994821</v>
      </c>
      <c r="T50" s="13"/>
      <c r="U50" s="63" t="s">
        <v>49</v>
      </c>
      <c r="V50" s="17" t="s">
        <v>583</v>
      </c>
      <c r="W50" s="28">
        <f>'VfM MSD Mastersheet'!$O56</f>
        <v>-0.60691030323505402</v>
      </c>
      <c r="X50" s="28" t="str">
        <f t="array" ref="X50">_xlfn.IFS(
W50&lt;= $AO$5, "1st Quintile (Lowest)",
W50&lt;= $AP$5, "2nd Quintile (Median)",
W50&lt;= $AQ$5, "3rd Quintile",
TRUE, "Above 3rd Quintile"
)</f>
        <v>2nd Quintile (Median)</v>
      </c>
      <c r="Y50" s="13" t="str">
        <f>'VfM MSD Mastersheet'!$P56</f>
        <v>N/A</v>
      </c>
      <c r="Z50" s="28" t="str">
        <f t="array" ref="Z50">_xlfn.IFS(
Y50&lt;= $AO$6, "1st Quintile (Lowest)",
Y50&lt;= $AP$6, "2nd Quintile (Median)",
Y50&lt;= $AQ$6, "3rd Quintile",
TRUE, "Above 3rd Quintile"
)</f>
        <v>Above 3rd Quintile</v>
      </c>
      <c r="AA50" s="46" t="s">
        <v>584</v>
      </c>
      <c r="AB50" s="46" t="str">
        <f t="array" ref="AB50">_xlfn.IFS(
    (X50="1st Quintile (Lowest)")+(Z50="Above 3rd Quintile"), "Group 1",
    ((X50="2nd Quintile (Median)")+(X50="3rd Quintile")+(Z50="2nd Quintile")+(Z50="3rd Quintile")), "Group 2",
    TRUE, "Group 3"
)</f>
        <v>Group 1</v>
      </c>
      <c r="AF50" t="str">
        <f t="array" ref="AF50">_xlfn.IFS(
    ((X50="1st Quintile (Lowest)")+(Z50="Above 3rd Quintile"))*(K50&gt;5), "Group 1 - Long",
    ((X50="1st Quintile (Lowest)")+(Z50="Above 3rd Quintile"))*(K50&lt;=5), "Group 1 - Short",
    ((X50="2nd Quintile (Median)")+(X50="3rd Quintile")+(Z50="2nd Quintile")+(Z50="3rd Quintile"))*(K50&gt;5), "Group 2 - Long",
    ((X50="2nd Quintile (Median)")+(X50="3rd Quintile")+(Z50="2nd Quintile")+(Z50="3rd Quintile"))*(K50&lt;=5), "Group 2 - Short",
    K50&gt;5, "Group 3 - Long",
    K50&lt;=5, "Group 3 - Short"
)</f>
        <v>Group 1 - Short</v>
      </c>
    </row>
    <row r="51" spans="1:32" ht="14.45" customHeight="1" x14ac:dyDescent="0.25">
      <c r="A51" t="s">
        <v>112</v>
      </c>
      <c r="B51" t="s">
        <v>113</v>
      </c>
      <c r="C51" s="17" t="s">
        <v>104</v>
      </c>
      <c r="G51" t="s">
        <v>74</v>
      </c>
      <c r="H51" t="e">
        <v>#VALUE!</v>
      </c>
      <c r="I51">
        <v>2015</v>
      </c>
      <c r="J51">
        <v>2019</v>
      </c>
      <c r="K51">
        <f t="shared" si="1"/>
        <v>4</v>
      </c>
      <c r="L51" t="s">
        <v>114</v>
      </c>
      <c r="M51" t="s">
        <v>611</v>
      </c>
      <c r="N51" s="130">
        <v>524.57566534914361</v>
      </c>
      <c r="O51" s="13">
        <v>0.15381600000000001</v>
      </c>
      <c r="P51" s="13">
        <v>1.0723423999999999</v>
      </c>
      <c r="Q51" s="13"/>
      <c r="R51" s="130">
        <v>2084.0421912215038</v>
      </c>
      <c r="S51" s="130">
        <v>1219.148089171975</v>
      </c>
      <c r="T51" s="13">
        <v>0.26001824000000001</v>
      </c>
      <c r="U51" s="63" t="s">
        <v>49</v>
      </c>
      <c r="V51" s="17" t="s">
        <v>589</v>
      </c>
      <c r="W51" s="28">
        <f>'VfM MSD Mastersheet'!$O57</f>
        <v>-0.76238568623860659</v>
      </c>
      <c r="X51" s="28" t="str">
        <f t="array" ref="X51">_xlfn.IFS(
W51&lt;= $AO$5, "1st Quintile (Lowest)",
W51&lt;= $AP$5, "2nd Quintile (Median)",
W51&lt;= $AQ$5, "3rd Quintile",
TRUE, "Above 3rd Quintile"
)</f>
        <v>2nd Quintile (Median)</v>
      </c>
      <c r="Y51" s="13">
        <f>'VfM MSD Mastersheet'!$P57</f>
        <v>4.5171175873126987</v>
      </c>
      <c r="Z51" s="28" t="str">
        <f t="array" ref="Z51">_xlfn.IFS(
Y51&lt;= $AO$6, "1st Quintile (Lowest)",
Y51&lt;= $AP$6, "2nd Quintile (Median)",
Y51&lt;= $AQ$6, "3rd Quintile",
TRUE, "Above 3rd Quintile"
)</f>
        <v>2nd Quintile (Median)</v>
      </c>
      <c r="AA51" s="46" t="s">
        <v>584</v>
      </c>
      <c r="AB51" s="46" t="str">
        <f t="array" ref="AB51">_xlfn.IFS(
    (X51="1st Quintile (Lowest)")+(Z51="Above 3rd Quintile"), "Group 1",
    ((X51="2nd Quintile (Median)")+(X51="3rd Quintile")+(Z51="2nd Quintile")+(Z51="3rd Quintile")), "Group 2",
    TRUE, "Group 3"
)</f>
        <v>Group 2</v>
      </c>
      <c r="AF51" t="str">
        <f t="array" ref="AF51">_xlfn.IFS(
    ((X51="1st Quintile (Lowest)")+(Z51="Above 3rd Quintile"))*(K51&gt;5), "Group 1 - Long",
    ((X51="1st Quintile (Lowest)")+(Z51="Above 3rd Quintile"))*(K51&lt;=5), "Group 1 - Short",
    ((X51="2nd Quintile (Median)")+(X51="3rd Quintile")+(Z51="2nd Quintile")+(Z51="3rd Quintile"))*(K51&gt;5), "Group 2 - Long",
    ((X51="2nd Quintile (Median)")+(X51="3rd Quintile")+(Z51="2nd Quintile")+(Z51="3rd Quintile"))*(K51&lt;=5), "Group 2 - Short",
    K51&gt;5, "Group 3 - Long",
    K51&lt;=5, "Group 3 - Short"
)</f>
        <v>Group 2 - Short</v>
      </c>
    </row>
    <row r="52" spans="1:32" ht="14.45" customHeight="1" x14ac:dyDescent="0.25">
      <c r="A52" t="s">
        <v>373</v>
      </c>
      <c r="B52" s="17" t="s">
        <v>374</v>
      </c>
      <c r="C52" s="17" t="s">
        <v>137</v>
      </c>
      <c r="G52" t="s">
        <v>172</v>
      </c>
      <c r="H52" t="e">
        <v>#VALUE!</v>
      </c>
      <c r="I52">
        <v>2009</v>
      </c>
      <c r="J52">
        <v>2017</v>
      </c>
      <c r="K52">
        <f t="shared" si="1"/>
        <v>8</v>
      </c>
      <c r="L52" t="s">
        <v>375</v>
      </c>
      <c r="M52" t="s">
        <v>611</v>
      </c>
      <c r="N52" s="130"/>
      <c r="O52" s="13"/>
      <c r="P52" s="13">
        <v>10.248627326637649</v>
      </c>
      <c r="Q52" s="13"/>
      <c r="R52" s="130">
        <v>1670.5695165268869</v>
      </c>
      <c r="S52" s="130">
        <v>25.74734699715961</v>
      </c>
      <c r="T52" s="13"/>
      <c r="U52" s="63" t="s">
        <v>49</v>
      </c>
      <c r="V52" s="17" t="s">
        <v>583</v>
      </c>
      <c r="W52" s="28">
        <f>'VfM MSD Mastersheet'!$O58</f>
        <v>-1.0538027087847395</v>
      </c>
      <c r="X52" s="28" t="str">
        <f t="array" ref="X52">_xlfn.IFS(
W52&lt;= $AO$5, "1st Quintile (Lowest)",
W52&lt;= $AP$5, "2nd Quintile (Median)",
W52&lt;= $AQ$5, "3rd Quintile",
TRUE, "Above 3rd Quintile"
)</f>
        <v>2nd Quintile (Median)</v>
      </c>
      <c r="Y52" s="13">
        <f>'VfM MSD Mastersheet'!$P58</f>
        <v>6.999843147192979</v>
      </c>
      <c r="Z52" s="28" t="str">
        <f t="array" ref="Z52">_xlfn.IFS(
Y52&lt;= $AO$6, "1st Quintile (Lowest)",
Y52&lt;= $AP$6, "2nd Quintile (Median)",
Y52&lt;= $AQ$6, "3rd Quintile",
TRUE, "Above 3rd Quintile"
)</f>
        <v>3rd Quintile</v>
      </c>
      <c r="AA52" s="46" t="s">
        <v>587</v>
      </c>
      <c r="AB52" s="46" t="str">
        <f t="array" ref="AB52">_xlfn.IFS(
    (X52="1st Quintile (Lowest)")+(Z52="Above 3rd Quintile"), "Group 1",
    ((X52="2nd Quintile (Median)")+(X52="3rd Quintile")+(Z52="2nd Quintile")+(Z52="3rd Quintile")), "Group 2",
    TRUE, "Group 3"
)</f>
        <v>Group 2</v>
      </c>
      <c r="AF52" t="str">
        <f t="array" ref="AF52">_xlfn.IFS(
    ((X52="1st Quintile (Lowest)")+(Z52="Above 3rd Quintile"))*(K52&gt;5), "Group 1 - Long",
    ((X52="1st Quintile (Lowest)")+(Z52="Above 3rd Quintile"))*(K52&lt;=5), "Group 1 - Short",
    ((X52="2nd Quintile (Median)")+(X52="3rd Quintile")+(Z52="2nd Quintile")+(Z52="3rd Quintile"))*(K52&gt;5), "Group 2 - Long",
    ((X52="2nd Quintile (Median)")+(X52="3rd Quintile")+(Z52="2nd Quintile")+(Z52="3rd Quintile"))*(K52&lt;=5), "Group 2 - Short",
    K52&gt;5, "Group 3 - Long",
    K52&lt;=5, "Group 3 - Short"
)</f>
        <v>Group 2 - Long</v>
      </c>
    </row>
    <row r="53" spans="1:32" ht="14.45" customHeight="1" x14ac:dyDescent="0.25">
      <c r="A53" t="s">
        <v>169</v>
      </c>
      <c r="B53" t="s">
        <v>170</v>
      </c>
      <c r="C53" s="17" t="s">
        <v>171</v>
      </c>
      <c r="G53" t="s">
        <v>172</v>
      </c>
      <c r="H53" t="e">
        <v>#VALUE!</v>
      </c>
      <c r="I53">
        <v>2012</v>
      </c>
      <c r="J53">
        <v>2017</v>
      </c>
      <c r="K53">
        <f t="shared" si="1"/>
        <v>5</v>
      </c>
      <c r="L53" t="s">
        <v>39</v>
      </c>
      <c r="M53" t="s">
        <v>602</v>
      </c>
      <c r="N53" s="130"/>
      <c r="O53" s="13">
        <v>0.18311730000000001</v>
      </c>
      <c r="P53" s="13">
        <v>0.115</v>
      </c>
      <c r="Q53" s="13"/>
      <c r="R53" s="130"/>
      <c r="S53" s="130">
        <v>202.89325785704139</v>
      </c>
      <c r="T53" s="13"/>
      <c r="U53" s="63" t="s">
        <v>49</v>
      </c>
      <c r="V53" s="17" t="s">
        <v>586</v>
      </c>
      <c r="W53" s="28">
        <f>'VfM MSD Mastersheet'!$O59</f>
        <v>-1.1206384350856147</v>
      </c>
      <c r="X53" s="28" t="str">
        <f t="array" ref="X53">_xlfn.IFS(
W53&lt;= $AO$5, "1st Quintile (Lowest)",
W53&lt;= $AP$5, "2nd Quintile (Median)",
W53&lt;= $AQ$5, "3rd Quintile",
TRUE, "Above 3rd Quintile"
)</f>
        <v>2nd Quintile (Median)</v>
      </c>
      <c r="Y53" s="13">
        <f>'VfM MSD Mastersheet'!$P59</f>
        <v>6.5085191579095172</v>
      </c>
      <c r="Z53" s="28" t="str">
        <f t="array" ref="Z53">_xlfn.IFS(
Y53&lt;= $AO$6, "1st Quintile (Lowest)",
Y53&lt;= $AP$6, "2nd Quintile (Median)",
Y53&lt;= $AQ$6, "3rd Quintile",
TRUE, "Above 3rd Quintile"
)</f>
        <v>3rd Quintile</v>
      </c>
      <c r="AA53" s="46" t="s">
        <v>590</v>
      </c>
      <c r="AB53" s="46" t="str">
        <f t="array" ref="AB53">_xlfn.IFS(
    (X53="1st Quintile (Lowest)")+(Z53="Above 3rd Quintile"), "Group 1",
    ((X53="2nd Quintile (Median)")+(X53="3rd Quintile")+(Z53="2nd Quintile")+(Z53="3rd Quintile")), "Group 2",
    TRUE, "Group 3"
)</f>
        <v>Group 2</v>
      </c>
      <c r="AF53" t="str">
        <f t="array" ref="AF53">_xlfn.IFS(
    ((X53="1st Quintile (Lowest)")+(Z53="Above 3rd Quintile"))*(K53&gt;5), "Group 1 - Long",
    ((X53="1st Quintile (Lowest)")+(Z53="Above 3rd Quintile"))*(K53&lt;=5), "Group 1 - Short",
    ((X53="2nd Quintile (Median)")+(X53="3rd Quintile")+(Z53="2nd Quintile")+(Z53="3rd Quintile"))*(K53&gt;5), "Group 2 - Long",
    ((X53="2nd Quintile (Median)")+(X53="3rd Quintile")+(Z53="2nd Quintile")+(Z53="3rd Quintile"))*(K53&lt;=5), "Group 2 - Short",
    K53&gt;5, "Group 3 - Long",
    K53&lt;=5, "Group 3 - Short"
)</f>
        <v>Group 2 - Short</v>
      </c>
    </row>
    <row r="54" spans="1:32" ht="14.45" customHeight="1" x14ac:dyDescent="0.25">
      <c r="A54" t="s">
        <v>285</v>
      </c>
      <c r="B54" t="s">
        <v>286</v>
      </c>
      <c r="C54" t="s">
        <v>609</v>
      </c>
      <c r="G54" t="s">
        <v>200</v>
      </c>
      <c r="H54" t="e">
        <v>#VALUE!</v>
      </c>
      <c r="I54">
        <v>2013</v>
      </c>
      <c r="J54">
        <v>2022</v>
      </c>
      <c r="K54">
        <f t="shared" si="1"/>
        <v>9</v>
      </c>
      <c r="L54" t="s">
        <v>39</v>
      </c>
      <c r="M54" t="s">
        <v>602</v>
      </c>
      <c r="N54" s="130">
        <v>350.35714285714278</v>
      </c>
      <c r="O54" s="13">
        <v>0.17145454545454539</v>
      </c>
      <c r="P54" s="13">
        <v>0.22531818181818181</v>
      </c>
      <c r="Q54" s="13">
        <v>0.1606363636363636</v>
      </c>
      <c r="R54" s="130">
        <v>3907.6376554174071</v>
      </c>
      <c r="S54" s="130">
        <v>561.22448979591832</v>
      </c>
      <c r="T54" s="13">
        <v>0.62427272727272731</v>
      </c>
      <c r="U54" s="63" t="s">
        <v>49</v>
      </c>
      <c r="V54" s="17" t="s">
        <v>586</v>
      </c>
      <c r="W54" s="28">
        <f>'VfM MSD Mastersheet'!$O60</f>
        <v>5.8651084346430619E-2</v>
      </c>
      <c r="X54" s="28" t="str">
        <f t="array" ref="X54">_xlfn.IFS(
W54&lt;= $AO$5, "1st Quintile (Lowest)",
W54&lt;= $AP$5, "2nd Quintile (Median)",
W54&lt;= $AQ$5, "3rd Quintile",
TRUE, "Above 3rd Quintile"
)</f>
        <v>Above 3rd Quintile</v>
      </c>
      <c r="Y54" s="13">
        <f>'VfM MSD Mastersheet'!$P60</f>
        <v>10.677494127256198</v>
      </c>
      <c r="Z54" s="28" t="str">
        <f t="array" ref="Z54">_xlfn.IFS(
Y54&lt;= $AO$6, "1st Quintile (Lowest)",
Y54&lt;= $AP$6, "2nd Quintile (Median)",
Y54&lt;= $AQ$6, "3rd Quintile",
TRUE, "Above 3rd Quintile"
)</f>
        <v>Above 3rd Quintile</v>
      </c>
      <c r="AA54" s="46" t="s">
        <v>587</v>
      </c>
      <c r="AB54" s="46" t="str">
        <f t="array" ref="AB54">_xlfn.IFS(
    (X54="1st Quintile (Lowest)")+(Z54="Above 3rd Quintile"), "Group 1",
    ((X54="2nd Quintile (Median)")+(X54="3rd Quintile")+(Z54="2nd Quintile")+(Z54="3rd Quintile")), "Group 2",
    TRUE, "Group 3"
)</f>
        <v>Group 1</v>
      </c>
      <c r="AC54" s="238" t="s">
        <v>310</v>
      </c>
      <c r="AF54" t="str">
        <f t="array" ref="AF54">_xlfn.IFS(
    ((X54="1st Quintile (Lowest)")+(Z54="Above 3rd Quintile"))*(K54&gt;5), "Group 1 - Long",
    ((X54="1st Quintile (Lowest)")+(Z54="Above 3rd Quintile"))*(K54&lt;=5), "Group 1 - Short",
    ((X54="2nd Quintile (Median)")+(X54="3rd Quintile")+(Z54="2nd Quintile")+(Z54="3rd Quintile"))*(K54&gt;5), "Group 2 - Long",
    ((X54="2nd Quintile (Median)")+(X54="3rd Quintile")+(Z54="2nd Quintile")+(Z54="3rd Quintile"))*(K54&lt;=5), "Group 2 - Short",
    K54&gt;5, "Group 3 - Long",
    K54&lt;=5, "Group 3 - Short"
)</f>
        <v>Group 1 - Long</v>
      </c>
    </row>
    <row r="55" spans="1:32" ht="14.45" customHeight="1" x14ac:dyDescent="0.25">
      <c r="A55" t="s">
        <v>366</v>
      </c>
      <c r="B55" t="s">
        <v>367</v>
      </c>
      <c r="C55" s="17" t="s">
        <v>137</v>
      </c>
      <c r="G55" t="s">
        <v>368</v>
      </c>
      <c r="H55" t="s">
        <v>369</v>
      </c>
      <c r="I55">
        <v>2014</v>
      </c>
      <c r="J55">
        <v>2019</v>
      </c>
      <c r="K55">
        <f t="shared" si="1"/>
        <v>5</v>
      </c>
      <c r="L55" t="s">
        <v>39</v>
      </c>
      <c r="M55" t="s">
        <v>611</v>
      </c>
      <c r="N55" s="130">
        <v>66.396676493153763</v>
      </c>
      <c r="O55" s="13"/>
      <c r="P55" s="13"/>
      <c r="Q55" s="13"/>
      <c r="R55" s="130">
        <v>728.97942879968048</v>
      </c>
      <c r="S55" s="130"/>
      <c r="T55" s="13">
        <v>0.97210451516634055</v>
      </c>
      <c r="U55" s="63" t="s">
        <v>240</v>
      </c>
      <c r="V55" t="s">
        <v>597</v>
      </c>
      <c r="W55" s="28">
        <f>'VfM MSD Mastersheet'!$O61</f>
        <v>-0.50970529268185338</v>
      </c>
      <c r="X55" s="28" t="str">
        <f t="array" ref="X55">_xlfn.IFS(
W55&lt;= $AO$5, "1st Quintile (Lowest)",
W55&lt;= $AP$5, "2nd Quintile (Median)",
W55&lt;= $AQ$5, "3rd Quintile",
TRUE, "Above 3rd Quintile"
)</f>
        <v>3rd Quintile</v>
      </c>
      <c r="Y55" s="13">
        <f>'VfM MSD Mastersheet'!$P61</f>
        <v>7.1420135159062283</v>
      </c>
      <c r="Z55" s="28" t="str">
        <f t="array" ref="Z55">_xlfn.IFS(
Y55&lt;= $AO$6, "1st Quintile (Lowest)",
Y55&lt;= $AP$6, "2nd Quintile (Median)",
Y55&lt;= $AQ$6, "3rd Quintile",
TRUE, "Above 3rd Quintile"
)</f>
        <v>Above 3rd Quintile</v>
      </c>
      <c r="AA55" s="46" t="s">
        <v>587</v>
      </c>
      <c r="AB55" s="46" t="str">
        <f t="array" ref="AB55">_xlfn.IFS(
    (X55="1st Quintile (Lowest)")+(Z55="Above 3rd Quintile"), "Group 1",
    ((X55="2nd Quintile (Median)")+(X55="3rd Quintile")+(Z55="2nd Quintile")+(Z55="3rd Quintile")), "Group 2",
    TRUE, "Group 3"
)</f>
        <v>Group 1</v>
      </c>
      <c r="AF55" t="str">
        <f t="array" ref="AF55">_xlfn.IFS(
    ((X55="1st Quintile (Lowest)")+(Z55="Above 3rd Quintile"))*(K55&gt;5), "Group 1 - Long",
    ((X55="1st Quintile (Lowest)")+(Z55="Above 3rd Quintile"))*(K55&lt;=5), "Group 1 - Short",
    ((X55="2nd Quintile (Median)")+(X55="3rd Quintile")+(Z55="2nd Quintile")+(Z55="3rd Quintile"))*(K55&gt;5), "Group 2 - Long",
    ((X55="2nd Quintile (Median)")+(X55="3rd Quintile")+(Z55="2nd Quintile")+(Z55="3rd Quintile"))*(K55&lt;=5), "Group 2 - Short",
    K55&gt;5, "Group 3 - Long",
    K55&lt;=5, "Group 3 - Short"
)</f>
        <v>Group 1 - Short</v>
      </c>
    </row>
    <row r="56" spans="1:32" ht="14.45" customHeight="1" x14ac:dyDescent="0.25">
      <c r="A56" s="4" t="s">
        <v>325</v>
      </c>
      <c r="B56" t="s">
        <v>326</v>
      </c>
      <c r="C56" s="17" t="s">
        <v>104</v>
      </c>
      <c r="D56" s="17" t="s">
        <v>327</v>
      </c>
      <c r="E56" s="17"/>
      <c r="F56" s="17"/>
      <c r="G56" s="17" t="s">
        <v>612</v>
      </c>
      <c r="H56" s="17" t="s">
        <v>328</v>
      </c>
      <c r="I56">
        <v>2008</v>
      </c>
      <c r="J56">
        <v>2026</v>
      </c>
      <c r="K56">
        <f t="shared" si="1"/>
        <v>18</v>
      </c>
      <c r="L56" t="s">
        <v>39</v>
      </c>
      <c r="M56" s="17" t="s">
        <v>329</v>
      </c>
      <c r="N56" s="32">
        <v>53.93589060488091</v>
      </c>
      <c r="O56" s="28"/>
      <c r="P56" s="28"/>
      <c r="Q56" s="28">
        <v>4.1676272283715718E-2</v>
      </c>
      <c r="R56" s="32">
        <v>22962.65409717186</v>
      </c>
      <c r="S56" s="32">
        <v>61.714331375292829</v>
      </c>
      <c r="T56" s="28">
        <v>1.1310176817040629</v>
      </c>
      <c r="U56" s="63" t="s">
        <v>49</v>
      </c>
      <c r="V56" s="17" t="s">
        <v>589</v>
      </c>
      <c r="W56" s="28">
        <f>'VfM MSD Mastersheet'!$O62</f>
        <v>-0.46727849046389286</v>
      </c>
      <c r="X56" s="28" t="str">
        <f t="array" ref="X56">_xlfn.IFS(
W56&lt;= $AO$5, "1st Quintile (Lowest)",
W56&lt;= $AP$5, "2nd Quintile (Median)",
W56&lt;= $AQ$5, "3rd Quintile",
TRUE, "Above 3rd Quintile"
)</f>
        <v>3rd Quintile</v>
      </c>
      <c r="Y56" s="13">
        <f>'VfM MSD Mastersheet'!$P62</f>
        <v>4.0722386049769161</v>
      </c>
      <c r="Z56" s="28" t="str">
        <f t="array" ref="Z56">_xlfn.IFS(
Y56&lt;= $AO$6, "1st Quintile (Lowest)",
Y56&lt;= $AP$6, "2nd Quintile (Median)",
Y56&lt;= $AQ$6, "3rd Quintile",
TRUE, "Above 3rd Quintile"
)</f>
        <v>1st Quintile (Lowest)</v>
      </c>
      <c r="AA56" s="46" t="s">
        <v>590</v>
      </c>
      <c r="AB56" s="46" t="str">
        <f t="array" ref="AB56">_xlfn.IFS(
    (X56="1st Quintile (Lowest)")+(Z56="Above 3rd Quintile"), "Group 1",
    ((X56="2nd Quintile (Median)")+(X56="3rd Quintile")+(Z56="2nd Quintile")+(Z56="3rd Quintile")), "Group 2",
    TRUE, "Group 3"
)</f>
        <v>Group 2</v>
      </c>
      <c r="AF56" t="str">
        <f t="array" ref="AF56">_xlfn.IFS(
    ((X56="1st Quintile (Lowest)")+(Z56="Above 3rd Quintile"))*(K56&gt;5), "Group 1 - Long",
    ((X56="1st Quintile (Lowest)")+(Z56="Above 3rd Quintile"))*(K56&lt;=5), "Group 1 - Short",
    ((X56="2nd Quintile (Median)")+(X56="3rd Quintile")+(Z56="2nd Quintile")+(Z56="3rd Quintile"))*(K56&gt;5), "Group 2 - Long",
    ((X56="2nd Quintile (Median)")+(X56="3rd Quintile")+(Z56="2nd Quintile")+(Z56="3rd Quintile"))*(K56&lt;=5), "Group 2 - Short",
    K56&gt;5, "Group 3 - Long",
    K56&lt;=5, "Group 3 - Short"
)</f>
        <v>Group 2 - Long</v>
      </c>
    </row>
    <row r="57" spans="1:32" ht="14.45" customHeight="1" x14ac:dyDescent="0.25">
      <c r="A57" s="4" t="s">
        <v>260</v>
      </c>
      <c r="B57" t="s">
        <v>261</v>
      </c>
      <c r="C57" s="17" t="s">
        <v>137</v>
      </c>
      <c r="D57" s="17"/>
      <c r="E57" s="17"/>
      <c r="F57" s="17"/>
      <c r="G57" s="17" t="s">
        <v>230</v>
      </c>
      <c r="H57" t="e">
        <v>#VALUE!</v>
      </c>
      <c r="I57">
        <v>2013</v>
      </c>
      <c r="J57">
        <v>2020</v>
      </c>
      <c r="K57">
        <f t="shared" si="1"/>
        <v>7</v>
      </c>
      <c r="L57" t="s">
        <v>39</v>
      </c>
      <c r="M57" s="17" t="s">
        <v>613</v>
      </c>
      <c r="N57" s="32">
        <v>613</v>
      </c>
      <c r="O57" s="28">
        <v>3.7129736842105259</v>
      </c>
      <c r="P57" s="28"/>
      <c r="Q57" s="28"/>
      <c r="R57" s="32"/>
      <c r="S57" s="32">
        <v>90.909090909090907</v>
      </c>
      <c r="T57" s="28">
        <v>4.4847975393789472</v>
      </c>
      <c r="U57" s="151" t="s">
        <v>49</v>
      </c>
      <c r="V57" s="17" t="s">
        <v>583</v>
      </c>
      <c r="W57" s="28">
        <f>'VfM MSD Mastersheet'!$O63</f>
        <v>-0.53405618071556105</v>
      </c>
      <c r="X57" s="28" t="str">
        <f t="array" ref="X57">_xlfn.IFS(
W57&lt;= $AO$5, "1st Quintile (Lowest)",
W57&lt;= $AP$5, "2nd Quintile (Median)",
W57&lt;= $AQ$5, "3rd Quintile",
TRUE, "Above 3rd Quintile"
)</f>
        <v>3rd Quintile</v>
      </c>
      <c r="Y57" s="13">
        <f>'VfM MSD Mastersheet'!$P63</f>
        <v>9.288199524690981</v>
      </c>
      <c r="Z57" s="28" t="str">
        <f t="array" ref="Z57">_xlfn.IFS(
Y57&lt;= $AO$6, "1st Quintile (Lowest)",
Y57&lt;= $AP$6, "2nd Quintile (Median)",
Y57&lt;= $AQ$6, "3rd Quintile",
TRUE, "Above 3rd Quintile"
)</f>
        <v>Above 3rd Quintile</v>
      </c>
      <c r="AA57" s="46" t="s">
        <v>587</v>
      </c>
      <c r="AB57" s="46" t="str">
        <f t="array" ref="AB57">_xlfn.IFS(
    (X57="1st Quintile (Lowest)")+(Z57="Above 3rd Quintile"), "Group 1",
    ((X57="2nd Quintile (Median)")+(X57="3rd Quintile")+(Z57="2nd Quintile")+(Z57="3rd Quintile")), "Group 2",
    TRUE, "Group 3"
)</f>
        <v>Group 1</v>
      </c>
      <c r="AF57" t="str">
        <f t="array" ref="AF57">_xlfn.IFS(
    ((X57="1st Quintile (Lowest)")+(Z57="Above 3rd Quintile"))*(K57&gt;5), "Group 1 - Long",
    ((X57="1st Quintile (Lowest)")+(Z57="Above 3rd Quintile"))*(K57&lt;=5), "Group 1 - Short",
    ((X57="2nd Quintile (Median)")+(X57="3rd Quintile")+(Z57="2nd Quintile")+(Z57="3rd Quintile"))*(K57&gt;5), "Group 2 - Long",
    ((X57="2nd Quintile (Median)")+(X57="3rd Quintile")+(Z57="2nd Quintile")+(Z57="3rd Quintile"))*(K57&lt;=5), "Group 2 - Short",
    K57&gt;5, "Group 3 - Long",
    K57&lt;=5, "Group 3 - Short"
)</f>
        <v>Group 1 - Long</v>
      </c>
    </row>
    <row r="58" spans="1:32" ht="14.45" customHeight="1" x14ac:dyDescent="0.25">
      <c r="A58" t="s">
        <v>614</v>
      </c>
      <c r="B58" t="s">
        <v>264</v>
      </c>
      <c r="C58" s="29" t="s">
        <v>171</v>
      </c>
      <c r="G58" t="s">
        <v>182</v>
      </c>
      <c r="H58" s="30" t="e">
        <v>#VALUE!</v>
      </c>
      <c r="I58">
        <v>2022</v>
      </c>
      <c r="J58">
        <v>2025</v>
      </c>
      <c r="K58">
        <f t="shared" si="1"/>
        <v>3</v>
      </c>
      <c r="L58" s="148" t="s">
        <v>39</v>
      </c>
      <c r="M58" s="141" t="s">
        <v>602</v>
      </c>
      <c r="N58" s="153"/>
      <c r="O58" s="28">
        <v>0.1154528947368421</v>
      </c>
      <c r="P58" s="28">
        <v>0.48793510526315792</v>
      </c>
      <c r="Q58" s="28"/>
      <c r="R58" s="28"/>
      <c r="S58" s="32">
        <v>1713.100712289244</v>
      </c>
      <c r="T58" s="28"/>
      <c r="U58" s="28" t="s">
        <v>49</v>
      </c>
      <c r="V58" s="17" t="s">
        <v>583</v>
      </c>
      <c r="W58" s="28">
        <f>'VfM MSD Mastersheet'!$O64</f>
        <v>-0.44506169358889264</v>
      </c>
      <c r="X58" s="28" t="str">
        <f t="array" ref="X58">_xlfn.IFS(
W58&lt;= $AO$5, "1st Quintile (Lowest)",
W58&lt;= $AP$5, "2nd Quintile (Median)",
W58&lt;= $AQ$5, "3rd Quintile",
TRUE, "Above 3rd Quintile"
)</f>
        <v>Above 3rd Quintile</v>
      </c>
      <c r="Y58" s="13"/>
      <c r="Z58" s="28"/>
      <c r="AA58" s="46" t="s">
        <v>590</v>
      </c>
      <c r="AB58" s="46" t="str">
        <f t="array" ref="AB58">_xlfn.IFS(
    (X58="1st Quintile (Lowest)")+(Z58="Above 3rd Quintile"), "Group 1",
    ((X58="2nd Quintile (Median)")+(X58="3rd Quintile")+(Z58="2nd Quintile")+(Z58="3rd Quintile")), "Group 2",
    TRUE, "Group 3"
)</f>
        <v>Group 3</v>
      </c>
      <c r="AF58" t="str">
        <f t="array" ref="AF58">_xlfn.IFS(
    ((X58="1st Quintile (Lowest)")+(Z58="Above 3rd Quintile"))*(K58&gt;5), "Group 1 - Long",
    ((X58="1st Quintile (Lowest)")+(Z58="Above 3rd Quintile"))*(K58&lt;=5), "Group 1 - Short",
    ((X58="2nd Quintile (Median)")+(X58="3rd Quintile")+(Z58="2nd Quintile")+(Z58="3rd Quintile"))*(K58&gt;5), "Group 2 - Long",
    ((X58="2nd Quintile (Median)")+(X58="3rd Quintile")+(Z58="2nd Quintile")+(Z58="3rd Quintile"))*(K58&lt;=5), "Group 2 - Short",
    K58&gt;5, "Group 3 - Long",
    K58&lt;=5, "Group 3 - Short"
)</f>
        <v>Group 3 - Short</v>
      </c>
    </row>
    <row r="59" spans="1:32" ht="14.45" customHeight="1" x14ac:dyDescent="0.25">
      <c r="A59" t="s">
        <v>546</v>
      </c>
      <c r="B59" t="s">
        <v>372</v>
      </c>
      <c r="C59" s="29" t="s">
        <v>171</v>
      </c>
      <c r="G59" t="s">
        <v>182</v>
      </c>
      <c r="H59" t="e">
        <v>#VALUE!</v>
      </c>
      <c r="I59">
        <v>2019</v>
      </c>
      <c r="J59">
        <v>2025</v>
      </c>
      <c r="K59">
        <f>J59-I59-1</f>
        <v>5</v>
      </c>
      <c r="L59" s="148" t="s">
        <v>39</v>
      </c>
      <c r="M59" s="66" t="s">
        <v>615</v>
      </c>
      <c r="N59" s="13"/>
      <c r="O59" s="13">
        <v>3.7123072761904758</v>
      </c>
      <c r="P59" s="13"/>
      <c r="Q59" s="13"/>
      <c r="R59" s="130">
        <v>1133.884797304594</v>
      </c>
      <c r="S59" s="13"/>
      <c r="T59" s="13"/>
      <c r="U59" s="63" t="s">
        <v>42</v>
      </c>
      <c r="V59" s="17" t="s">
        <v>583</v>
      </c>
      <c r="W59" s="28">
        <f>'VfM MSD Mastersheet'!$O65</f>
        <v>-9.4336765259504296E-2</v>
      </c>
      <c r="X59" s="28" t="str">
        <f t="array" ref="X59">_xlfn.IFS(
W59&lt;= $AO$5, "1st Quintile (Lowest)",
W59&lt;= $AP$5, "2nd Quintile (Median)",
W59&lt;= $AQ$5, "3rd Quintile",
TRUE, "Above 3rd Quintile"
)</f>
        <v>Above 3rd Quintile</v>
      </c>
      <c r="Y59" s="28">
        <f>'VfM MSD Mastersheet'!$P65</f>
        <v>0.90234943581281313</v>
      </c>
      <c r="Z59" s="28" t="str">
        <f t="array" ref="Z59">_xlfn.IFS(
Y59&lt;= $AO$6, "1st Quintile (Lowest)",
Y59&lt;= $AP$6, "2nd Quintile (Median)",
Y59&lt;= $AQ$6, "3rd Quintile",
TRUE, "Above 3rd Quintile"
)</f>
        <v>1st Quintile (Lowest)</v>
      </c>
      <c r="AA59" s="46" t="s">
        <v>590</v>
      </c>
      <c r="AB59" s="46" t="str">
        <f t="array" ref="AB59">_xlfn.IFS(
    (X59="1st Quintile (Lowest)")+(Z59="Above 3rd Quintile"), "Group 1",
    ((X59="2nd Quintile (Median)")+(X59="3rd Quintile")+(Z59="2nd Quintile")+(Z59="3rd Quintile")), "Group 2",
    TRUE, "Group 3"
)</f>
        <v>Group 3</v>
      </c>
      <c r="AF59" t="str">
        <f t="array" ref="AF59">_xlfn.IFS(
    ((X59="1st Quintile (Lowest)")+(Z59="Above 3rd Quintile"))*(K59&gt;5), "Group 1 - Long",
    ((X59="1st Quintile (Lowest)")+(Z59="Above 3rd Quintile"))*(K59&lt;=5), "Group 1 - Short",
    ((X59="2nd Quintile (Median)")+(X59="3rd Quintile")+(Z59="2nd Quintile")+(Z59="3rd Quintile"))*(K59&gt;5), "Group 2 - Long",
    ((X59="2nd Quintile (Median)")+(X59="3rd Quintile")+(Z59="2nd Quintile")+(Z59="3rd Quintile"))*(K59&lt;=5), "Group 2 - Short",
    K59&gt;5, "Group 3 - Long",
    K59&lt;=5, "Group 3 - Short"
)</f>
        <v>Group 3 - Short</v>
      </c>
    </row>
    <row r="60" spans="1:32" ht="14.45" customHeight="1" x14ac:dyDescent="0.25">
      <c r="A60" t="s">
        <v>547</v>
      </c>
      <c r="B60" t="s">
        <v>251</v>
      </c>
      <c r="C60" s="29" t="s">
        <v>171</v>
      </c>
      <c r="G60" t="s">
        <v>182</v>
      </c>
      <c r="H60" t="e">
        <v>#VALUE!</v>
      </c>
      <c r="I60">
        <v>2022</v>
      </c>
      <c r="J60">
        <v>2025</v>
      </c>
      <c r="K60">
        <f t="shared" ref="K60:K71" si="2">J60-I60</f>
        <v>3</v>
      </c>
      <c r="L60" s="148" t="s">
        <v>39</v>
      </c>
      <c r="M60" s="66" t="s">
        <v>615</v>
      </c>
      <c r="N60" s="13"/>
      <c r="O60" s="13">
        <v>2.2226687072777689</v>
      </c>
      <c r="P60" s="13"/>
      <c r="Q60" s="13"/>
      <c r="R60" s="130">
        <v>25413.3040446304</v>
      </c>
      <c r="S60" s="13"/>
      <c r="T60" s="13"/>
      <c r="U60" s="151" t="s">
        <v>49</v>
      </c>
      <c r="V60" s="17" t="s">
        <v>589</v>
      </c>
      <c r="W60" s="28">
        <f>'VfM MSD Mastersheet'!$O66</f>
        <v>-0.74357183277606964</v>
      </c>
      <c r="X60" s="28" t="str">
        <f t="array" ref="X60">_xlfn.IFS(
W60&lt;= $AO$5, "1st Quintile (Lowest)",
W60&lt;= $AP$5, "2nd Quintile (Median)",
W60&lt;= $AQ$5, "3rd Quintile",
TRUE, "Above 3rd Quintile"
)</f>
        <v>2nd Quintile (Median)</v>
      </c>
      <c r="Y60" s="28">
        <f>'VfM MSD Mastersheet'!$P66</f>
        <v>4.3378827393238089</v>
      </c>
      <c r="Z60" s="28" t="str">
        <f t="array" ref="Z60">_xlfn.IFS(
Y60&lt;= $AO$6, "1st Quintile (Lowest)",
Y60&lt;= $AP$6, "2nd Quintile (Median)",
Y60&lt;= $AQ$6, "3rd Quintile",
TRUE, "Above 3rd Quintile"
)</f>
        <v>1st Quintile (Lowest)</v>
      </c>
      <c r="AA60" s="46" t="s">
        <v>587</v>
      </c>
      <c r="AB60" s="46" t="str">
        <f t="array" ref="AB60">_xlfn.IFS(
    (X60="1st Quintile (Lowest)")+(Z60="Above 3rd Quintile"), "Group 1",
    ((X60="2nd Quintile (Median)")+(X60="3rd Quintile")+(Z60="2nd Quintile")+(Z60="3rd Quintile")), "Group 2",
    TRUE, "Group 3"
)</f>
        <v>Group 2</v>
      </c>
      <c r="AF60" t="str">
        <f t="array" ref="AF60">_xlfn.IFS(
    ((X60="1st Quintile (Lowest)")+(Z60="Above 3rd Quintile"))*(K60&gt;5), "Group 1 - Long",
    ((X60="1st Quintile (Lowest)")+(Z60="Above 3rd Quintile"))*(K60&lt;=5), "Group 1 - Short",
    ((X60="2nd Quintile (Median)")+(X60="3rd Quintile")+(Z60="2nd Quintile")+(Z60="3rd Quintile"))*(K60&gt;5), "Group 2 - Long",
    ((X60="2nd Quintile (Median)")+(X60="3rd Quintile")+(Z60="2nd Quintile")+(Z60="3rd Quintile"))*(K60&lt;=5), "Group 2 - Short",
    K60&gt;5, "Group 3 - Long",
    K60&lt;=5, "Group 3 - Short"
)</f>
        <v>Group 2 - Short</v>
      </c>
    </row>
    <row r="61" spans="1:32" ht="15.6" customHeight="1" x14ac:dyDescent="0.25">
      <c r="A61" t="s">
        <v>548</v>
      </c>
      <c r="B61" t="s">
        <v>181</v>
      </c>
      <c r="C61" s="29" t="s">
        <v>171</v>
      </c>
      <c r="G61" t="s">
        <v>182</v>
      </c>
      <c r="H61" t="e">
        <v>#VALUE!</v>
      </c>
      <c r="I61">
        <v>2015</v>
      </c>
      <c r="J61">
        <v>2021</v>
      </c>
      <c r="K61">
        <f t="shared" si="2"/>
        <v>6</v>
      </c>
      <c r="L61" s="148" t="s">
        <v>39</v>
      </c>
      <c r="M61" s="66" t="s">
        <v>615</v>
      </c>
      <c r="N61" s="13"/>
      <c r="O61" s="13"/>
      <c r="P61" s="13">
        <v>1.93865246449457</v>
      </c>
      <c r="Q61" s="13"/>
      <c r="R61" s="130"/>
      <c r="S61" s="130">
        <v>59.990310671069558</v>
      </c>
      <c r="T61" s="13"/>
      <c r="U61" s="151" t="s">
        <v>49</v>
      </c>
      <c r="V61" s="17" t="s">
        <v>583</v>
      </c>
      <c r="W61" s="28">
        <f>'VfM MSD Mastersheet'!$O67</f>
        <v>-1.0633762677510565</v>
      </c>
      <c r="X61" s="28" t="str">
        <f t="array" ref="X61">_xlfn.IFS(
W61&lt;= $AO$5, "1st Quintile (Lowest)",
W61&lt;= $AP$5, "2nd Quintile (Median)",
W61&lt;= $AQ$5, "3rd Quintile",
TRUE, "Above 3rd Quintile"
)</f>
        <v>2nd Quintile (Median)</v>
      </c>
      <c r="Y61" s="13">
        <f>'VfM MSD Mastersheet'!$P67</f>
        <v>5.5979904555783735</v>
      </c>
      <c r="Z61" s="28" t="str">
        <f t="array" ref="Z61">_xlfn.IFS(
Y61&lt;= $AO$6, "1st Quintile (Lowest)",
Y61&lt;= $AP$6, "2nd Quintile (Median)",
Y61&lt;= $AQ$6, "3rd Quintile",
TRUE, "Above 3rd Quintile"
)</f>
        <v>2nd Quintile (Median)</v>
      </c>
      <c r="AA61" s="46" t="s">
        <v>590</v>
      </c>
      <c r="AB61" s="46" t="str">
        <f t="array" ref="AB61">_xlfn.IFS(
    (X61="1st Quintile (Lowest)")+(Z61="Above 3rd Quintile"), "Group 1",
    ((X61="2nd Quintile (Median)")+(X61="3rd Quintile")+(Z61="2nd Quintile")+(Z61="3rd Quintile")), "Group 2",
    TRUE, "Group 3"
)</f>
        <v>Group 2</v>
      </c>
      <c r="AF61" t="str">
        <f t="array" ref="AF61">_xlfn.IFS(
    ((X61="1st Quintile (Lowest)")+(Z61="Above 3rd Quintile"))*(K61&gt;5), "Group 1 - Long",
    ((X61="1st Quintile (Lowest)")+(Z61="Above 3rd Quintile"))*(K61&lt;=5), "Group 1 - Short",
    ((X61="2nd Quintile (Median)")+(X61="3rd Quintile")+(Z61="2nd Quintile")+(Z61="3rd Quintile"))*(K61&gt;5), "Group 2 - Long",
    ((X61="2nd Quintile (Median)")+(X61="3rd Quintile")+(Z61="2nd Quintile")+(Z61="3rd Quintile"))*(K61&lt;=5), "Group 2 - Short",
    K61&gt;5, "Group 3 - Long",
    K61&lt;=5, "Group 3 - Short"
)</f>
        <v>Group 2 - Long</v>
      </c>
    </row>
    <row r="62" spans="1:32" ht="13.9" customHeight="1" x14ac:dyDescent="0.25">
      <c r="A62" t="s">
        <v>549</v>
      </c>
      <c r="B62" t="s">
        <v>284</v>
      </c>
      <c r="C62" s="29" t="s">
        <v>171</v>
      </c>
      <c r="G62" t="s">
        <v>182</v>
      </c>
      <c r="H62" t="e">
        <v>#VALUE!</v>
      </c>
      <c r="I62">
        <v>2016</v>
      </c>
      <c r="J62">
        <v>2021</v>
      </c>
      <c r="K62">
        <f t="shared" si="2"/>
        <v>5</v>
      </c>
      <c r="L62" s="148" t="s">
        <v>39</v>
      </c>
      <c r="M62" s="66" t="s">
        <v>616</v>
      </c>
      <c r="N62" s="13"/>
      <c r="O62" s="13">
        <v>0.16233092165898619</v>
      </c>
      <c r="P62" s="13">
        <v>4.2761399078341018</v>
      </c>
      <c r="Q62" s="13"/>
      <c r="R62" s="130"/>
      <c r="S62" s="130">
        <v>78.463418690926446</v>
      </c>
      <c r="T62" s="13"/>
      <c r="U62" s="151" t="s">
        <v>49</v>
      </c>
      <c r="V62" s="17" t="s">
        <v>583</v>
      </c>
      <c r="W62" s="28">
        <f>'VfM MSD Mastersheet'!$O68</f>
        <v>-0.42589740157127381</v>
      </c>
      <c r="X62" s="28" t="str">
        <f t="array" ref="X62">_xlfn.IFS(
W62&lt;= $AO$5, "1st Quintile (Lowest)",
W62&lt;= $AP$5, "2nd Quintile (Median)",
W62&lt;= $AQ$5, "3rd Quintile",
TRUE, "Above 3rd Quintile"
)</f>
        <v>Above 3rd Quintile</v>
      </c>
      <c r="Y62" s="13">
        <f>'VfM MSD Mastersheet'!$P68</f>
        <v>5.8529868352160319</v>
      </c>
      <c r="Z62" s="28" t="str">
        <f t="array" ref="Z62">_xlfn.IFS(
Y62&lt;= $AO$6, "1st Quintile (Lowest)",
Y62&lt;= $AP$6, "2nd Quintile (Median)",
Y62&lt;= $AQ$6, "3rd Quintile",
TRUE, "Above 3rd Quintile"
)</f>
        <v>2nd Quintile (Median)</v>
      </c>
      <c r="AA62" s="46" t="s">
        <v>584</v>
      </c>
      <c r="AB62" s="46" t="str">
        <f t="array" ref="AB62">_xlfn.IFS(
    (X62="1st Quintile (Lowest)")+(Z62="Above 3rd Quintile"), "Group 1",
    ((X62="2nd Quintile (Median)")+(X62="3rd Quintile")+(Z62="2nd Quintile")+(Z62="3rd Quintile")), "Group 2",
    TRUE, "Group 3"
)</f>
        <v>Group 3</v>
      </c>
      <c r="AF62" t="str">
        <f t="array" ref="AF62">_xlfn.IFS(
    ((X62="1st Quintile (Lowest)")+(Z62="Above 3rd Quintile"))*(K62&gt;5), "Group 1 - Long",
    ((X62="1st Quintile (Lowest)")+(Z62="Above 3rd Quintile"))*(K62&lt;=5), "Group 1 - Short",
    ((X62="2nd Quintile (Median)")+(X62="3rd Quintile")+(Z62="2nd Quintile")+(Z62="3rd Quintile"))*(K62&gt;5), "Group 2 - Long",
    ((X62="2nd Quintile (Median)")+(X62="3rd Quintile")+(Z62="2nd Quintile")+(Z62="3rd Quintile"))*(K62&lt;=5), "Group 2 - Short",
    K62&gt;5, "Group 3 - Long",
    K62&lt;=5, "Group 3 - Short"
)</f>
        <v>Group 3 - Short</v>
      </c>
    </row>
    <row r="63" spans="1:32" x14ac:dyDescent="0.25">
      <c r="A63" t="s">
        <v>550</v>
      </c>
      <c r="B63" t="s">
        <v>324</v>
      </c>
      <c r="C63" s="29" t="s">
        <v>171</v>
      </c>
      <c r="G63" t="s">
        <v>182</v>
      </c>
      <c r="H63" t="e">
        <v>#VALUE!</v>
      </c>
      <c r="I63">
        <v>2021</v>
      </c>
      <c r="J63">
        <v>2025</v>
      </c>
      <c r="K63">
        <f t="shared" si="2"/>
        <v>4</v>
      </c>
      <c r="L63" s="148" t="s">
        <v>39</v>
      </c>
      <c r="M63" s="66" t="s">
        <v>616</v>
      </c>
      <c r="N63" s="13"/>
      <c r="O63" s="13">
        <v>0.13589120795412929</v>
      </c>
      <c r="P63" s="13">
        <v>3.9781127139103221E-2</v>
      </c>
      <c r="Q63" s="13"/>
      <c r="R63" s="130"/>
      <c r="S63" s="130">
        <v>167.49562201531359</v>
      </c>
      <c r="T63" s="13"/>
      <c r="U63" s="63" t="s">
        <v>42</v>
      </c>
      <c r="V63" s="17" t="s">
        <v>586</v>
      </c>
      <c r="W63" s="28">
        <f>'VfM MSD Mastersheet'!$O69</f>
        <v>-0.39038239725466284</v>
      </c>
      <c r="X63" s="28" t="str">
        <f t="array" ref="X63">_xlfn.IFS(
W63&lt;= $AO$5, "1st Quintile (Lowest)",
W63&lt;= $AP$5, "2nd Quintile (Median)",
W63&lt;= $AQ$5, "3rd Quintile",
TRUE, "Above 3rd Quintile"
)</f>
        <v>Above 3rd Quintile</v>
      </c>
      <c r="Y63" s="13">
        <f>'VfM MSD Mastersheet'!$P69</f>
        <v>9.3636150801567233</v>
      </c>
      <c r="Z63" s="28" t="str">
        <f t="array" ref="Z63">_xlfn.IFS(
Y63&lt;= $AO$6, "1st Quintile (Lowest)",
Y63&lt;= $AP$6, "2nd Quintile (Median)",
Y63&lt;= $AQ$6, "3rd Quintile",
TRUE, "Above 3rd Quintile"
)</f>
        <v>Above 3rd Quintile</v>
      </c>
      <c r="AA63" s="46" t="s">
        <v>587</v>
      </c>
      <c r="AB63" s="46" t="str">
        <f t="array" ref="AB63">_xlfn.IFS(
    (X63="1st Quintile (Lowest)")+(Z63="Above 3rd Quintile"), "Group 1",
    ((X63="2nd Quintile (Median)")+(X63="3rd Quintile")+(Z63="2nd Quintile")+(Z63="3rd Quintile")), "Group 2",
    TRUE, "Group 3"
)</f>
        <v>Group 1</v>
      </c>
      <c r="AF63" t="str">
        <f t="array" ref="AF63">_xlfn.IFS(
    ((X63="1st Quintile (Lowest)")+(Z63="Above 3rd Quintile"))*(K63&gt;5), "Group 1 - Long",
    ((X63="1st Quintile (Lowest)")+(Z63="Above 3rd Quintile"))*(K63&lt;=5), "Group 1 - Short",
    ((X63="2nd Quintile (Median)")+(X63="3rd Quintile")+(Z63="2nd Quintile")+(Z63="3rd Quintile"))*(K63&gt;5), "Group 2 - Long",
    ((X63="2nd Quintile (Median)")+(X63="3rd Quintile")+(Z63="2nd Quintile")+(Z63="3rd Quintile"))*(K63&lt;=5), "Group 2 - Short",
    K63&gt;5, "Group 3 - Long",
    K63&lt;=5, "Group 3 - Short"
)</f>
        <v>Group 1 - Short</v>
      </c>
    </row>
    <row r="64" spans="1:32" ht="30" x14ac:dyDescent="0.25">
      <c r="A64" t="s">
        <v>551</v>
      </c>
      <c r="B64" t="s">
        <v>345</v>
      </c>
      <c r="C64" s="29" t="s">
        <v>171</v>
      </c>
      <c r="G64" t="s">
        <v>182</v>
      </c>
      <c r="H64" t="e">
        <v>#VALUE!</v>
      </c>
      <c r="I64">
        <v>2022</v>
      </c>
      <c r="J64">
        <v>2025</v>
      </c>
      <c r="K64">
        <f t="shared" si="2"/>
        <v>3</v>
      </c>
      <c r="L64" s="148" t="s">
        <v>39</v>
      </c>
      <c r="M64" s="66" t="s">
        <v>616</v>
      </c>
      <c r="N64" s="13"/>
      <c r="O64" s="13">
        <v>8.3336882046059749E-4</v>
      </c>
      <c r="P64" s="13">
        <v>1.959925063457816</v>
      </c>
      <c r="Q64" s="13"/>
      <c r="R64" s="130"/>
      <c r="S64" s="130">
        <v>313.50224254452303</v>
      </c>
      <c r="T64" s="13"/>
      <c r="U64" s="151" t="s">
        <v>49</v>
      </c>
      <c r="V64" s="17" t="s">
        <v>583</v>
      </c>
      <c r="W64" s="28">
        <f>'VfM MSD Mastersheet'!$O70</f>
        <v>-1.9917204082012188</v>
      </c>
      <c r="X64" s="28" t="str">
        <f t="array" ref="X64">_xlfn.IFS(
W64&lt;= $AO$5, "1st Quintile (Lowest)",
W64&lt;= $AP$5, "2nd Quintile (Median)",
W64&lt;= $AQ$5, "3rd Quintile",
TRUE, "Above 3rd Quintile"
)</f>
        <v>1st Quintile (Lowest)</v>
      </c>
      <c r="Y64" s="13">
        <f>'VfM MSD Mastersheet'!$P70</f>
        <v>11.81112442224857</v>
      </c>
      <c r="Z64" s="28" t="str">
        <f t="array" ref="Z64">_xlfn.IFS(
Y64&lt;= $AO$6, "1st Quintile (Lowest)",
Y64&lt;= $AP$6, "2nd Quintile (Median)",
Y64&lt;= $AQ$6, "3rd Quintile",
TRUE, "Above 3rd Quintile"
)</f>
        <v>Above 3rd Quintile</v>
      </c>
      <c r="AA64" s="46" t="s">
        <v>587</v>
      </c>
      <c r="AB64" s="46" t="str">
        <f t="array" ref="AB64">_xlfn.IFS(
    (X64="1st Quintile (Lowest)")+(Z64="Above 3rd Quintile"), "Group 1",
    ((X64="2nd Quintile (Median)")+(X64="3rd Quintile")+(Z64="2nd Quintile")+(Z64="3rd Quintile")), "Group 2",
    TRUE, "Group 3"
)</f>
        <v>Group 1</v>
      </c>
      <c r="AF64" t="str">
        <f t="array" ref="AF64">_xlfn.IFS(
    ((X64="1st Quintile (Lowest)")+(Z64="Above 3rd Quintile"))*(K64&gt;5), "Group 1 - Long",
    ((X64="1st Quintile (Lowest)")+(Z64="Above 3rd Quintile"))*(K64&lt;=5), "Group 1 - Short",
    ((X64="2nd Quintile (Median)")+(X64="3rd Quintile")+(Z64="2nd Quintile")+(Z64="3rd Quintile"))*(K64&gt;5), "Group 2 - Long",
    ((X64="2nd Quintile (Median)")+(X64="3rd Quintile")+(Z64="2nd Quintile")+(Z64="3rd Quintile"))*(K64&lt;=5), "Group 2 - Short",
    K64&gt;5, "Group 3 - Long",
    K64&lt;=5, "Group 3 - Short"
)</f>
        <v>Group 1 - Short</v>
      </c>
    </row>
    <row r="65" spans="1:41" ht="30" x14ac:dyDescent="0.25">
      <c r="A65" t="s">
        <v>552</v>
      </c>
      <c r="B65" t="s">
        <v>289</v>
      </c>
      <c r="C65" s="29" t="s">
        <v>171</v>
      </c>
      <c r="D65" s="251"/>
      <c r="E65" s="251"/>
      <c r="F65" s="251"/>
      <c r="G65" t="s">
        <v>182</v>
      </c>
      <c r="H65" t="e">
        <v>#VALUE!</v>
      </c>
      <c r="I65">
        <v>2018</v>
      </c>
      <c r="J65">
        <v>2023</v>
      </c>
      <c r="K65">
        <f t="shared" si="2"/>
        <v>5</v>
      </c>
      <c r="L65" s="148" t="s">
        <v>290</v>
      </c>
      <c r="M65" s="66" t="s">
        <v>617</v>
      </c>
      <c r="N65" s="130">
        <v>672.10389964548676</v>
      </c>
      <c r="O65" s="13">
        <v>6.3452323040538188</v>
      </c>
      <c r="P65" s="13">
        <v>11.54567086855173</v>
      </c>
      <c r="Q65" s="13">
        <v>2.52078849034325</v>
      </c>
      <c r="R65" s="130">
        <v>804.70201788175427</v>
      </c>
      <c r="S65" s="130">
        <v>2103.9132403215381</v>
      </c>
      <c r="T65" s="13">
        <v>1.4070683436263329</v>
      </c>
      <c r="U65" s="151" t="s">
        <v>49</v>
      </c>
      <c r="V65" s="17" t="s">
        <v>583</v>
      </c>
      <c r="W65" s="28" t="str">
        <f>'VfM MSD Mastersheet'!$O71</f>
        <v>N/A</v>
      </c>
      <c r="X65" s="28" t="str">
        <f t="array" ref="X65">_xlfn.IFS(
W65&lt;= $AO$5, "1st Quintile (Lowest)",
W65&lt;= $AP$5, "2nd Quintile (Median)",
W65&lt;= $AQ$5, "3rd Quintile",
TRUE, "Above 3rd Quintile"
)</f>
        <v>Above 3rd Quintile</v>
      </c>
      <c r="Y65" s="13" t="str">
        <f>'VfM MSD Mastersheet'!$P71</f>
        <v>N/A</v>
      </c>
      <c r="Z65" s="28" t="str">
        <f t="array" ref="Z65">_xlfn.IFS(
Y65&lt;= $AO$6, "1st Quintile (Lowest)",
Y65&lt;= $AP$6, "2nd Quintile (Median)",
Y65&lt;= $AQ$6, "3rd Quintile",
TRUE, "Above 3rd Quintile"
)</f>
        <v>Above 3rd Quintile</v>
      </c>
      <c r="AA65" s="46" t="s">
        <v>587</v>
      </c>
      <c r="AB65" s="46" t="str">
        <f t="array" ref="AB65">_xlfn.IFS(
    (X65="1st Quintile (Lowest)")+(Z65="Above 3rd Quintile"), "Group 1",
    ((X65="2nd Quintile (Median)")+(X65="3rd Quintile")+(Z65="2nd Quintile")+(Z65="3rd Quintile")), "Group 2",
    TRUE, "Group 3"
)</f>
        <v>Group 1</v>
      </c>
      <c r="AF65" t="str">
        <f t="array" ref="AF65">_xlfn.IFS(
    ((X65="1st Quintile (Lowest)")+(Z65="Above 3rd Quintile"))*(K65&gt;5), "Group 1 - Long",
    ((X65="1st Quintile (Lowest)")+(Z65="Above 3rd Quintile"))*(K65&lt;=5), "Group 1 - Short",
    ((X65="2nd Quintile (Median)")+(X65="3rd Quintile")+(Z65="2nd Quintile")+(Z65="3rd Quintile"))*(K65&gt;5), "Group 2 - Long",
    ((X65="2nd Quintile (Median)")+(X65="3rd Quintile")+(Z65="2nd Quintile")+(Z65="3rd Quintile"))*(K65&lt;=5), "Group 2 - Short",
    K65&gt;5, "Group 3 - Long",
    K65&lt;=5, "Group 3 - Short"
)</f>
        <v>Group 1 - Short</v>
      </c>
    </row>
    <row r="66" spans="1:41" ht="30" x14ac:dyDescent="0.25">
      <c r="A66" t="s">
        <v>553</v>
      </c>
      <c r="B66" t="s">
        <v>242</v>
      </c>
      <c r="C66" s="29" t="s">
        <v>171</v>
      </c>
      <c r="D66" s="251"/>
      <c r="E66" s="251"/>
      <c r="F66" s="251"/>
      <c r="G66" t="s">
        <v>243</v>
      </c>
      <c r="H66" t="e">
        <v>#VALUE!</v>
      </c>
      <c r="I66">
        <v>2020</v>
      </c>
      <c r="J66">
        <v>2025</v>
      </c>
      <c r="K66">
        <f t="shared" si="2"/>
        <v>5</v>
      </c>
      <c r="L66" s="148" t="s">
        <v>39</v>
      </c>
      <c r="M66" s="66" t="s">
        <v>617</v>
      </c>
      <c r="N66" s="13"/>
      <c r="O66" s="13">
        <v>1.291848294117647</v>
      </c>
      <c r="P66" s="13">
        <v>18.853573058823532</v>
      </c>
      <c r="Q66" s="13">
        <v>0.14420347058823529</v>
      </c>
      <c r="R66" s="130">
        <v>366.73498004530262</v>
      </c>
      <c r="S66" s="130">
        <v>59.221275068888268</v>
      </c>
      <c r="T66" s="13"/>
      <c r="U66" s="151" t="s">
        <v>49</v>
      </c>
      <c r="V66" s="17" t="s">
        <v>583</v>
      </c>
      <c r="W66" s="28">
        <f>'VfM MSD Mastersheet'!$O72</f>
        <v>-1.2534918189048749</v>
      </c>
      <c r="X66" s="28" t="str">
        <f t="array" ref="X66">_xlfn.IFS(
W66&lt;= $AO$5, "1st Quintile (Lowest)",
W66&lt;= $AP$5, "2nd Quintile (Median)",
W66&lt;= $AQ$5, "3rd Quintile",
TRUE, "Above 3rd Quintile"
)</f>
        <v>1st Quintile (Lowest)</v>
      </c>
      <c r="Y66" s="13">
        <f>'VfM MSD Mastersheet'!$P72</f>
        <v>7.1388932228651472</v>
      </c>
      <c r="Z66" s="28" t="str">
        <f t="array" ref="Z66">_xlfn.IFS(
Y66&lt;= $AO$6, "1st Quintile (Lowest)",
Y66&lt;= $AP$6, "2nd Quintile (Median)",
Y66&lt;= $AQ$6, "3rd Quintile",
TRUE, "Above 3rd Quintile"
)</f>
        <v>3rd Quintile</v>
      </c>
      <c r="AA66" s="46" t="s">
        <v>587</v>
      </c>
      <c r="AB66" s="46" t="str">
        <f t="array" ref="AB66">_xlfn.IFS(
    (X66="1st Quintile (Lowest)")+(Z66="Above 3rd Quintile"), "Group 1",
    ((X66="2nd Quintile (Median)")+(X66="3rd Quintile")+(Z66="2nd Quintile")+(Z66="3rd Quintile")), "Group 2",
    TRUE, "Group 3"
)</f>
        <v>Group 1</v>
      </c>
      <c r="AF66" t="str">
        <f t="array" ref="AF66">_xlfn.IFS(
    ((X66="1st Quintile (Lowest)")+(Z66="Above 3rd Quintile"))*(K66&gt;5), "Group 1 - Long",
    ((X66="1st Quintile (Lowest)")+(Z66="Above 3rd Quintile"))*(K66&lt;=5), "Group 1 - Short",
    ((X66="2nd Quintile (Median)")+(X66="3rd Quintile")+(Z66="2nd Quintile")+(Z66="3rd Quintile"))*(K66&gt;5), "Group 2 - Long",
    ((X66="2nd Quintile (Median)")+(X66="3rd Quintile")+(Z66="2nd Quintile")+(Z66="3rd Quintile"))*(K66&lt;=5), "Group 2 - Short",
    K66&gt;5, "Group 3 - Long",
    K66&lt;=5, "Group 3 - Short"
)</f>
        <v>Group 1 - Short</v>
      </c>
    </row>
    <row r="67" spans="1:41" ht="14.45" customHeight="1" x14ac:dyDescent="0.25">
      <c r="A67" t="s">
        <v>265</v>
      </c>
      <c r="B67" t="s">
        <v>266</v>
      </c>
      <c r="C67" s="29" t="s">
        <v>171</v>
      </c>
      <c r="D67" s="251"/>
      <c r="E67" s="251"/>
      <c r="F67" s="251"/>
      <c r="G67" t="s">
        <v>243</v>
      </c>
      <c r="H67" t="e">
        <v>#VALUE!</v>
      </c>
      <c r="I67">
        <v>2013</v>
      </c>
      <c r="J67">
        <v>2018</v>
      </c>
      <c r="K67">
        <f t="shared" si="2"/>
        <v>5</v>
      </c>
      <c r="L67" s="148" t="s">
        <v>39</v>
      </c>
      <c r="M67" s="66" t="s">
        <v>617</v>
      </c>
      <c r="N67" s="13"/>
      <c r="O67" s="13">
        <v>0.84418295885789285</v>
      </c>
      <c r="P67" s="13">
        <v>18.8265999901617</v>
      </c>
      <c r="Q67" s="13">
        <v>0.1122911370079798</v>
      </c>
      <c r="R67" s="130">
        <v>11745.72998872604</v>
      </c>
      <c r="S67" s="130">
        <v>34.911844636119319</v>
      </c>
      <c r="T67" s="13"/>
      <c r="U67" s="151" t="s">
        <v>49</v>
      </c>
      <c r="V67" s="17" t="s">
        <v>586</v>
      </c>
      <c r="W67" s="28">
        <f>'VfM MSD Mastersheet'!$O73</f>
        <v>-0.76991668939590441</v>
      </c>
      <c r="X67" s="28" t="str">
        <f t="array" ref="X67">_xlfn.IFS(
W67&lt;= $AO$5, "1st Quintile (Lowest)",
W67&lt;= $AP$5, "2nd Quintile (Median)",
W67&lt;= $AQ$5, "3rd Quintile",
TRUE, "Above 3rd Quintile"
)</f>
        <v>2nd Quintile (Median)</v>
      </c>
      <c r="Y67" s="13">
        <f>'VfM MSD Mastersheet'!$P73</f>
        <v>-0.76991668939590441</v>
      </c>
      <c r="Z67" s="28" t="str">
        <f t="array" ref="Z67">_xlfn.IFS(
Y67&lt;= $AO$6, "1st Quintile (Lowest)",
Y67&lt;= $AP$6, "2nd Quintile (Median)",
Y67&lt;= $AQ$6, "3rd Quintile",
TRUE, "Above 3rd Quintile"
)</f>
        <v>1st Quintile (Lowest)</v>
      </c>
      <c r="AA67" s="46" t="s">
        <v>590</v>
      </c>
      <c r="AB67" s="46" t="str">
        <f t="array" ref="AB67">_xlfn.IFS(
    (X67="1st Quintile (Lowest)")+(Z67="Above 3rd Quintile"), "Group 1",
    ((X67="2nd Quintile (Median)")+(X67="3rd Quintile")+(Z67="2nd Quintile")+(Z67="3rd Quintile")), "Group 2",
    TRUE, "Group 3"
)</f>
        <v>Group 2</v>
      </c>
      <c r="AF67" t="str">
        <f t="array" ref="AF67">_xlfn.IFS(
    ((X67="1st Quintile (Lowest)")+(Z67="Above 3rd Quintile"))*(K67&gt;5), "Group 1 - Long",
    ((X67="1st Quintile (Lowest)")+(Z67="Above 3rd Quintile"))*(K67&lt;=5), "Group 1 - Short",
    ((X67="2nd Quintile (Median)")+(X67="3rd Quintile")+(Z67="2nd Quintile")+(Z67="3rd Quintile"))*(K67&gt;5), "Group 2 - Long",
    ((X67="2nd Quintile (Median)")+(X67="3rd Quintile")+(Z67="2nd Quintile")+(Z67="3rd Quintile"))*(K67&lt;=5), "Group 2 - Short",
    K67&gt;5, "Group 3 - Long",
    K67&lt;=5, "Group 3 - Short"
)</f>
        <v>Group 2 - Short</v>
      </c>
    </row>
    <row r="68" spans="1:41" ht="14.45" customHeight="1" x14ac:dyDescent="0.25">
      <c r="A68" t="s">
        <v>321</v>
      </c>
      <c r="B68" t="s">
        <v>322</v>
      </c>
      <c r="C68" s="29" t="s">
        <v>171</v>
      </c>
      <c r="D68" s="251"/>
      <c r="E68" s="251"/>
      <c r="F68" s="251"/>
      <c r="G68" t="s">
        <v>230</v>
      </c>
      <c r="H68" t="e">
        <v>#VALUE!</v>
      </c>
      <c r="I68">
        <v>2019</v>
      </c>
      <c r="J68">
        <v>2025</v>
      </c>
      <c r="K68">
        <f t="shared" si="2"/>
        <v>6</v>
      </c>
      <c r="L68" s="148" t="s">
        <v>39</v>
      </c>
      <c r="M68" s="66" t="s">
        <v>617</v>
      </c>
      <c r="N68" s="13"/>
      <c r="O68" s="13">
        <v>1.4768966841882609</v>
      </c>
      <c r="P68" s="13">
        <v>2.400082340145846</v>
      </c>
      <c r="Q68" s="13"/>
      <c r="R68" s="130">
        <v>13222.31033004715</v>
      </c>
      <c r="S68" s="130">
        <v>419.0232008476188</v>
      </c>
      <c r="T68" s="13"/>
      <c r="U68" s="151" t="s">
        <v>49</v>
      </c>
      <c r="V68" s="17" t="s">
        <v>586</v>
      </c>
      <c r="W68" s="28">
        <f>'VfM MSD Mastersheet'!$O74</f>
        <v>-2.0746684074401869</v>
      </c>
      <c r="X68" s="28" t="str">
        <f t="array" ref="X68">_xlfn.IFS(
W68&lt;= $AO$5, "1st Quintile (Lowest)",
W68&lt;= $AP$5, "2nd Quintile (Median)",
W68&lt;= $AQ$5, "3rd Quintile",
TRUE, "Above 3rd Quintile"
)</f>
        <v>1st Quintile (Lowest)</v>
      </c>
      <c r="Y68" s="13">
        <f>'VfM MSD Mastersheet'!$P74</f>
        <v>27.996493934290239</v>
      </c>
      <c r="Z68" s="28" t="str">
        <f t="array" ref="Z68">_xlfn.IFS(
Y68&lt;= $AO$6, "1st Quintile (Lowest)",
Y68&lt;= $AP$6, "2nd Quintile (Median)",
Y68&lt;= $AQ$6, "3rd Quintile",
TRUE, "Above 3rd Quintile"
)</f>
        <v>Above 3rd Quintile</v>
      </c>
      <c r="AA68" s="46" t="s">
        <v>590</v>
      </c>
      <c r="AB68" s="46" t="str">
        <f t="array" ref="AB68">_xlfn.IFS(
    (X68="1st Quintile (Lowest)")+(Z68="Above 3rd Quintile"), "Group 1",
    ((X68="2nd Quintile (Median)")+(X68="3rd Quintile")+(Z68="2nd Quintile")+(Z68="3rd Quintile")), "Group 2",
    TRUE, "Group 3"
)</f>
        <v>Group 1</v>
      </c>
      <c r="AF68" t="str">
        <f t="array" ref="AF68">_xlfn.IFS(
    ((X68="1st Quintile (Lowest)")+(Z68="Above 3rd Quintile"))*(K68&gt;5), "Group 1 - Long",
    ((X68="1st Quintile (Lowest)")+(Z68="Above 3rd Quintile"))*(K68&lt;=5), "Group 1 - Short",
    ((X68="2nd Quintile (Median)")+(X68="3rd Quintile")+(Z68="2nd Quintile")+(Z68="3rd Quintile"))*(K68&gt;5), "Group 2 - Long",
    ((X68="2nd Quintile (Median)")+(X68="3rd Quintile")+(Z68="2nd Quintile")+(Z68="3rd Quintile"))*(K68&lt;=5), "Group 2 - Short",
    K68&gt;5, "Group 3 - Long",
    K68&lt;=5, "Group 3 - Short"
)</f>
        <v>Group 1 - Long</v>
      </c>
    </row>
    <row r="69" spans="1:41" ht="14.45" customHeight="1" x14ac:dyDescent="0.25">
      <c r="A69" t="s">
        <v>228</v>
      </c>
      <c r="B69" t="s">
        <v>229</v>
      </c>
      <c r="C69" s="29" t="s">
        <v>171</v>
      </c>
      <c r="D69" s="251"/>
      <c r="E69" s="251"/>
      <c r="F69" s="251"/>
      <c r="G69" t="s">
        <v>230</v>
      </c>
      <c r="H69" t="e">
        <v>#VALUE!</v>
      </c>
      <c r="I69">
        <v>2018</v>
      </c>
      <c r="J69">
        <v>2023</v>
      </c>
      <c r="K69">
        <f t="shared" si="2"/>
        <v>5</v>
      </c>
      <c r="L69" s="148" t="s">
        <v>39</v>
      </c>
      <c r="M69" s="66" t="s">
        <v>617</v>
      </c>
      <c r="N69" s="13"/>
      <c r="O69" s="13">
        <v>2.3868531215083291</v>
      </c>
      <c r="P69" s="13">
        <v>1.91583937848875</v>
      </c>
      <c r="Q69" s="13"/>
      <c r="R69" s="130">
        <v>350.32563460334279</v>
      </c>
      <c r="S69" s="130"/>
      <c r="T69" s="13"/>
      <c r="U69" s="151" t="s">
        <v>49</v>
      </c>
      <c r="V69" s="17" t="s">
        <v>586</v>
      </c>
      <c r="W69" s="28">
        <f>'VfM MSD Mastersheet'!$O75</f>
        <v>-0.49853437142640661</v>
      </c>
      <c r="X69" s="28" t="str">
        <f t="array" ref="X69">_xlfn.IFS(
W69&lt;= $AO$5, "1st Quintile (Lowest)",
W69&lt;= $AP$5, "2nd Quintile (Median)",
W69&lt;= $AQ$5, "3rd Quintile",
TRUE, "Above 3rd Quintile"
)</f>
        <v>3rd Quintile</v>
      </c>
      <c r="Y69" s="13">
        <f>'VfM MSD Mastersheet'!$P75</f>
        <v>5.2221269838014495</v>
      </c>
      <c r="Z69" s="28" t="str">
        <f t="array" ref="Z69">_xlfn.IFS(
Y69&lt;= $AO$6, "1st Quintile (Lowest)",
Y69&lt;= $AP$6, "2nd Quintile (Median)",
Y69&lt;= $AQ$6, "3rd Quintile",
TRUE, "Above 3rd Quintile"
)</f>
        <v>2nd Quintile (Median)</v>
      </c>
      <c r="AA69" s="46" t="s">
        <v>587</v>
      </c>
      <c r="AB69" s="46" t="str">
        <f t="array" ref="AB69">_xlfn.IFS(
    (X69="1st Quintile (Lowest)")+(Z69="Above 3rd Quintile"), "Group 1",
    ((X69="2nd Quintile (Median)")+(X69="3rd Quintile")+(Z69="2nd Quintile")+(Z69="3rd Quintile")), "Group 2",
    TRUE, "Group 3"
)</f>
        <v>Group 2</v>
      </c>
      <c r="AF69" t="str">
        <f t="array" ref="AF69">_xlfn.IFS(
    ((X69="1st Quintile (Lowest)")+(Z69="Above 3rd Quintile"))*(K69&gt;5), "Group 1 - Long",
    ((X69="1st Quintile (Lowest)")+(Z69="Above 3rd Quintile"))*(K69&lt;=5), "Group 1 - Short",
    ((X69="2nd Quintile (Median)")+(X69="3rd Quintile")+(Z69="2nd Quintile")+(Z69="3rd Quintile"))*(K69&gt;5), "Group 2 - Long",
    ((X69="2nd Quintile (Median)")+(X69="3rd Quintile")+(Z69="2nd Quintile")+(Z69="3rd Quintile"))*(K69&lt;=5), "Group 2 - Short",
    K69&gt;5, "Group 3 - Long",
    K69&lt;=5, "Group 3 - Short"
)</f>
        <v>Group 2 - Short</v>
      </c>
    </row>
    <row r="70" spans="1:41" ht="14.45" customHeight="1" x14ac:dyDescent="0.25">
      <c r="A70" t="s">
        <v>300</v>
      </c>
      <c r="B70" t="s">
        <v>301</v>
      </c>
      <c r="C70" s="29" t="s">
        <v>171</v>
      </c>
      <c r="D70" s="251"/>
      <c r="E70" s="251"/>
      <c r="F70" s="251"/>
      <c r="G70" t="s">
        <v>230</v>
      </c>
      <c r="H70" t="e">
        <v>#VALUE!</v>
      </c>
      <c r="I70">
        <v>2019</v>
      </c>
      <c r="J70">
        <v>2024</v>
      </c>
      <c r="K70">
        <f t="shared" si="2"/>
        <v>5</v>
      </c>
      <c r="L70" s="148" t="s">
        <v>302</v>
      </c>
      <c r="M70" s="66" t="s">
        <v>617</v>
      </c>
      <c r="N70" s="13"/>
      <c r="O70" s="13">
        <v>1.1559999999999999</v>
      </c>
      <c r="P70" s="13">
        <v>2.6120000000000001</v>
      </c>
      <c r="Q70" s="13">
        <v>79.736000000000004</v>
      </c>
      <c r="R70" s="130">
        <v>5085.4353132628157</v>
      </c>
      <c r="S70" s="130"/>
      <c r="T70" s="13"/>
      <c r="U70" s="151" t="s">
        <v>49</v>
      </c>
      <c r="V70" s="17" t="s">
        <v>589</v>
      </c>
      <c r="W70" s="28">
        <f>'VfM MSD Mastersheet'!$O76</f>
        <v>-1.48306620121002</v>
      </c>
      <c r="X70" s="28" t="str">
        <f t="array" ref="X70">_xlfn.IFS(
W70&lt;= $AO$5, "1st Quintile (Lowest)",
W70&lt;= $AP$5, "2nd Quintile (Median)",
W70&lt;= $AQ$5, "3rd Quintile",
TRUE, "Above 3rd Quintile"
)</f>
        <v>1st Quintile (Lowest)</v>
      </c>
      <c r="Y70" s="13">
        <f>'VfM MSD Mastersheet'!$P76</f>
        <v>7.5128422193224971</v>
      </c>
      <c r="Z70" s="28" t="str">
        <f t="array" ref="Z70">_xlfn.IFS(
Y70&lt;= $AO$6, "1st Quintile (Lowest)",
Y70&lt;= $AP$6, "2nd Quintile (Median)",
Y70&lt;= $AQ$6, "3rd Quintile",
TRUE, "Above 3rd Quintile"
)</f>
        <v>Above 3rd Quintile</v>
      </c>
      <c r="AA70" s="46" t="s">
        <v>584</v>
      </c>
      <c r="AB70" s="46" t="str">
        <f t="array" ref="AB70">_xlfn.IFS(
    (X70="1st Quintile (Lowest)")+(Z70="Above 3rd Quintile"), "Group 1",
    ((X70="2nd Quintile (Median)")+(X70="3rd Quintile")+(Z70="2nd Quintile")+(Z70="3rd Quintile")), "Group 2",
    TRUE, "Group 3"
)</f>
        <v>Group 1</v>
      </c>
      <c r="AF70" t="str">
        <f t="array" ref="AF70">_xlfn.IFS(
    ((X70="1st Quintile (Lowest)")+(Z70="Above 3rd Quintile"))*(K70&gt;5), "Group 1 - Long",
    ((X70="1st Quintile (Lowest)")+(Z70="Above 3rd Quintile"))*(K70&lt;=5), "Group 1 - Short",
    ((X70="2nd Quintile (Median)")+(X70="3rd Quintile")+(Z70="2nd Quintile")+(Z70="3rd Quintile"))*(K70&gt;5), "Group 2 - Long",
    ((X70="2nd Quintile (Median)")+(X70="3rd Quintile")+(Z70="2nd Quintile")+(Z70="3rd Quintile"))*(K70&lt;=5), "Group 2 - Short",
    K70&gt;5, "Group 3 - Long",
    K70&lt;=5, "Group 3 - Short"
)</f>
        <v>Group 1 - Short</v>
      </c>
    </row>
    <row r="71" spans="1:41" ht="14.45" customHeight="1" x14ac:dyDescent="0.25">
      <c r="A71" t="s">
        <v>350</v>
      </c>
      <c r="B71" t="s">
        <v>351</v>
      </c>
      <c r="C71" s="29" t="s">
        <v>171</v>
      </c>
      <c r="G71" t="s">
        <v>53</v>
      </c>
      <c r="H71" t="e">
        <v>#VALUE!</v>
      </c>
      <c r="I71">
        <v>2020</v>
      </c>
      <c r="J71">
        <v>2025</v>
      </c>
      <c r="K71">
        <f t="shared" si="2"/>
        <v>5</v>
      </c>
      <c r="L71" t="s">
        <v>39</v>
      </c>
      <c r="M71" s="66" t="s">
        <v>618</v>
      </c>
      <c r="N71" s="13"/>
      <c r="O71" s="13">
        <v>3.8750673637124283E-2</v>
      </c>
      <c r="P71" s="13">
        <v>1.1209320865687951</v>
      </c>
      <c r="Q71" s="13"/>
      <c r="R71" s="130">
        <v>80519.129662522202</v>
      </c>
      <c r="S71" s="130"/>
      <c r="T71" s="13"/>
      <c r="U71" s="63" t="s">
        <v>42</v>
      </c>
      <c r="V71" s="17" t="s">
        <v>586</v>
      </c>
      <c r="W71" s="28">
        <f>'VfM MSD Mastersheet'!$O77</f>
        <v>-0.41241648495197331</v>
      </c>
      <c r="X71" s="28" t="str">
        <f t="array" ref="X71">_xlfn.IFS(
W71&lt;= $AO$5, "1st Quintile (Lowest)",
W71&lt;= $AP$5, "2nd Quintile (Median)",
W71&lt;= $AQ$5, "3rd Quintile",
TRUE, "Above 3rd Quintile"
)</f>
        <v>Above 3rd Quintile</v>
      </c>
      <c r="Y71" s="13">
        <f>'VfM MSD Mastersheet'!$P77</f>
        <v>6.3292360646728643</v>
      </c>
      <c r="Z71" s="28" t="str">
        <f t="array" ref="Z71">_xlfn.IFS(
Y71&lt;= $AO$6, "1st Quintile (Lowest)",
Y71&lt;= $AP$6, "2nd Quintile (Median)",
Y71&lt;= $AQ$6, "3rd Quintile",
TRUE, "Above 3rd Quintile"
)</f>
        <v>2nd Quintile (Median)</v>
      </c>
      <c r="AA71" s="46" t="s">
        <v>587</v>
      </c>
      <c r="AB71" s="46" t="str">
        <f t="array" ref="AB71">_xlfn.IFS(
    (X71="1st Quintile (Lowest)")+(Z71="Above 3rd Quintile"), "Group 1",
    ((X71="2nd Quintile (Median)")+(X71="3rd Quintile")+(Z71="2nd Quintile")+(Z71="3rd Quintile")), "Group 2",
    TRUE, "Group 3"
)</f>
        <v>Group 3</v>
      </c>
      <c r="AF71" t="str">
        <f t="array" ref="AF71">_xlfn.IFS(
    ((X71="1st Quintile (Lowest)")+(Z71="Above 3rd Quintile"))*(K71&gt;5), "Group 1 - Long",
    ((X71="1st Quintile (Lowest)")+(Z71="Above 3rd Quintile"))*(K71&lt;=5), "Group 1 - Short",
    ((X71="2nd Quintile (Median)")+(X71="3rd Quintile")+(Z71="2nd Quintile")+(Z71="3rd Quintile"))*(K71&gt;5), "Group 2 - Long",
    ((X71="2nd Quintile (Median)")+(X71="3rd Quintile")+(Z71="2nd Quintile")+(Z71="3rd Quintile"))*(K71&lt;=5), "Group 2 - Short",
    K71&gt;5, "Group 3 - Long",
    K71&lt;=5, "Group 3 - Short"
)</f>
        <v>Group 3 - Short</v>
      </c>
    </row>
    <row r="72" spans="1:41" ht="14.45" customHeight="1" x14ac:dyDescent="0.25">
      <c r="A72" t="s">
        <v>352</v>
      </c>
      <c r="B72" t="s">
        <v>353</v>
      </c>
      <c r="C72" s="29" t="s">
        <v>171</v>
      </c>
      <c r="G72" t="s">
        <v>53</v>
      </c>
      <c r="H72" t="e">
        <v>#VALUE!</v>
      </c>
      <c r="I72">
        <v>2019</v>
      </c>
      <c r="J72">
        <v>2025</v>
      </c>
      <c r="K72">
        <f>J72-I72-1</f>
        <v>5</v>
      </c>
      <c r="L72" t="s">
        <v>39</v>
      </c>
      <c r="M72" s="66" t="s">
        <v>602</v>
      </c>
      <c r="N72" s="13">
        <v>2.54</v>
      </c>
      <c r="O72" s="13">
        <v>0.81226860892865016</v>
      </c>
      <c r="P72" s="13">
        <v>2.0232579381106071</v>
      </c>
      <c r="Q72" s="13"/>
      <c r="R72" s="130"/>
      <c r="S72" s="130">
        <v>88.572931161109921</v>
      </c>
      <c r="T72" s="13">
        <v>5.255148367073003E-2</v>
      </c>
      <c r="U72" s="63" t="s">
        <v>42</v>
      </c>
      <c r="V72" s="17" t="s">
        <v>583</v>
      </c>
      <c r="W72" s="28">
        <f>'VfM MSD Mastersheet'!$O78</f>
        <v>-0.4073436781764031</v>
      </c>
      <c r="X72" s="28" t="str">
        <f t="array" ref="X72">_xlfn.IFS(
W72&lt;= $AO$5, "1st Quintile (Lowest)",
W72&lt;= $AP$5, "2nd Quintile (Median)",
W72&lt;= $AQ$5, "3rd Quintile",
TRUE, "Above 3rd Quintile"
)</f>
        <v>Above 3rd Quintile</v>
      </c>
      <c r="Y72" s="13">
        <f>'VfM MSD Mastersheet'!$P78</f>
        <v>5.6886677341432357</v>
      </c>
      <c r="Z72" s="28" t="str">
        <f t="array" ref="Z72">_xlfn.IFS(
Y72&lt;= $AO$6, "1st Quintile (Lowest)",
Y72&lt;= $AP$6, "2nd Quintile (Median)",
Y72&lt;= $AQ$6, "3rd Quintile",
TRUE, "Above 3rd Quintile"
)</f>
        <v>2nd Quintile (Median)</v>
      </c>
      <c r="AA72" s="46" t="s">
        <v>587</v>
      </c>
      <c r="AB72" s="46" t="str">
        <f t="array" ref="AB72">_xlfn.IFS(
    (X72="1st Quintile (Lowest)")+(Z72="Above 3rd Quintile"), "Group 1",
    ((X72="2nd Quintile (Median)")+(X72="3rd Quintile")+(Z72="2nd Quintile")+(Z72="3rd Quintile")), "Group 2",
    TRUE, "Group 3"
)</f>
        <v>Group 3</v>
      </c>
      <c r="AF72" t="str">
        <f t="array" ref="AF72">_xlfn.IFS(
    ((X72="1st Quintile (Lowest)")+(Z72="Above 3rd Quintile"))*(K72&gt;5), "Group 1 - Long",
    ((X72="1st Quintile (Lowest)")+(Z72="Above 3rd Quintile"))*(K72&lt;=5), "Group 1 - Short",
    ((X72="2nd Quintile (Median)")+(X72="3rd Quintile")+(Z72="2nd Quintile")+(Z72="3rd Quintile"))*(K72&gt;5), "Group 2 - Long",
    ((X72="2nd Quintile (Median)")+(X72="3rd Quintile")+(Z72="2nd Quintile")+(Z72="3rd Quintile"))*(K72&lt;=5), "Group 2 - Short",
    K72&gt;5, "Group 3 - Long",
    K72&lt;=5, "Group 3 - Short"
)</f>
        <v>Group 3 - Short</v>
      </c>
    </row>
    <row r="73" spans="1:41" ht="14.45" customHeight="1" x14ac:dyDescent="0.25">
      <c r="A73" t="s">
        <v>291</v>
      </c>
      <c r="B73" t="s">
        <v>292</v>
      </c>
      <c r="C73" s="29" t="s">
        <v>171</v>
      </c>
      <c r="G73" t="s">
        <v>293</v>
      </c>
      <c r="H73" t="e">
        <v>#VALUE!</v>
      </c>
      <c r="I73">
        <v>2015</v>
      </c>
      <c r="J73">
        <v>2019</v>
      </c>
      <c r="K73">
        <f>J73-I73</f>
        <v>4</v>
      </c>
      <c r="L73" t="s">
        <v>39</v>
      </c>
      <c r="M73" s="66" t="s">
        <v>617</v>
      </c>
      <c r="N73" s="13"/>
      <c r="O73" s="13">
        <v>1.133113833333333</v>
      </c>
      <c r="P73" s="13">
        <v>3.004083333333333E-3</v>
      </c>
      <c r="Q73" s="13"/>
      <c r="R73" s="130">
        <v>1537.180554665983</v>
      </c>
      <c r="S73" s="130">
        <v>160.01600160016</v>
      </c>
      <c r="T73" s="13"/>
      <c r="U73" s="151" t="s">
        <v>49</v>
      </c>
      <c r="V73" s="17" t="s">
        <v>583</v>
      </c>
      <c r="W73" s="28">
        <f>'VfM MSD Mastersheet'!$O79</f>
        <v>-1.165821969509125</v>
      </c>
      <c r="X73" s="28" t="str">
        <f t="array" ref="X73">_xlfn.IFS(
W73&lt;= $AO$5, "1st Quintile (Lowest)",
W73&lt;= $AP$5, "2nd Quintile (Median)",
W73&lt;= $AQ$5, "3rd Quintile",
TRUE, "Above 3rd Quintile"
)</f>
        <v>2nd Quintile (Median)</v>
      </c>
      <c r="Y73" s="13">
        <f>'VfM MSD Mastersheet'!$P79</f>
        <v>6.1525056013519199</v>
      </c>
      <c r="Z73" s="28" t="str">
        <f t="array" ref="Z73">_xlfn.IFS(
Y73&lt;= $AO$6, "1st Quintile (Lowest)",
Y73&lt;= $AP$6, "2nd Quintile (Median)",
Y73&lt;= $AQ$6, "3rd Quintile",
TRUE, "Above 3rd Quintile"
)</f>
        <v>2nd Quintile (Median)</v>
      </c>
      <c r="AA73" s="46" t="s">
        <v>584</v>
      </c>
      <c r="AB73" s="46" t="str">
        <f t="array" ref="AB73">_xlfn.IFS(
    (X73="1st Quintile (Lowest)")+(Z73="Above 3rd Quintile"), "Group 1",
    ((X73="2nd Quintile (Median)")+(X73="3rd Quintile")+(Z73="2nd Quintile")+(Z73="3rd Quintile")), "Group 2",
    TRUE, "Group 3"
)</f>
        <v>Group 2</v>
      </c>
      <c r="AF73" t="str">
        <f t="array" ref="AF73">_xlfn.IFS(
    ((X73="1st Quintile (Lowest)")+(Z73="Above 3rd Quintile"))*(K73&gt;5), "Group 1 - Long",
    ((X73="1st Quintile (Lowest)")+(Z73="Above 3rd Quintile"))*(K73&lt;=5), "Group 1 - Short",
    ((X73="2nd Quintile (Median)")+(X73="3rd Quintile")+(Z73="2nd Quintile")+(Z73="3rd Quintile"))*(K73&gt;5), "Group 2 - Long",
    ((X73="2nd Quintile (Median)")+(X73="3rd Quintile")+(Z73="2nd Quintile")+(Z73="3rd Quintile"))*(K73&lt;=5), "Group 2 - Short",
    K73&gt;5, "Group 3 - Long",
    K73&lt;=5, "Group 3 - Short"
)</f>
        <v>Group 2 - Short</v>
      </c>
    </row>
    <row r="74" spans="1:41" ht="14.45" customHeight="1" x14ac:dyDescent="0.25">
      <c r="A74" t="s">
        <v>211</v>
      </c>
      <c r="B74" t="s">
        <v>212</v>
      </c>
      <c r="C74" s="29" t="s">
        <v>171</v>
      </c>
      <c r="G74" t="s">
        <v>213</v>
      </c>
      <c r="H74" t="e">
        <v>#VALUE!</v>
      </c>
      <c r="I74">
        <v>2019</v>
      </c>
      <c r="J74">
        <v>2025</v>
      </c>
      <c r="K74">
        <f>J74-I74-1</f>
        <v>5</v>
      </c>
      <c r="L74" t="s">
        <v>39</v>
      </c>
      <c r="M74" s="66" t="s">
        <v>617</v>
      </c>
      <c r="N74" s="13"/>
      <c r="O74" s="13">
        <v>0.38952297101449268</v>
      </c>
      <c r="P74" s="13">
        <v>6.1201095652173914</v>
      </c>
      <c r="Q74" s="13"/>
      <c r="R74" s="130"/>
      <c r="S74" s="130">
        <v>374.8675739548529</v>
      </c>
      <c r="T74" s="13"/>
      <c r="U74" s="151" t="s">
        <v>49</v>
      </c>
      <c r="V74" s="17" t="s">
        <v>586</v>
      </c>
      <c r="W74" s="28">
        <f>'VfM MSD Mastersheet'!$O80</f>
        <v>-0.10832274612039319</v>
      </c>
      <c r="X74" s="28" t="str">
        <f t="array" ref="X74">_xlfn.IFS(
W74&lt;= $AO$5, "1st Quintile (Lowest)",
W74&lt;= $AP$5, "2nd Quintile (Median)",
W74&lt;= $AQ$5, "3rd Quintile",
TRUE, "Above 3rd Quintile"
)</f>
        <v>Above 3rd Quintile</v>
      </c>
      <c r="Y74" s="13">
        <f>'VfM MSD Mastersheet'!$P80</f>
        <v>30.737062950111994</v>
      </c>
      <c r="Z74" s="28" t="str">
        <f t="array" ref="Z74">_xlfn.IFS(
Y74&lt;= $AO$6, "1st Quintile (Lowest)",
Y74&lt;= $AP$6, "2nd Quintile (Median)",
Y74&lt;= $AQ$6, "3rd Quintile",
TRUE, "Above 3rd Quintile"
)</f>
        <v>Above 3rd Quintile</v>
      </c>
      <c r="AA74" s="46" t="s">
        <v>587</v>
      </c>
      <c r="AB74" s="46" t="str">
        <f t="array" ref="AB74">_xlfn.IFS(
    (X74="1st Quintile (Lowest)")+(Z74="Above 3rd Quintile"), "Group 1",
    ((X74="2nd Quintile (Median)")+(X74="3rd Quintile")+(Z74="2nd Quintile")+(Z74="3rd Quintile")), "Group 2",
    TRUE, "Group 3"
)</f>
        <v>Group 1</v>
      </c>
      <c r="AF74" t="str">
        <f t="array" ref="AF74">_xlfn.IFS(
    ((X74="1st Quintile (Lowest)")+(Z74="Above 3rd Quintile"))*(K74&gt;5), "Group 1 - Long",
    ((X74="1st Quintile (Lowest)")+(Z74="Above 3rd Quintile"))*(K74&lt;=5), "Group 1 - Short",
    ((X74="2nd Quintile (Median)")+(X74="3rd Quintile")+(Z74="2nd Quintile")+(Z74="3rd Quintile"))*(K74&gt;5), "Group 2 - Long",
    ((X74="2nd Quintile (Median)")+(X74="3rd Quintile")+(Z74="2nd Quintile")+(Z74="3rd Quintile"))*(K74&lt;=5), "Group 2 - Short",
    K74&gt;5, "Group 3 - Long",
    K74&lt;=5, "Group 3 - Short"
)</f>
        <v>Group 1 - Short</v>
      </c>
    </row>
    <row r="75" spans="1:41" ht="14.45" customHeight="1" x14ac:dyDescent="0.25">
      <c r="A75" t="s">
        <v>362</v>
      </c>
      <c r="B75" t="s">
        <v>363</v>
      </c>
      <c r="C75" s="29" t="s">
        <v>171</v>
      </c>
      <c r="G75" t="s">
        <v>182</v>
      </c>
      <c r="H75" t="e">
        <v>#VALUE!</v>
      </c>
      <c r="I75">
        <v>2018</v>
      </c>
      <c r="J75">
        <v>2025</v>
      </c>
      <c r="K75">
        <f t="shared" ref="K75:K88" si="3">J75-I75</f>
        <v>7</v>
      </c>
      <c r="L75" t="s">
        <v>364</v>
      </c>
      <c r="M75" s="66" t="s">
        <v>617</v>
      </c>
      <c r="N75" s="130">
        <v>4308.7853172384303</v>
      </c>
      <c r="O75" s="13">
        <v>0.70857276000000002</v>
      </c>
      <c r="P75" s="13">
        <v>1.7337664800000001</v>
      </c>
      <c r="Q75" s="13"/>
      <c r="R75" s="130">
        <v>1644.574548564286</v>
      </c>
      <c r="S75" s="130"/>
      <c r="T75" s="13">
        <v>2.62</v>
      </c>
      <c r="U75" s="151" t="s">
        <v>49</v>
      </c>
      <c r="V75" s="17" t="s">
        <v>583</v>
      </c>
      <c r="W75" s="28">
        <f>'VfM MSD Mastersheet'!$O81</f>
        <v>-0.6616871230836423</v>
      </c>
      <c r="X75" s="28" t="str">
        <f t="array" ref="X75">_xlfn.IFS(
W75&lt;= $AO$5, "1st Quintile (Lowest)",
W75&lt;= $AP$5, "2nd Quintile (Median)",
W75&lt;= $AQ$5, "3rd Quintile",
TRUE, "Above 3rd Quintile"
)</f>
        <v>2nd Quintile (Median)</v>
      </c>
      <c r="Y75" s="13">
        <f>'VfM MSD Mastersheet'!$P81</f>
        <v>5.2426679258609603</v>
      </c>
      <c r="Z75" s="28" t="str">
        <f t="array" ref="Z75">_xlfn.IFS(
Y75&lt;= $AO$6, "1st Quintile (Lowest)",
Y75&lt;= $AP$6, "2nd Quintile (Median)",
Y75&lt;= $AQ$6, "3rd Quintile",
TRUE, "Above 3rd Quintile"
)</f>
        <v>2nd Quintile (Median)</v>
      </c>
      <c r="AA75" s="46" t="s">
        <v>590</v>
      </c>
      <c r="AB75" s="46" t="str">
        <f t="array" ref="AB75">_xlfn.IFS(
    (X75="1st Quintile (Lowest)")+(Z75="Above 3rd Quintile"), "Group 1",
    ((X75="2nd Quintile (Median)")+(X75="3rd Quintile")+(Z75="2nd Quintile")+(Z75="3rd Quintile")), "Group 2",
    TRUE, "Group 3"
)</f>
        <v>Group 2</v>
      </c>
      <c r="AF75" t="str">
        <f t="array" ref="AF75">_xlfn.IFS(
    ((X75="1st Quintile (Lowest)")+(Z75="Above 3rd Quintile"))*(K75&gt;5), "Group 1 - Long",
    ((X75="1st Quintile (Lowest)")+(Z75="Above 3rd Quintile"))*(K75&lt;=5), "Group 1 - Short",
    ((X75="2nd Quintile (Median)")+(X75="3rd Quintile")+(Z75="2nd Quintile")+(Z75="3rd Quintile"))*(K75&gt;5), "Group 2 - Long",
    ((X75="2nd Quintile (Median)")+(X75="3rd Quintile")+(Z75="2nd Quintile")+(Z75="3rd Quintile"))*(K75&lt;=5), "Group 2 - Short",
    K75&gt;5, "Group 3 - Long",
    K75&lt;=5, "Group 3 - Short"
)</f>
        <v>Group 2 - Long</v>
      </c>
      <c r="AN75" s="46"/>
      <c r="AO75" s="46"/>
    </row>
    <row r="76" spans="1:41" ht="14.45" customHeight="1" x14ac:dyDescent="0.25">
      <c r="A76" t="s">
        <v>121</v>
      </c>
      <c r="B76" t="s">
        <v>122</v>
      </c>
      <c r="C76" s="4" t="s">
        <v>619</v>
      </c>
      <c r="G76" t="s">
        <v>123</v>
      </c>
      <c r="H76" t="e">
        <v>#VALUE!</v>
      </c>
      <c r="I76">
        <v>2018</v>
      </c>
      <c r="J76">
        <v>2023</v>
      </c>
      <c r="K76">
        <f t="shared" si="3"/>
        <v>5</v>
      </c>
      <c r="L76" t="s">
        <v>124</v>
      </c>
      <c r="M76" s="66" t="s">
        <v>618</v>
      </c>
      <c r="N76" s="13"/>
      <c r="O76" s="13"/>
      <c r="P76" s="13"/>
      <c r="Q76" s="13"/>
      <c r="R76" s="130">
        <v>3575.547866205306</v>
      </c>
      <c r="S76" s="130"/>
      <c r="T76" s="13"/>
      <c r="U76" s="63" t="s">
        <v>42</v>
      </c>
      <c r="V76" s="17" t="s">
        <v>586</v>
      </c>
      <c r="W76" s="28">
        <f>'VfM MSD Mastersheet'!$O82</f>
        <v>-1.9944270551204699</v>
      </c>
      <c r="X76" s="28" t="str">
        <f t="array" ref="X76">_xlfn.IFS(
W76&lt;= $AO$5, "1st Quintile (Lowest)",
W76&lt;= $AP$5, "2nd Quintile (Median)",
W76&lt;= $AQ$5, "3rd Quintile",
TRUE, "Above 3rd Quintile"
)</f>
        <v>1st Quintile (Lowest)</v>
      </c>
      <c r="Y76" s="13">
        <f>'VfM MSD Mastersheet'!$P82</f>
        <v>26.468464518613423</v>
      </c>
      <c r="Z76" s="28" t="str">
        <f t="array" ref="Z76">_xlfn.IFS(
Y76&lt;= $AO$6, "1st Quintile (Lowest)",
Y76&lt;= $AP$6, "2nd Quintile (Median)",
Y76&lt;= $AQ$6, "3rd Quintile",
TRUE, "Above 3rd Quintile"
)</f>
        <v>Above 3rd Quintile</v>
      </c>
      <c r="AA76" s="46" t="s">
        <v>590</v>
      </c>
      <c r="AB76" s="46" t="str">
        <f t="array" ref="AB76">_xlfn.IFS(
    (X76="1st Quintile (Lowest)")+(Z76="Above 3rd Quintile"), "Group 1",
    ((X76="2nd Quintile (Median)")+(X76="3rd Quintile")+(Z76="2nd Quintile")+(Z76="3rd Quintile")), "Group 2",
    TRUE, "Group 3"
)</f>
        <v>Group 1</v>
      </c>
      <c r="AF76" t="str">
        <f t="array" ref="AF76">_xlfn.IFS(
    ((X76="1st Quintile (Lowest)")+(Z76="Above 3rd Quintile"))*(K76&gt;5), "Group 1 - Long",
    ((X76="1st Quintile (Lowest)")+(Z76="Above 3rd Quintile"))*(K76&lt;=5), "Group 1 - Short",
    ((X76="2nd Quintile (Median)")+(X76="3rd Quintile")+(Z76="2nd Quintile")+(Z76="3rd Quintile"))*(K76&gt;5), "Group 2 - Long",
    ((X76="2nd Quintile (Median)")+(X76="3rd Quintile")+(Z76="2nd Quintile")+(Z76="3rd Quintile"))*(K76&lt;=5), "Group 2 - Short",
    K76&gt;5, "Group 3 - Long",
    K76&lt;=5, "Group 3 - Short"
)</f>
        <v>Group 1 - Short</v>
      </c>
      <c r="AN76" s="46"/>
    </row>
    <row r="77" spans="1:41" ht="14.45" customHeight="1" x14ac:dyDescent="0.25">
      <c r="A77" t="s">
        <v>377</v>
      </c>
      <c r="B77" t="s">
        <v>378</v>
      </c>
      <c r="C77" s="29" t="s">
        <v>171</v>
      </c>
      <c r="G77" t="s">
        <v>230</v>
      </c>
      <c r="H77" t="e">
        <v>#VALUE!</v>
      </c>
      <c r="I77">
        <v>2019</v>
      </c>
      <c r="J77">
        <v>2023</v>
      </c>
      <c r="K77">
        <f t="shared" si="3"/>
        <v>4</v>
      </c>
      <c r="L77" t="s">
        <v>39</v>
      </c>
      <c r="M77" s="66" t="s">
        <v>618</v>
      </c>
      <c r="N77" s="13"/>
      <c r="O77" s="13">
        <v>0.12727272727272729</v>
      </c>
      <c r="P77" s="13"/>
      <c r="Q77" s="13">
        <v>9.0909090909090912E-2</v>
      </c>
      <c r="R77" s="130"/>
      <c r="S77" s="130">
        <v>4406.3451369972763</v>
      </c>
      <c r="T77" s="13"/>
      <c r="U77" s="63" t="s">
        <v>42</v>
      </c>
      <c r="V77" s="17" t="s">
        <v>586</v>
      </c>
      <c r="W77" s="28">
        <f>'VfM MSD Mastersheet'!$O83</f>
        <v>-1.8319787740707381</v>
      </c>
      <c r="X77" s="28" t="str">
        <f t="array" ref="X77">_xlfn.IFS(
W77&lt;= $AO$5, "1st Quintile (Lowest)",
W77&lt;= $AP$5, "2nd Quintile (Median)",
W77&lt;= $AQ$5, "3rd Quintile",
TRUE, "Above 3rd Quintile"
)</f>
        <v>1st Quintile (Lowest)</v>
      </c>
      <c r="Y77" s="13">
        <f>'VfM MSD Mastersheet'!$P83</f>
        <v>19.724021021602343</v>
      </c>
      <c r="Z77" s="28" t="str">
        <f t="array" ref="Z77">_xlfn.IFS(
Y77&lt;= $AO$6, "1st Quintile (Lowest)",
Y77&lt;= $AP$6, "2nd Quintile (Median)",
Y77&lt;= $AQ$6, "3rd Quintile",
TRUE, "Above 3rd Quintile"
)</f>
        <v>Above 3rd Quintile</v>
      </c>
      <c r="AA77" s="46" t="s">
        <v>587</v>
      </c>
      <c r="AB77" s="46" t="str">
        <f t="array" ref="AB77">_xlfn.IFS(
    (X77="1st Quintile (Lowest)")+(Z77="Above 3rd Quintile"), "Group 1",
    ((X77="2nd Quintile (Median)")+(X77="3rd Quintile")+(Z77="2nd Quintile")+(Z77="3rd Quintile")), "Group 2",
    TRUE, "Group 3"
)</f>
        <v>Group 1</v>
      </c>
      <c r="AF77" t="str">
        <f t="array" ref="AF77">_xlfn.IFS(
    ((X77="1st Quintile (Lowest)")+(Z77="Above 3rd Quintile"))*(K77&gt;5), "Group 1 - Long",
    ((X77="1st Quintile (Lowest)")+(Z77="Above 3rd Quintile"))*(K77&lt;=5), "Group 1 - Short",
    ((X77="2nd Quintile (Median)")+(X77="3rd Quintile")+(Z77="2nd Quintile")+(Z77="3rd Quintile"))*(K77&gt;5), "Group 2 - Long",
    ((X77="2nd Quintile (Median)")+(X77="3rd Quintile")+(Z77="2nd Quintile")+(Z77="3rd Quintile"))*(K77&lt;=5), "Group 2 - Short",
    K77&gt;5, "Group 3 - Long",
    K77&lt;=5, "Group 3 - Short"
)</f>
        <v>Group 1 - Short</v>
      </c>
    </row>
    <row r="78" spans="1:41" ht="14.45" customHeight="1" x14ac:dyDescent="0.25">
      <c r="A78" t="s">
        <v>389</v>
      </c>
      <c r="B78" t="s">
        <v>390</v>
      </c>
      <c r="C78" s="29" t="s">
        <v>609</v>
      </c>
      <c r="D78" t="s">
        <v>137</v>
      </c>
      <c r="E78" t="s">
        <v>391</v>
      </c>
      <c r="F78" t="s">
        <v>63</v>
      </c>
      <c r="G78" t="s">
        <v>392</v>
      </c>
      <c r="H78" s="140" t="e">
        <v>#VALUE!</v>
      </c>
      <c r="I78">
        <v>2012</v>
      </c>
      <c r="J78">
        <v>2022</v>
      </c>
      <c r="K78">
        <f t="shared" si="3"/>
        <v>10</v>
      </c>
      <c r="L78" t="s">
        <v>39</v>
      </c>
      <c r="M78" s="66" t="s">
        <v>617</v>
      </c>
      <c r="N78" s="13"/>
      <c r="O78" s="13">
        <v>0.16</v>
      </c>
      <c r="P78" s="13"/>
      <c r="Q78" s="13"/>
      <c r="R78" s="130"/>
      <c r="S78" s="130">
        <v>231.4814814814815</v>
      </c>
      <c r="T78" s="13"/>
      <c r="U78" s="63" t="s">
        <v>49</v>
      </c>
      <c r="V78" s="17" t="s">
        <v>583</v>
      </c>
      <c r="W78" s="28">
        <f>'VfM MSD Mastersheet'!$O84</f>
        <v>-0.2957336076651701</v>
      </c>
      <c r="X78" s="28" t="str">
        <f t="array" ref="X78">_xlfn.IFS(
W78&lt;= $AO$5, "1st Quintile (Lowest)",
W78&lt;= $AP$5, "2nd Quintile (Median)",
W78&lt;= $AQ$5, "3rd Quintile",
TRUE, "Above 3rd Quintile"
)</f>
        <v>Above 3rd Quintile</v>
      </c>
      <c r="Y78" s="13">
        <f>'VfM MSD Mastersheet'!$P84</f>
        <v>7.0445354038093262</v>
      </c>
      <c r="Z78" s="28" t="str">
        <f t="array" ref="Z78">_xlfn.IFS(
Y78&lt;= $AO$6, "1st Quintile (Lowest)",
Y78&lt;= $AP$6, "2nd Quintile (Median)",
Y78&lt;= $AQ$6, "3rd Quintile",
TRUE, "Above 3rd Quintile"
)</f>
        <v>3rd Quintile</v>
      </c>
      <c r="AA78" s="46" t="s">
        <v>587</v>
      </c>
      <c r="AB78" s="46" t="str">
        <f t="array" ref="AB78">_xlfn.IFS(
    (X78="1st Quintile (Lowest)")+(Z78="Above 3rd Quintile"), "Group 1",
    ((X78="2nd Quintile (Median)")+(X78="3rd Quintile")+(Z78="2nd Quintile")+(Z78="3rd Quintile")), "Group 2",
    TRUE, "Group 3"
)</f>
        <v>Group 2</v>
      </c>
      <c r="AF78" t="str">
        <f t="array" ref="AF78">_xlfn.IFS(
    ((X78="1st Quintile (Lowest)")+(Z78="Above 3rd Quintile"))*(K78&gt;5), "Group 1 - Long",
    ((X78="1st Quintile (Lowest)")+(Z78="Above 3rd Quintile"))*(K78&lt;=5), "Group 1 - Short",
    ((X78="2nd Quintile (Median)")+(X78="3rd Quintile")+(Z78="2nd Quintile")+(Z78="3rd Quintile"))*(K78&gt;5), "Group 2 - Long",
    ((X78="2nd Quintile (Median)")+(X78="3rd Quintile")+(Z78="2nd Quintile")+(Z78="3rd Quintile"))*(K78&lt;=5), "Group 2 - Short",
    K78&gt;5, "Group 3 - Long",
    K78&lt;=5, "Group 3 - Short"
)</f>
        <v>Group 2 - Long</v>
      </c>
    </row>
    <row r="79" spans="1:41" ht="30" x14ac:dyDescent="0.25">
      <c r="A79" t="s">
        <v>50</v>
      </c>
      <c r="B79" t="s">
        <v>51</v>
      </c>
      <c r="C79" s="4" t="s">
        <v>52</v>
      </c>
      <c r="G79" t="s">
        <v>53</v>
      </c>
      <c r="H79" s="66" t="e">
        <v>#VALUE!</v>
      </c>
      <c r="I79" s="4">
        <v>2017</v>
      </c>
      <c r="J79">
        <v>2020</v>
      </c>
      <c r="K79">
        <f t="shared" si="3"/>
        <v>3</v>
      </c>
      <c r="L79" t="s">
        <v>39</v>
      </c>
      <c r="M79" s="66" t="s">
        <v>602</v>
      </c>
      <c r="N79" s="13"/>
      <c r="O79" s="13"/>
      <c r="P79" s="13">
        <v>1.779428571428571E-2</v>
      </c>
      <c r="Q79" s="13"/>
      <c r="R79" s="130"/>
      <c r="S79" s="130">
        <v>674.37379576107901</v>
      </c>
      <c r="T79" s="13"/>
      <c r="U79" s="63" t="s">
        <v>42</v>
      </c>
      <c r="V79" s="17" t="s">
        <v>583</v>
      </c>
      <c r="W79" s="28">
        <f>'VfM MSD Mastersheet'!$O85</f>
        <v>-1.4820961554845169</v>
      </c>
      <c r="X79" s="28" t="str">
        <f t="array" ref="X79">_xlfn.IFS(
W79&lt;= $AO$5, "1st Quintile (Lowest)",
W79&lt;= $AP$5, "2nd Quintile (Median)",
W79&lt;= $AQ$5, "3rd Quintile",
TRUE, "Above 3rd Quintile"
)</f>
        <v>1st Quintile (Lowest)</v>
      </c>
      <c r="Y79" s="13">
        <f>'VfM MSD Mastersheet'!$P85</f>
        <v>7.9325282388603311</v>
      </c>
      <c r="Z79" s="28" t="str">
        <f t="array" ref="Z79">_xlfn.IFS(
Y79&lt;= $AO$6, "1st Quintile (Lowest)",
Y79&lt;= $AP$6, "2nd Quintile (Median)",
Y79&lt;= $AQ$6, "3rd Quintile",
TRUE, "Above 3rd Quintile"
)</f>
        <v>Above 3rd Quintile</v>
      </c>
      <c r="AA79" s="46" t="s">
        <v>587</v>
      </c>
      <c r="AB79" s="46" t="str">
        <f t="array" ref="AB79">_xlfn.IFS(
    (X79="1st Quintile (Lowest)")+(Z79="Above 3rd Quintile"), "Group 1",
    ((X79="2nd Quintile (Median)")+(X79="3rd Quintile")+(Z79="2nd Quintile")+(Z79="3rd Quintile")), "Group 2",
    TRUE, "Group 3"
)</f>
        <v>Group 1</v>
      </c>
      <c r="AF79" t="str">
        <f t="array" ref="AF79">_xlfn.IFS(
    ((X79="1st Quintile (Lowest)")+(Z79="Above 3rd Quintile"))*(K79&gt;5), "Group 1 - Long",
    ((X79="1st Quintile (Lowest)")+(Z79="Above 3rd Quintile"))*(K79&lt;=5), "Group 1 - Short",
    ((X79="2nd Quintile (Median)")+(X79="3rd Quintile")+(Z79="2nd Quintile")+(Z79="3rd Quintile"))*(K79&gt;5), "Group 2 - Long",
    ((X79="2nd Quintile (Median)")+(X79="3rd Quintile")+(Z79="2nd Quintile")+(Z79="3rd Quintile"))*(K79&lt;=5), "Group 2 - Short",
    K79&gt;5, "Group 3 - Long",
    K79&lt;=5, "Group 3 - Short"
)</f>
        <v>Group 1 - Short</v>
      </c>
    </row>
    <row r="80" spans="1:41" ht="30" x14ac:dyDescent="0.25">
      <c r="A80" t="s">
        <v>95</v>
      </c>
      <c r="B80" t="s">
        <v>96</v>
      </c>
      <c r="C80" s="4" t="s">
        <v>97</v>
      </c>
      <c r="G80" t="s">
        <v>53</v>
      </c>
      <c r="H80" s="66" t="s">
        <v>98</v>
      </c>
      <c r="I80" s="4">
        <v>2017</v>
      </c>
      <c r="J80">
        <v>2020</v>
      </c>
      <c r="K80">
        <f t="shared" si="3"/>
        <v>3</v>
      </c>
      <c r="L80" t="s">
        <v>99</v>
      </c>
      <c r="M80" s="66" t="s">
        <v>602</v>
      </c>
      <c r="N80" s="13">
        <v>359.35932072558859</v>
      </c>
      <c r="O80" s="13"/>
      <c r="P80" s="13">
        <v>0.36717139999999998</v>
      </c>
      <c r="Q80" s="13"/>
      <c r="R80" s="130"/>
      <c r="S80" s="130">
        <v>1929.75685063682</v>
      </c>
      <c r="T80" s="13">
        <v>0.18622</v>
      </c>
      <c r="U80" s="63" t="s">
        <v>49</v>
      </c>
      <c r="V80" t="s">
        <v>597</v>
      </c>
      <c r="W80" s="28">
        <f>'VfM MSD Mastersheet'!$O86</f>
        <v>-0.53412978351116158</v>
      </c>
      <c r="X80" s="28" t="str">
        <f t="array" ref="X80">_xlfn.IFS(
W80&lt;= $AO$5, "1st Quintile (Lowest)",
W80&lt;= $AP$5, "2nd Quintile (Median)",
W80&lt;= $AQ$5, "3rd Quintile",
TRUE, "Above 3rd Quintile"
)</f>
        <v>2nd Quintile (Median)</v>
      </c>
      <c r="Y80" s="13">
        <f>'VfM MSD Mastersheet'!$P86</f>
        <v>5.2888020413728762</v>
      </c>
      <c r="Z80" s="28" t="str">
        <f t="array" ref="Z80">_xlfn.IFS(
Y80&lt;= $AO$6, "1st Quintile (Lowest)",
Y80&lt;= $AP$6, "2nd Quintile (Median)",
Y80&lt;= $AQ$6, "3rd Quintile",
TRUE, "Above 3rd Quintile"
)</f>
        <v>2nd Quintile (Median)</v>
      </c>
      <c r="AA80" s="46" t="s">
        <v>590</v>
      </c>
      <c r="AB80" s="46" t="str">
        <f t="array" ref="AB80">_xlfn.IFS(
    (X80="1st Quintile (Lowest)")+(Z80="Above 3rd Quintile"), "Group 1",
    ((X80="2nd Quintile (Median)")+(X80="3rd Quintile")+(Z80="2nd Quintile")+(Z80="3rd Quintile")), "Group 2",
    TRUE, "Group 3"
)</f>
        <v>Group 2</v>
      </c>
      <c r="AF80" t="str">
        <f t="array" ref="AF80">_xlfn.IFS(
    ((X80="1st Quintile (Lowest)")+(Z80="Above 3rd Quintile"))*(K80&gt;5), "Group 1 - Long",
    ((X80="1st Quintile (Lowest)")+(Z80="Above 3rd Quintile"))*(K80&lt;=5), "Group 1 - Short",
    ((X80="2nd Quintile (Median)")+(X80="3rd Quintile")+(Z80="2nd Quintile")+(Z80="3rd Quintile"))*(K80&gt;5), "Group 2 - Long",
    ((X80="2nd Quintile (Median)")+(X80="3rd Quintile")+(Z80="2nd Quintile")+(Z80="3rd Quintile"))*(K80&lt;=5), "Group 2 - Short",
    K80&gt;5, "Group 3 - Long",
    K80&lt;=5, "Group 3 - Short"
)</f>
        <v>Group 2 - Short</v>
      </c>
    </row>
    <row r="81" spans="1:32" ht="30" x14ac:dyDescent="0.25">
      <c r="A81" t="s">
        <v>86</v>
      </c>
      <c r="B81" t="s">
        <v>87</v>
      </c>
      <c r="C81" s="4" t="s">
        <v>88</v>
      </c>
      <c r="G81" t="s">
        <v>53</v>
      </c>
      <c r="H81" s="66" t="e">
        <v>#VALUE!</v>
      </c>
      <c r="I81" s="4">
        <v>2014</v>
      </c>
      <c r="J81">
        <v>2018</v>
      </c>
      <c r="K81">
        <f t="shared" si="3"/>
        <v>4</v>
      </c>
      <c r="L81" t="s">
        <v>39</v>
      </c>
      <c r="M81" s="66" t="s">
        <v>602</v>
      </c>
      <c r="N81" s="13">
        <v>583.21552429567862</v>
      </c>
      <c r="O81" s="13">
        <v>0.29726449999999999</v>
      </c>
      <c r="P81" s="13"/>
      <c r="Q81" s="13">
        <v>6.9074999999999996E-4</v>
      </c>
      <c r="R81" s="130"/>
      <c r="S81" s="130">
        <v>471.53129788989742</v>
      </c>
      <c r="T81" s="13">
        <v>3.741765</v>
      </c>
      <c r="U81" s="63" t="s">
        <v>42</v>
      </c>
      <c r="V81" s="17" t="s">
        <v>583</v>
      </c>
      <c r="W81" s="28">
        <f>'VfM MSD Mastersheet'!$O87</f>
        <v>-0.95616787982095608</v>
      </c>
      <c r="X81" s="28" t="str">
        <f t="array" ref="X81">_xlfn.IFS(
W81&lt;= $AO$5, "1st Quintile (Lowest)",
W81&lt;= $AP$5, "2nd Quintile (Median)",
W81&lt;= $AQ$5, "3rd Quintile",
TRUE, "Above 3rd Quintile"
)</f>
        <v>2nd Quintile (Median)</v>
      </c>
      <c r="Y81" s="13">
        <f>'VfM MSD Mastersheet'!$P87</f>
        <v>8.3061189633890571</v>
      </c>
      <c r="Z81" s="28" t="str">
        <f t="array" ref="Z81">_xlfn.IFS(
Y81&lt;= $AO$6, "1st Quintile (Lowest)",
Y81&lt;= $AP$6, "2nd Quintile (Median)",
Y81&lt;= $AQ$6, "3rd Quintile",
TRUE, "Above 3rd Quintile"
)</f>
        <v>Above 3rd Quintile</v>
      </c>
      <c r="AA81" s="46" t="s">
        <v>590</v>
      </c>
      <c r="AB81" s="46" t="str">
        <f t="array" ref="AB81">_xlfn.IFS(
    (X81="1st Quintile (Lowest)")+(Z81="Above 3rd Quintile"), "Group 1",
    ((X81="2nd Quintile (Median)")+(X81="3rd Quintile")+(Z81="2nd Quintile")+(Z81="3rd Quintile")), "Group 2",
    TRUE, "Group 3"
)</f>
        <v>Group 1</v>
      </c>
      <c r="AF81" t="str">
        <f t="array" ref="AF81">_xlfn.IFS(
    ((X81="1st Quintile (Lowest)")+(Z81="Above 3rd Quintile"))*(K81&gt;5), "Group 1 - Long",
    ((X81="1st Quintile (Lowest)")+(Z81="Above 3rd Quintile"))*(K81&lt;=5), "Group 1 - Short",
    ((X81="2nd Quintile (Median)")+(X81="3rd Quintile")+(Z81="2nd Quintile")+(Z81="3rd Quintile"))*(K81&gt;5), "Group 2 - Long",
    ((X81="2nd Quintile (Median)")+(X81="3rd Quintile")+(Z81="2nd Quintile")+(Z81="3rd Quintile"))*(K81&lt;=5), "Group 2 - Short",
    K81&gt;5, "Group 3 - Long",
    K81&lt;=5, "Group 3 - Short"
)</f>
        <v>Group 1 - Short</v>
      </c>
    </row>
    <row r="82" spans="1:32" ht="30" x14ac:dyDescent="0.25">
      <c r="A82" t="s">
        <v>256</v>
      </c>
      <c r="B82" t="s">
        <v>257</v>
      </c>
      <c r="C82" s="4" t="s">
        <v>609</v>
      </c>
      <c r="G82" t="s">
        <v>53</v>
      </c>
      <c r="H82" s="66" t="e">
        <v>#VALUE!</v>
      </c>
      <c r="I82" s="4">
        <v>2017</v>
      </c>
      <c r="J82">
        <v>2024</v>
      </c>
      <c r="K82">
        <f t="shared" si="3"/>
        <v>7</v>
      </c>
      <c r="L82" t="s">
        <v>259</v>
      </c>
      <c r="M82" s="66" t="s">
        <v>617</v>
      </c>
      <c r="N82" s="13"/>
      <c r="O82" s="13">
        <v>0.27439534843134977</v>
      </c>
      <c r="P82" s="13"/>
      <c r="Q82" s="13"/>
      <c r="R82" s="130">
        <v>90.833172579299855</v>
      </c>
      <c r="S82" s="130">
        <v>260.46186094326958</v>
      </c>
      <c r="T82" s="13"/>
      <c r="U82" s="63" t="s">
        <v>49</v>
      </c>
      <c r="V82" s="17" t="s">
        <v>586</v>
      </c>
      <c r="W82" s="28">
        <f>'VfM MSD Mastersheet'!$O88</f>
        <v>-1.0060987472534193</v>
      </c>
      <c r="X82" s="28" t="str">
        <f t="array" ref="X82">_xlfn.IFS(
W82&lt;= $AO$5, "1st Quintile (Lowest)",
W82&lt;= $AP$5, "2nd Quintile (Median)",
W82&lt;= $AQ$5, "3rd Quintile",
TRUE, "Above 3rd Quintile"
)</f>
        <v>2nd Quintile (Median)</v>
      </c>
      <c r="Y82" s="13">
        <f>'VfM MSD Mastersheet'!$P88</f>
        <v>6.0956306065040566</v>
      </c>
      <c r="Z82" s="28" t="str">
        <f t="array" ref="Z82">_xlfn.IFS(
Y82&lt;= $AO$6, "1st Quintile (Lowest)",
Y82&lt;= $AP$6, "2nd Quintile (Median)",
Y82&lt;= $AQ$6, "3rd Quintile",
TRUE, "Above 3rd Quintile"
)</f>
        <v>2nd Quintile (Median)</v>
      </c>
      <c r="AA82" s="46" t="s">
        <v>587</v>
      </c>
      <c r="AB82" s="46" t="str">
        <f t="array" ref="AB82">_xlfn.IFS(
    (X82="1st Quintile (Lowest)")+(Z82="Above 3rd Quintile"), "Group 1",
    ((X82="2nd Quintile (Median)")+(X82="3rd Quintile")+(Z82="2nd Quintile")+(Z82="3rd Quintile")), "Group 2",
    TRUE, "Group 3"
)</f>
        <v>Group 2</v>
      </c>
      <c r="AF82" t="str">
        <f t="array" ref="AF82">_xlfn.IFS(
    ((X82="1st Quintile (Lowest)")+(Z82="Above 3rd Quintile"))*(K82&gt;5), "Group 1 - Long",
    ((X82="1st Quintile (Lowest)")+(Z82="Above 3rd Quintile"))*(K82&lt;=5), "Group 1 - Short",
    ((X82="2nd Quintile (Median)")+(X82="3rd Quintile")+(Z82="2nd Quintile")+(Z82="3rd Quintile"))*(K82&gt;5), "Group 2 - Long",
    ((X82="2nd Quintile (Median)")+(X82="3rd Quintile")+(Z82="2nd Quintile")+(Z82="3rd Quintile"))*(K82&lt;=5), "Group 2 - Short",
    K82&gt;5, "Group 3 - Long",
    K82&lt;=5, "Group 3 - Short"
)</f>
        <v>Group 2 - Long</v>
      </c>
    </row>
    <row r="83" spans="1:32" ht="30" x14ac:dyDescent="0.25">
      <c r="A83" t="s">
        <v>100</v>
      </c>
      <c r="B83" t="s">
        <v>101</v>
      </c>
      <c r="C83" s="4" t="s">
        <v>609</v>
      </c>
      <c r="G83" t="s">
        <v>53</v>
      </c>
      <c r="H83" s="66" t="e">
        <v>#VALUE!</v>
      </c>
      <c r="I83" s="4">
        <v>2021</v>
      </c>
      <c r="J83">
        <v>2025</v>
      </c>
      <c r="K83">
        <f t="shared" si="3"/>
        <v>4</v>
      </c>
      <c r="L83" t="s">
        <v>39</v>
      </c>
      <c r="M83" s="66" t="s">
        <v>602</v>
      </c>
      <c r="N83" s="13">
        <v>33.162801070472803</v>
      </c>
      <c r="O83" s="13">
        <v>0.39100000000000001</v>
      </c>
      <c r="P83" s="13">
        <v>0.23866666666666669</v>
      </c>
      <c r="Q83" s="13"/>
      <c r="R83" s="130"/>
      <c r="S83" s="130">
        <v>638.37333018087247</v>
      </c>
      <c r="T83" s="13">
        <v>6.8843518518518512E-2</v>
      </c>
      <c r="U83" s="63" t="s">
        <v>49</v>
      </c>
      <c r="V83" s="17" t="s">
        <v>586</v>
      </c>
      <c r="W83" s="28">
        <f>'VfM MSD Mastersheet'!$O89</f>
        <v>-2.0239191187752623</v>
      </c>
      <c r="X83" s="28" t="str">
        <f t="array" ref="X83">_xlfn.IFS(
W83&lt;= $AO$5, "1st Quintile (Lowest)",
W83&lt;= $AP$5, "2nd Quintile (Median)",
W83&lt;= $AQ$5, "3rd Quintile",
TRUE, "Above 3rd Quintile"
)</f>
        <v>1st Quintile (Lowest)</v>
      </c>
      <c r="Y83" s="13">
        <f>'VfM MSD Mastersheet'!$P89</f>
        <v>11.89774460578583</v>
      </c>
      <c r="Z83" s="28" t="str">
        <f t="array" ref="Z83">_xlfn.IFS(
Y83&lt;= $AO$6, "1st Quintile (Lowest)",
Y83&lt;= $AP$6, "2nd Quintile (Median)",
Y83&lt;= $AQ$6, "3rd Quintile",
TRUE, "Above 3rd Quintile"
)</f>
        <v>Above 3rd Quintile</v>
      </c>
      <c r="AA83" s="46" t="s">
        <v>587</v>
      </c>
      <c r="AB83" s="46" t="str">
        <f t="array" ref="AB83">_xlfn.IFS(
    (X83="1st Quintile (Lowest)")+(Z83="Above 3rd Quintile"), "Group 1",
    ((X83="2nd Quintile (Median)")+(X83="3rd Quintile")+(Z83="2nd Quintile")+(Z83="3rd Quintile")), "Group 2",
    TRUE, "Group 3"
)</f>
        <v>Group 1</v>
      </c>
      <c r="AF83" t="str">
        <f t="array" ref="AF83">_xlfn.IFS(
    ((X83="1st Quintile (Lowest)")+(Z83="Above 3rd Quintile"))*(K83&gt;5), "Group 1 - Long",
    ((X83="1st Quintile (Lowest)")+(Z83="Above 3rd Quintile"))*(K83&lt;=5), "Group 1 - Short",
    ((X83="2nd Quintile (Median)")+(X83="3rd Quintile")+(Z83="2nd Quintile")+(Z83="3rd Quintile"))*(K83&gt;5), "Group 2 - Long",
    ((X83="2nd Quintile (Median)")+(X83="3rd Quintile")+(Z83="2nd Quintile")+(Z83="3rd Quintile"))*(K83&lt;=5), "Group 2 - Short",
    K83&gt;5, "Group 3 - Long",
    K83&lt;=5, "Group 3 - Short"
)</f>
        <v>Group 1 - Short</v>
      </c>
    </row>
    <row r="84" spans="1:32" ht="30" x14ac:dyDescent="0.25">
      <c r="A84" t="s">
        <v>130</v>
      </c>
      <c r="B84" t="s">
        <v>131</v>
      </c>
      <c r="C84" s="4" t="s">
        <v>132</v>
      </c>
      <c r="G84" t="s">
        <v>53</v>
      </c>
      <c r="H84" s="66" t="e">
        <v>#VALUE!</v>
      </c>
      <c r="I84" s="4">
        <v>2011</v>
      </c>
      <c r="J84">
        <v>2016</v>
      </c>
      <c r="K84">
        <f t="shared" si="3"/>
        <v>5</v>
      </c>
      <c r="L84" t="s">
        <v>39</v>
      </c>
      <c r="M84" s="66" t="s">
        <v>602</v>
      </c>
      <c r="N84" s="13"/>
      <c r="O84" s="13">
        <v>1.376601208459215E-2</v>
      </c>
      <c r="P84" s="13">
        <v>1.5105740181268881</v>
      </c>
      <c r="Q84" s="13"/>
      <c r="R84" s="130"/>
      <c r="S84" s="130">
        <v>126.3358778625954</v>
      </c>
      <c r="T84" s="13"/>
      <c r="U84" s="63" t="s">
        <v>49</v>
      </c>
      <c r="V84" s="17" t="s">
        <v>586</v>
      </c>
      <c r="W84" s="28">
        <f>'VfM MSD Mastersheet'!$O90</f>
        <v>-2.58059468269348</v>
      </c>
      <c r="X84" s="28" t="str">
        <f t="array" ref="X84">_xlfn.IFS(
W84&lt;= $AO$5, "1st Quintile (Lowest)",
W84&lt;= $AP$5, "2nd Quintile (Median)",
W84&lt;= $AQ$5, "3rd Quintile",
TRUE, "Above 3rd Quintile"
)</f>
        <v>1st Quintile (Lowest)</v>
      </c>
      <c r="Y84" s="13">
        <f>'VfM MSD Mastersheet'!$P90</f>
        <v>4.4209715004537866</v>
      </c>
      <c r="Z84" s="28" t="str">
        <f t="array" ref="Z84">_xlfn.IFS(
Y84&lt;= $AO$6, "1st Quintile (Lowest)",
Y84&lt;= $AP$6, "2nd Quintile (Median)",
Y84&lt;= $AQ$6, "3rd Quintile",
TRUE, "Above 3rd Quintile"
)</f>
        <v>2nd Quintile (Median)</v>
      </c>
      <c r="AA84" s="46" t="s">
        <v>587</v>
      </c>
      <c r="AB84" s="46" t="str">
        <f t="array" ref="AB84">_xlfn.IFS(
    (X84="1st Quintile (Lowest)")+(Z84="Above 3rd Quintile"), "Group 1",
    ((X84="2nd Quintile (Median)")+(X84="3rd Quintile")+(Z84="2nd Quintile")+(Z84="3rd Quintile")), "Group 2",
    TRUE, "Group 3"
)</f>
        <v>Group 1</v>
      </c>
      <c r="AF84" t="str">
        <f t="array" ref="AF84">_xlfn.IFS(
    ((X84="1st Quintile (Lowest)")+(Z84="Above 3rd Quintile"))*(K84&gt;5), "Group 1 - Long",
    ((X84="1st Quintile (Lowest)")+(Z84="Above 3rd Quintile"))*(K84&lt;=5), "Group 1 - Short",
    ((X84="2nd Quintile (Median)")+(X84="3rd Quintile")+(Z84="2nd Quintile")+(Z84="3rd Quintile"))*(K84&gt;5), "Group 2 - Long",
    ((X84="2nd Quintile (Median)")+(X84="3rd Quintile")+(Z84="2nd Quintile")+(Z84="3rd Quintile"))*(K84&lt;=5), "Group 2 - Short",
    K84&gt;5, "Group 3 - Long",
    K84&lt;=5, "Group 3 - Short"
)</f>
        <v>Group 1 - Short</v>
      </c>
    </row>
    <row r="85" spans="1:32" ht="30" x14ac:dyDescent="0.25">
      <c r="A85" t="s">
        <v>174</v>
      </c>
      <c r="B85" t="s">
        <v>175</v>
      </c>
      <c r="C85" s="4" t="s">
        <v>176</v>
      </c>
      <c r="G85" t="s">
        <v>53</v>
      </c>
      <c r="H85" s="66" t="e">
        <v>#VALUE!</v>
      </c>
      <c r="I85" s="4">
        <v>2017</v>
      </c>
      <c r="J85">
        <v>2021</v>
      </c>
      <c r="K85">
        <f t="shared" si="3"/>
        <v>4</v>
      </c>
      <c r="L85" t="s">
        <v>39</v>
      </c>
      <c r="M85" s="66" t="s">
        <v>617</v>
      </c>
      <c r="N85" s="13"/>
      <c r="O85" s="13">
        <v>6.7987128712871284E-2</v>
      </c>
      <c r="P85" s="13">
        <v>0.1046142350084065</v>
      </c>
      <c r="Q85" s="13"/>
      <c r="R85" s="130">
        <v>69655.172413793101</v>
      </c>
      <c r="S85" s="130">
        <v>2455.6284950158042</v>
      </c>
      <c r="T85" s="13"/>
      <c r="U85" s="63" t="s">
        <v>49</v>
      </c>
      <c r="V85" s="17" t="s">
        <v>589</v>
      </c>
      <c r="W85" s="28">
        <f>'VfM MSD Mastersheet'!$O91</f>
        <v>-0.3614446900107644</v>
      </c>
      <c r="X85" s="28" t="str">
        <f t="array" ref="X85">_xlfn.IFS(
W85&lt;= $AO$5, "1st Quintile (Lowest)",
W85&lt;= $AP$5, "2nd Quintile (Median)",
W85&lt;= $AQ$5, "3rd Quintile",
TRUE, "Above 3rd Quintile"
)</f>
        <v>Above 3rd Quintile</v>
      </c>
      <c r="Y85" s="13">
        <f>'VfM MSD Mastersheet'!$P91</f>
        <v>2.4752091232944324</v>
      </c>
      <c r="Z85" s="13" t="str">
        <f t="array" ref="Z85">_xlfn.IFS(
Y85&lt;= $AO$6, "1st Quintile (Lowest)",
Y85&lt;= $AP$6, "2nd Quintile (Median)",
Y85&lt;= $AQ$6, "3rd Quintile",
TRUE, "Above 3rd Quintile"
)</f>
        <v>1st Quintile (Lowest)</v>
      </c>
      <c r="AA85" s="46" t="s">
        <v>584</v>
      </c>
      <c r="AB85" s="46" t="str">
        <f t="array" ref="AB85">_xlfn.IFS(
    (X85="1st Quintile (Lowest)")+(Z85="Above 3rd Quintile"), "Group 1",
    ((X85="2nd Quintile (Median)")+(X85="3rd Quintile")+(Z85="2nd Quintile")+(Z85="3rd Quintile")), "Group 2",
    TRUE, "Group 3"
)</f>
        <v>Group 3</v>
      </c>
      <c r="AF85" t="str">
        <f t="array" ref="AF85">_xlfn.IFS(
    ((X85="1st Quintile (Lowest)")+(Z85="Above 3rd Quintile"))*(K85&gt;5), "Group 1 - Long",
    ((X85="1st Quintile (Lowest)")+(Z85="Above 3rd Quintile"))*(K85&lt;=5), "Group 1 - Short",
    ((X85="2nd Quintile (Median)")+(X85="3rd Quintile")+(Z85="2nd Quintile")+(Z85="3rd Quintile"))*(K85&gt;5), "Group 2 - Long",
    ((X85="2nd Quintile (Median)")+(X85="3rd Quintile")+(Z85="2nd Quintile")+(Z85="3rd Quintile"))*(K85&lt;=5), "Group 2 - Short",
    K85&gt;5, "Group 3 - Long",
    K85&lt;=5, "Group 3 - Short"
)</f>
        <v>Group 3 - Short</v>
      </c>
    </row>
    <row r="86" spans="1:32" ht="30" x14ac:dyDescent="0.25">
      <c r="A86" s="4" t="s">
        <v>196</v>
      </c>
      <c r="B86" t="s">
        <v>197</v>
      </c>
      <c r="C86" s="4" t="s">
        <v>137</v>
      </c>
      <c r="G86" t="s">
        <v>53</v>
      </c>
      <c r="H86" s="66" t="e">
        <v>#VALUE!</v>
      </c>
      <c r="I86" s="4">
        <v>2018</v>
      </c>
      <c r="J86">
        <v>2022</v>
      </c>
      <c r="K86">
        <f t="shared" si="3"/>
        <v>4</v>
      </c>
      <c r="L86" t="s">
        <v>39</v>
      </c>
      <c r="M86" s="66" t="s">
        <v>617</v>
      </c>
      <c r="N86" s="13">
        <v>61.500214285714293</v>
      </c>
      <c r="O86" s="13">
        <v>0.31970482897384311</v>
      </c>
      <c r="P86" s="13">
        <v>1.926747786720322</v>
      </c>
      <c r="Q86" s="13"/>
      <c r="R86" s="130">
        <v>5010.4691740984881</v>
      </c>
      <c r="S86" s="130"/>
      <c r="T86" s="13">
        <v>0.6456523038229377</v>
      </c>
      <c r="U86" s="63" t="s">
        <v>42</v>
      </c>
      <c r="V86" s="17" t="s">
        <v>586</v>
      </c>
      <c r="W86" s="28">
        <f>'VfM MSD Mastersheet'!$O92</f>
        <v>-0.49878624578316999</v>
      </c>
      <c r="X86" s="28" t="str">
        <f t="array" ref="X86">_xlfn.IFS(
W86&lt;= $AO$5, "1st Quintile (Lowest)",
W86&lt;= $AP$5, "2nd Quintile (Median)",
W86&lt;= $AQ$5, "3rd Quintile",
TRUE, "Above 3rd Quintile"
)</f>
        <v>3rd Quintile</v>
      </c>
      <c r="Y86" s="13">
        <f>'VfM MSD Mastersheet'!$P92</f>
        <v>4.9505824465433212</v>
      </c>
      <c r="Z86" s="28" t="str">
        <f t="array" ref="Z86">_xlfn.IFS(
Y86&lt;= $AO$6, "1st Quintile (Lowest)",
Y86&lt;= $AP$6, "2nd Quintile (Median)",
Y86&lt;= $AQ$6, "3rd Quintile",
TRUE, "Above 3rd Quintile"
)</f>
        <v>2nd Quintile (Median)</v>
      </c>
      <c r="AA86" s="46" t="s">
        <v>590</v>
      </c>
      <c r="AB86" s="46" t="str">
        <f t="array" ref="AB86">_xlfn.IFS(
    (X86="1st Quintile (Lowest)")+(Z86="Above 3rd Quintile"), "Group 1",
    ((X86="2nd Quintile (Median)")+(X86="3rd Quintile")+(Z86="2nd Quintile")+(Z86="3rd Quintile")), "Group 2",
    TRUE, "Group 3"
)</f>
        <v>Group 2</v>
      </c>
      <c r="AF86" t="str">
        <f t="array" ref="AF86">_xlfn.IFS(
    ((X86="1st Quintile (Lowest)")+(Z86="Above 3rd Quintile"))*(K86&gt;5), "Group 1 - Long",
    ((X86="1st Quintile (Lowest)")+(Z86="Above 3rd Quintile"))*(K86&lt;=5), "Group 1 - Short",
    ((X86="2nd Quintile (Median)")+(X86="3rd Quintile")+(Z86="2nd Quintile")+(Z86="3rd Quintile"))*(K86&gt;5), "Group 2 - Long",
    ((X86="2nd Quintile (Median)")+(X86="3rd Quintile")+(Z86="2nd Quintile")+(Z86="3rd Quintile"))*(K86&lt;=5), "Group 2 - Short",
    K86&gt;5, "Group 3 - Long",
    K86&lt;=5, "Group 3 - Short"
)</f>
        <v>Group 2 - Short</v>
      </c>
    </row>
    <row r="87" spans="1:32" ht="30" x14ac:dyDescent="0.25">
      <c r="A87" t="s">
        <v>109</v>
      </c>
      <c r="B87" t="s">
        <v>110</v>
      </c>
      <c r="C87" s="4" t="s">
        <v>609</v>
      </c>
      <c r="G87" t="s">
        <v>74</v>
      </c>
      <c r="H87" s="66" t="e">
        <v>#VALUE!</v>
      </c>
      <c r="I87" s="4">
        <v>2018</v>
      </c>
      <c r="J87">
        <v>2022</v>
      </c>
      <c r="K87">
        <f t="shared" si="3"/>
        <v>4</v>
      </c>
      <c r="L87" t="s">
        <v>39</v>
      </c>
      <c r="M87" s="66" t="s">
        <v>617</v>
      </c>
      <c r="N87" s="13">
        <v>92.085213200348079</v>
      </c>
      <c r="O87" s="13"/>
      <c r="P87" s="13"/>
      <c r="Q87" s="13"/>
      <c r="R87" s="130"/>
      <c r="S87" s="130">
        <v>1034.9833938764921</v>
      </c>
      <c r="T87" s="13">
        <v>0.4598382247474988</v>
      </c>
      <c r="U87" s="63" t="s">
        <v>49</v>
      </c>
      <c r="V87" s="17" t="s">
        <v>589</v>
      </c>
      <c r="W87" s="28">
        <f>'VfM MSD Mastersheet'!$O93</f>
        <v>-1.4837734550237649</v>
      </c>
      <c r="X87" s="13" t="str">
        <f t="array" ref="X87">_xlfn.IFS(
W87&lt;= $AO$5, "1st Quintile (Lowest)",
W87&lt;= $AP$5, "2nd Quintile (Median)",
W87&lt;= $AQ$5, "3rd Quintile",
TRUE, "Above 3rd Quintile"
)</f>
        <v>1st Quintile (Lowest)</v>
      </c>
      <c r="Y87" s="13">
        <f>'VfM MSD Mastersheet'!$P93</f>
        <v>11.404650511542888</v>
      </c>
      <c r="Z87" s="13" t="str">
        <f t="array" ref="Z87">_xlfn.IFS(
Y87&lt;= $AO$6, "1st Quintile (Lowest)",
Y87&lt;= $AP$6, "2nd Quintile (Median)",
Y87&lt;= $AQ$6, "3rd Quintile",
TRUE, "Above 3rd Quintile"
)</f>
        <v>Above 3rd Quintile</v>
      </c>
      <c r="AA87" s="46" t="s">
        <v>584</v>
      </c>
      <c r="AB87" s="46" t="str">
        <f t="array" ref="AB87">_xlfn.IFS(
    (X87="1st Quintile (Lowest)")+(Z87="Above 3rd Quintile"), "Group 1",
    ((X87="2nd Quintile (Median)")+(X87="3rd Quintile")+(Z87="2nd Quintile")+(Z87="3rd Quintile")), "Group 2",
    TRUE, "Group 3"
)</f>
        <v>Group 1</v>
      </c>
      <c r="AF87" t="str">
        <f t="array" ref="AF87">_xlfn.IFS(
    ((X87="1st Quintile (Lowest)")+(Z87="Above 3rd Quintile"))*(K87&gt;5), "Group 1 - Long",
    ((X87="1st Quintile (Lowest)")+(Z87="Above 3rd Quintile"))*(K87&lt;=5), "Group 1 - Short",
    ((X87="2nd Quintile (Median)")+(X87="3rd Quintile")+(Z87="2nd Quintile")+(Z87="3rd Quintile"))*(K87&gt;5), "Group 2 - Long",
    ((X87="2nd Quintile (Median)")+(X87="3rd Quintile")+(Z87="2nd Quintile")+(Z87="3rd Quintile"))*(K87&lt;=5), "Group 2 - Short",
    K87&gt;5, "Group 3 - Long",
    K87&lt;=5, "Group 3 - Short"
)</f>
        <v>Group 1 - Short</v>
      </c>
    </row>
    <row r="88" spans="1:32" x14ac:dyDescent="0.25">
      <c r="A88" t="s">
        <v>219</v>
      </c>
      <c r="B88" t="s">
        <v>220</v>
      </c>
      <c r="C88" s="4" t="s">
        <v>609</v>
      </c>
      <c r="G88" t="s">
        <v>221</v>
      </c>
      <c r="H88" s="66" t="s">
        <v>222</v>
      </c>
      <c r="I88" s="4">
        <v>2018</v>
      </c>
      <c r="J88">
        <v>2023</v>
      </c>
      <c r="K88">
        <f t="shared" si="3"/>
        <v>5</v>
      </c>
      <c r="L88" t="s">
        <v>39</v>
      </c>
      <c r="M88" s="66" t="s">
        <v>602</v>
      </c>
      <c r="N88" s="13"/>
      <c r="O88" s="13">
        <v>5.8501527145575098E-2</v>
      </c>
      <c r="P88" s="13"/>
      <c r="Q88" s="13"/>
      <c r="R88" s="130"/>
      <c r="S88" s="130">
        <v>400.34576621217161</v>
      </c>
      <c r="T88" s="13"/>
      <c r="U88" s="63" t="s">
        <v>49</v>
      </c>
      <c r="V88" t="s">
        <v>597</v>
      </c>
      <c r="W88" s="28">
        <f>'VfM MSD Mastersheet'!$O94</f>
        <v>0.15647264332933866</v>
      </c>
      <c r="X88" s="13" t="str">
        <f t="array" ref="X88">_xlfn.IFS(
W88&lt;= $AO$5, "1st Quintile (Lowest)",
W88&lt;= $AP$5, "2nd Quintile (Median)",
W88&lt;= $AQ$5, "3rd Quintile",
TRUE, "Above 3rd Quintile"
)</f>
        <v>Above 3rd Quintile</v>
      </c>
      <c r="Y88" s="13">
        <f>'VfM MSD Mastersheet'!$P94</f>
        <v>11.028182381705879</v>
      </c>
      <c r="Z88" s="13" t="str">
        <f t="array" ref="Z88">_xlfn.IFS(
Y88&lt;= $AO$6, "1st Quintile (Lowest)",
Y88&lt;= $AP$6, "2nd Quintile (Median)",
Y88&lt;= $AQ$6, "3rd Quintile",
TRUE, "Above 3rd Quintile"
)</f>
        <v>Above 3rd Quintile</v>
      </c>
      <c r="AA88" s="46" t="s">
        <v>590</v>
      </c>
      <c r="AB88" s="46" t="str">
        <f t="array" ref="AB88">_xlfn.IFS(
    (X88="1st Quintile (Lowest)")+(Z88="Above 3rd Quintile"), "Group 1",
    ((X88="2nd Quintile (Median)")+(X88="3rd Quintile")+(Z88="2nd Quintile")+(Z88="3rd Quintile")), "Group 2",
    TRUE, "Group 3"
)</f>
        <v>Group 1</v>
      </c>
      <c r="AF88" t="str">
        <f t="array" ref="AF88">_xlfn.IFS(
    ((X88="1st Quintile (Lowest)")+(Z88="Above 3rd Quintile"))*(K88&gt;5), "Group 1 - Long",
    ((X88="1st Quintile (Lowest)")+(Z88="Above 3rd Quintile"))*(K88&lt;=5), "Group 1 - Short",
    ((X88="2nd Quintile (Median)")+(X88="3rd Quintile")+(Z88="2nd Quintile")+(Z88="3rd Quintile"))*(K88&gt;5), "Group 2 - Long",
    ((X88="2nd Quintile (Median)")+(X88="3rd Quintile")+(Z88="2nd Quintile")+(Z88="3rd Quintile"))*(K88&lt;=5), "Group 2 - Short",
    K88&gt;5, "Group 3 - Long",
    K88&lt;=5, "Group 3 - Short"
)</f>
        <v>Group 1 - Short</v>
      </c>
    </row>
    <row r="89" spans="1:32" ht="30" x14ac:dyDescent="0.25">
      <c r="A89" t="s">
        <v>35</v>
      </c>
      <c r="B89" t="s">
        <v>36</v>
      </c>
      <c r="C89" s="4" t="s">
        <v>37</v>
      </c>
      <c r="G89" t="s">
        <v>38</v>
      </c>
      <c r="H89" s="66" t="e">
        <v>#VALUE!</v>
      </c>
      <c r="I89" s="4">
        <v>2023</v>
      </c>
      <c r="J89">
        <v>2023</v>
      </c>
      <c r="K89">
        <f>J89-I89+1</f>
        <v>1</v>
      </c>
      <c r="L89" t="s">
        <v>39</v>
      </c>
      <c r="M89" s="66" t="s">
        <v>602</v>
      </c>
      <c r="N89" s="13">
        <v>191.32203389830511</v>
      </c>
      <c r="O89" s="13"/>
      <c r="P89" s="13">
        <v>8.6875821515046692E-2</v>
      </c>
      <c r="Q89" s="13"/>
      <c r="R89" s="130">
        <v>5285.393258426966</v>
      </c>
      <c r="S89" s="130">
        <v>3775.280898876405</v>
      </c>
      <c r="T89" s="13">
        <v>8.6875821515046692E-2</v>
      </c>
      <c r="U89" s="63" t="s">
        <v>42</v>
      </c>
      <c r="V89" s="17" t="s">
        <v>583</v>
      </c>
      <c r="W89" s="28">
        <f>'VfM MSD Mastersheet'!$O95</f>
        <v>-1.4600944966077798</v>
      </c>
      <c r="X89" s="28" t="str">
        <f t="array" ref="X89">_xlfn.IFS(
W89&lt;= $AO$5, "1st Quintile (Lowest)",
W89&lt;= $AP$5, "2nd Quintile (Median)",
W89&lt;= $AQ$5, "3rd Quintile",
TRUE, "Above 3rd Quintile"
)</f>
        <v>1st Quintile (Lowest)</v>
      </c>
      <c r="Y89" s="13">
        <f>'VfM MSD Mastersheet'!$P95</f>
        <v>11.810159364219249</v>
      </c>
      <c r="Z89" s="28" t="str">
        <f t="array" ref="Z89">_xlfn.IFS(
Y89&lt;= $AO$6, "1st Quintile (Lowest)",
Y89&lt;= $AP$6, "2nd Quintile (Median)",
Y89&lt;= $AQ$6, "3rd Quintile",
TRUE, "Above 3rd Quintile"
)</f>
        <v>Above 3rd Quintile</v>
      </c>
      <c r="AA89" s="46" t="s">
        <v>590</v>
      </c>
      <c r="AB89" s="46" t="str">
        <f t="array" ref="AB89">_xlfn.IFS(
    (X89="1st Quintile (Lowest)")+(Z89="Above 3rd Quintile"), "Group 1",
    ((X89="2nd Quintile (Median)")+(X89="3rd Quintile")+(Z89="2nd Quintile")+(Z89="3rd Quintile")), "Group 2",
    TRUE, "Group 3"
)</f>
        <v>Group 1</v>
      </c>
      <c r="AF89" t="str">
        <f t="array" ref="AF89">_xlfn.IFS(
    ((X89="1st Quintile (Lowest)")+(Z89="Above 3rd Quintile"))*(K89&gt;5), "Group 1 - Long",
    ((X89="1st Quintile (Lowest)")+(Z89="Above 3rd Quintile"))*(K89&lt;=5), "Group 1 - Short",
    ((X89="2nd Quintile (Median)")+(X89="3rd Quintile")+(Z89="2nd Quintile")+(Z89="3rd Quintile"))*(K89&gt;5), "Group 2 - Long",
    ((X89="2nd Quintile (Median)")+(X89="3rd Quintile")+(Z89="2nd Quintile")+(Z89="3rd Quintile"))*(K89&lt;=5), "Group 2 - Short",
    K89&gt;5, "Group 3 - Long",
    K89&lt;=5, "Group 3 - Short"
)</f>
        <v>Group 1 - Short</v>
      </c>
    </row>
    <row r="90" spans="1:32" ht="30" x14ac:dyDescent="0.25">
      <c r="A90" s="36" t="s">
        <v>303</v>
      </c>
      <c r="B90" s="67" t="s">
        <v>304</v>
      </c>
      <c r="C90" s="67" t="s">
        <v>45</v>
      </c>
      <c r="D90" s="36"/>
      <c r="E90" s="36"/>
      <c r="F90" s="36"/>
      <c r="G90" s="36" t="s">
        <v>38</v>
      </c>
      <c r="H90" s="69" t="e">
        <v>#VALUE!</v>
      </c>
      <c r="I90" s="67">
        <v>2010</v>
      </c>
      <c r="J90" s="36">
        <v>2023</v>
      </c>
      <c r="K90" s="36">
        <f>J90-I90</f>
        <v>13</v>
      </c>
      <c r="L90" s="36" t="s">
        <v>129</v>
      </c>
      <c r="M90" s="69" t="s">
        <v>617</v>
      </c>
      <c r="N90" s="149">
        <v>1641.348092096581</v>
      </c>
      <c r="O90" s="149"/>
      <c r="P90" s="149"/>
      <c r="Q90" s="149"/>
      <c r="R90" s="199">
        <v>178661.84105960271</v>
      </c>
      <c r="S90" s="199">
        <v>836.4214671048552</v>
      </c>
      <c r="T90" s="149">
        <v>1.962345727182083</v>
      </c>
      <c r="U90" s="65" t="s">
        <v>42</v>
      </c>
      <c r="V90" s="35" t="s">
        <v>583</v>
      </c>
      <c r="W90" s="149">
        <f>'VfM MSD Mastersheet'!$O98</f>
        <v>-0.4908346295356748</v>
      </c>
      <c r="X90" s="13" t="str">
        <f t="array" ref="X90">_xlfn.IFS(
W90&lt;= $AO$5, "1st Quintile (Lowest)",
W90&lt;= $AP$5, "2nd Quintile (Median)",
W90&lt;= $AQ$5, "3rd Quintile",
TRUE, "Above 3rd Quintile"
)</f>
        <v>3rd Quintile</v>
      </c>
      <c r="Y90" s="13">
        <f>'VfM MSD Mastersheet'!$P98</f>
        <v>2.8778699795406659</v>
      </c>
      <c r="Z90" s="13" t="str">
        <f t="array" ref="Z90">_xlfn.IFS(
Y90&lt;= $AO$6, "1st Quintile (Lowest)",
Y90&lt;= $AP$6, "2nd Quintile (Median)",
Y90&lt;= $AQ$6, "3rd Quintile",
TRUE, "Above 3rd Quintile"
)</f>
        <v>1st Quintile (Lowest)</v>
      </c>
      <c r="AA90" s="46" t="s">
        <v>587</v>
      </c>
      <c r="AB90" s="46" t="str">
        <f t="array" ref="AB90">_xlfn.IFS(
    (X90="1st Quintile (Lowest)")+(Z90="Above 3rd Quintile"), "Group 1",
    ((X90="2nd Quintile (Median)")+(X90="3rd Quintile")+(Z90="2nd Quintile")+(Z90="3rd Quintile")), "Group 2",
    TRUE, "Group 3"
)</f>
        <v>Group 2</v>
      </c>
      <c r="AF90" t="str">
        <f t="array" ref="AF90">_xlfn.IFS(
    ((X90="1st Quintile (Lowest)")+(Z90="Above 3rd Quintile"))*(K90&gt;5), "Group 1 - Long",
    ((X90="1st Quintile (Lowest)")+(Z90="Above 3rd Quintile"))*(K90&lt;=5), "Group 1 - Short",
    ((X90="2nd Quintile (Median)")+(X90="3rd Quintile")+(Z90="2nd Quintile")+(Z90="3rd Quintile"))*(K90&gt;5), "Group 2 - Long",
    ((X90="2nd Quintile (Median)")+(X90="3rd Quintile")+(Z90="2nd Quintile")+(Z90="3rd Quintile"))*(K90&lt;=5), "Group 2 - Short",
    K90&gt;5, "Group 3 - Long",
    K90&lt;=5, "Group 3 - Short"
)</f>
        <v>Group 2 - Long</v>
      </c>
    </row>
    <row r="91" spans="1:32" ht="30" x14ac:dyDescent="0.25">
      <c r="A91" t="s">
        <v>61</v>
      </c>
      <c r="B91" t="s">
        <v>62</v>
      </c>
      <c r="C91" s="4" t="s">
        <v>620</v>
      </c>
      <c r="G91" t="s">
        <v>38</v>
      </c>
      <c r="H91" s="66" t="e">
        <v>#VALUE!</v>
      </c>
      <c r="I91" s="4">
        <v>2022</v>
      </c>
      <c r="J91">
        <v>2026</v>
      </c>
      <c r="K91">
        <f>J91-I91</f>
        <v>4</v>
      </c>
      <c r="L91" t="s">
        <v>39</v>
      </c>
      <c r="M91" s="66" t="s">
        <v>617</v>
      </c>
      <c r="N91" s="13">
        <v>379.44</v>
      </c>
      <c r="O91" s="13"/>
      <c r="P91" s="13"/>
      <c r="Q91" s="13"/>
      <c r="R91" s="130">
        <v>1840.711111111111</v>
      </c>
      <c r="S91" s="130">
        <v>749.74656046343216</v>
      </c>
      <c r="T91" s="13">
        <v>0.50645748502994015</v>
      </c>
      <c r="U91" s="63" t="s">
        <v>42</v>
      </c>
      <c r="V91" s="17" t="s">
        <v>583</v>
      </c>
      <c r="W91" s="149">
        <f>'VfM MSD Mastersheet'!$O99</f>
        <v>-0.55032919431105254</v>
      </c>
      <c r="X91" s="28" t="str">
        <f t="array" ref="X91">_xlfn.IFS(
W91&lt;= $AO$5, "1st Quintile (Lowest)",
W91&lt;= $AP$5, "2nd Quintile (Median)",
W91&lt;= $AQ$5, "3rd Quintile",
TRUE, "Above 3rd Quintile"
)</f>
        <v>2nd Quintile (Median)</v>
      </c>
      <c r="Y91" s="13">
        <f>'VfM MSD Mastersheet'!$P99</f>
        <v>5.8709018070206724</v>
      </c>
      <c r="Z91" s="28" t="str">
        <f t="array" ref="Z91">_xlfn.IFS(
Y91&lt;= $AO$6, "1st Quintile (Lowest)",
Y91&lt;= $AP$6, "2nd Quintile (Median)",
Y91&lt;= $AQ$6, "3rd Quintile",
TRUE, "Above 3rd Quintile"
)</f>
        <v>2nd Quintile (Median)</v>
      </c>
      <c r="AA91" s="46" t="s">
        <v>587</v>
      </c>
      <c r="AB91" s="46" t="str">
        <f t="array" ref="AB91">_xlfn.IFS(
    (X91="1st Quintile (Lowest)")+(Z91="Above 3rd Quintile"), "Group 1",
    ((X91="2nd Quintile (Median)")+(X91="3rd Quintile")+(Z91="2nd Quintile")+(Z91="3rd Quintile")), "Group 2",
    TRUE, "Group 3"
)</f>
        <v>Group 2</v>
      </c>
      <c r="AF91" t="str">
        <f t="array" ref="AF91">_xlfn.IFS(
    ((X91="1st Quintile (Lowest)")+(Z91="Above 3rd Quintile"))*(K91&gt;5), "Group 1 - Long",
    ((X91="1st Quintile (Lowest)")+(Z91="Above 3rd Quintile"))*(K91&lt;=5), "Group 1 - Short",
    ((X91="2nd Quintile (Median)")+(X91="3rd Quintile")+(Z91="2nd Quintile")+(Z91="3rd Quintile"))*(K91&gt;5), "Group 2 - Long",
    ((X91="2nd Quintile (Median)")+(X91="3rd Quintile")+(Z91="2nd Quintile")+(Z91="3rd Quintile"))*(K91&lt;=5), "Group 2 - Short",
    K91&gt;5, "Group 3 - Long",
    K91&lt;=5, "Group 3 - Short"
)</f>
        <v>Group 2 - Short</v>
      </c>
    </row>
    <row r="92" spans="1:32" ht="30" x14ac:dyDescent="0.25">
      <c r="A92" t="s">
        <v>78</v>
      </c>
      <c r="B92" t="s">
        <v>79</v>
      </c>
      <c r="C92" s="4" t="s">
        <v>609</v>
      </c>
      <c r="G92" t="s">
        <v>38</v>
      </c>
      <c r="H92" s="66" t="e">
        <v>#VALUE!</v>
      </c>
      <c r="I92" s="4">
        <v>2023</v>
      </c>
      <c r="J92">
        <v>2026</v>
      </c>
      <c r="K92">
        <f>J92-I92</f>
        <v>3</v>
      </c>
      <c r="L92" t="s">
        <v>39</v>
      </c>
      <c r="M92" s="66" t="s">
        <v>617</v>
      </c>
      <c r="N92" s="13">
        <v>330.73987568280279</v>
      </c>
      <c r="O92" s="13">
        <v>0.15087964225829531</v>
      </c>
      <c r="P92" s="13">
        <v>0.19994262036310689</v>
      </c>
      <c r="Q92" s="13">
        <v>3.6333847829880667E-2</v>
      </c>
      <c r="R92" s="130">
        <v>20831.329411764709</v>
      </c>
      <c r="S92" s="130">
        <v>658.72879464285711</v>
      </c>
      <c r="T92" s="13">
        <v>0.49583065778185909</v>
      </c>
      <c r="U92" s="63" t="s">
        <v>42</v>
      </c>
      <c r="V92" s="17" t="s">
        <v>583</v>
      </c>
      <c r="W92" s="149">
        <f>'VfM MSD Mastersheet'!$O100</f>
        <v>-1.4802402583035545</v>
      </c>
      <c r="X92" s="28" t="str">
        <f t="array" ref="X92">_xlfn.IFS(
W92&lt;= $AO$5, "1st Quintile (Lowest)",
W92&lt;= $AP$5, "2nd Quintile (Median)",
W92&lt;= $AQ$5, "3rd Quintile",
TRUE, "Above 3rd Quintile"
)</f>
        <v>1st Quintile (Lowest)</v>
      </c>
      <c r="Y92" s="13">
        <f>'VfM MSD Mastersheet'!$P100</f>
        <v>7.6154798049495867</v>
      </c>
      <c r="Z92" s="28" t="str">
        <f t="array" ref="Z92">_xlfn.IFS(
Y92&lt;= $AO$6, "1st Quintile (Lowest)",
Y92&lt;= $AP$6, "2nd Quintile (Median)",
Y92&lt;= $AQ$6, "3rd Quintile",
TRUE, "Above 3rd Quintile"
)</f>
        <v>Above 3rd Quintile</v>
      </c>
      <c r="AA92" s="46" t="s">
        <v>587</v>
      </c>
      <c r="AB92" s="46" t="str">
        <f t="array" ref="AB92">_xlfn.IFS(
    (X92="1st Quintile (Lowest)")+(Z92="Above 3rd Quintile"), "Group 1",
    ((X92="2nd Quintile (Median)")+(X92="3rd Quintile")+(Z92="2nd Quintile")+(Z92="3rd Quintile")), "Group 2",
    TRUE, "Group 3"
)</f>
        <v>Group 1</v>
      </c>
      <c r="AF92" t="str">
        <f t="array" ref="AF92">_xlfn.IFS(
    ((X92="1st Quintile (Lowest)")+(Z92="Above 3rd Quintile"))*(K92&gt;5), "Group 1 - Long",
    ((X92="1st Quintile (Lowest)")+(Z92="Above 3rd Quintile"))*(K92&lt;=5), "Group 1 - Short",
    ((X92="2nd Quintile (Median)")+(X92="3rd Quintile")+(Z92="2nd Quintile")+(Z92="3rd Quintile"))*(K92&gt;5), "Group 2 - Long",
    ((X92="2nd Quintile (Median)")+(X92="3rd Quintile")+(Z92="2nd Quintile")+(Z92="3rd Quintile"))*(K92&lt;=5), "Group 2 - Short",
    K92&gt;5, "Group 3 - Long",
    K92&lt;=5, "Group 3 - Short"
)</f>
        <v>Group 1 - Short</v>
      </c>
    </row>
  </sheetData>
  <mergeCells count="1">
    <mergeCell ref="A2:E2"/>
  </mergeCells>
  <conditionalFormatting sqref="X5:X92">
    <cfRule type="expression" dxfId="27" priority="5">
      <formula>$X5="Above 3rd Quintile"</formula>
    </cfRule>
    <cfRule type="expression" dxfId="26" priority="6">
      <formula>$X5="3rd Quintile"</formula>
    </cfRule>
    <cfRule type="expression" dxfId="25" priority="7">
      <formula>$X5="2nd Quintile (Median)"</formula>
    </cfRule>
    <cfRule type="expression" dxfId="24" priority="8">
      <formula>$X5="1st Quintile (Lowest)"</formula>
    </cfRule>
  </conditionalFormatting>
  <conditionalFormatting sqref="Z5:Z92">
    <cfRule type="expression" dxfId="23" priority="1">
      <formula>$Z5="Above 3rd Quintile"</formula>
    </cfRule>
    <cfRule type="expression" dxfId="22" priority="2">
      <formula>$Z5="3rd Quintile"</formula>
    </cfRule>
    <cfRule type="expression" dxfId="21" priority="3">
      <formula>$Z5="2nd Quintile (Median)"</formula>
    </cfRule>
    <cfRule type="expression" dxfId="20" priority="4">
      <formula>$Z5="1st Quintile (Lowest)"</formula>
    </cfRule>
  </conditionalFormatting>
  <dataValidations count="1">
    <dataValidation type="list" allowBlank="1" showInputMessage="1" showErrorMessage="1" sqref="U5:U92" xr:uid="{00000000-0002-0000-0200-000000000000}">
      <formula1>"Stable, FCAS, Both"</formula1>
    </dataValidation>
  </dataValidations>
  <pageMargins left="0.7" right="0.7" top="0.75" bottom="0.75" header="0.3" footer="0.3"/>
  <pageSetup orientation="portrait"/>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5A87CD"/>
  </sheetPr>
  <dimension ref="A1:W178"/>
  <sheetViews>
    <sheetView topLeftCell="A24" zoomScale="80" zoomScaleNormal="80" workbookViewId="0">
      <selection activeCell="A32" sqref="A32:B32"/>
    </sheetView>
  </sheetViews>
  <sheetFormatPr defaultRowHeight="15" x14ac:dyDescent="0.25"/>
  <cols>
    <col min="1" max="1" width="16.28515625" customWidth="1"/>
    <col min="2" max="2" width="32.140625" customWidth="1"/>
    <col min="3" max="4" width="11.7109375" bestFit="1" customWidth="1"/>
    <col min="5" max="5" width="12.85546875" customWidth="1"/>
    <col min="6" max="7" width="11.5703125" bestFit="1" customWidth="1"/>
    <col min="8" max="8" width="11.42578125" customWidth="1"/>
    <col min="9" max="9" width="11.5703125" bestFit="1" customWidth="1"/>
    <col min="10" max="10" width="10.5703125" customWidth="1"/>
    <col min="11" max="11" width="12" customWidth="1"/>
    <col min="14" max="14" width="11.5703125" customWidth="1"/>
    <col min="15" max="15" width="10.140625" customWidth="1"/>
    <col min="16" max="16" width="10.85546875" customWidth="1"/>
    <col min="17" max="17" width="11" customWidth="1"/>
    <col min="18" max="18" width="9.28515625" customWidth="1"/>
    <col min="19" max="19" width="10.42578125" customWidth="1"/>
    <col min="20" max="20" width="11" customWidth="1"/>
    <col min="21" max="21" width="9.85546875" customWidth="1"/>
    <col min="22" max="22" width="10.5703125" customWidth="1"/>
    <col min="23" max="23" width="11.5703125" customWidth="1"/>
  </cols>
  <sheetData>
    <row r="1" spans="2:23" ht="15" customHeight="1" thickBot="1" x14ac:dyDescent="0.3"/>
    <row r="2" spans="2:23" ht="45.6" customHeight="1" x14ac:dyDescent="0.25">
      <c r="B2" s="214" t="s">
        <v>621</v>
      </c>
      <c r="C2" s="526" t="s">
        <v>622</v>
      </c>
      <c r="D2" s="514"/>
      <c r="E2" s="515"/>
      <c r="F2" s="513" t="s">
        <v>623</v>
      </c>
      <c r="G2" s="514"/>
      <c r="H2" s="515"/>
      <c r="I2" s="513" t="s">
        <v>624</v>
      </c>
      <c r="J2" s="514"/>
      <c r="K2" s="515"/>
      <c r="L2" s="513" t="s">
        <v>562</v>
      </c>
      <c r="M2" s="514"/>
      <c r="N2" s="515"/>
      <c r="O2" s="513" t="s">
        <v>625</v>
      </c>
      <c r="P2" s="514"/>
      <c r="Q2" s="515"/>
      <c r="R2" s="513" t="s">
        <v>626</v>
      </c>
      <c r="S2" s="514"/>
      <c r="T2" s="515"/>
      <c r="U2" s="513" t="s">
        <v>34</v>
      </c>
      <c r="V2" s="514"/>
      <c r="W2" s="515"/>
    </row>
    <row r="3" spans="2:23" ht="28.9" customHeight="1" x14ac:dyDescent="0.25">
      <c r="B3" s="200" t="s">
        <v>627</v>
      </c>
      <c r="C3" s="200" t="s">
        <v>628</v>
      </c>
      <c r="D3" s="201" t="s">
        <v>629</v>
      </c>
      <c r="E3" s="201" t="s">
        <v>630</v>
      </c>
      <c r="F3" s="201" t="s">
        <v>628</v>
      </c>
      <c r="G3" s="201" t="s">
        <v>629</v>
      </c>
      <c r="H3" s="201" t="s">
        <v>630</v>
      </c>
      <c r="I3" s="201" t="s">
        <v>628</v>
      </c>
      <c r="J3" s="201" t="s">
        <v>629</v>
      </c>
      <c r="K3" s="201" t="s">
        <v>630</v>
      </c>
      <c r="L3" s="201" t="s">
        <v>628</v>
      </c>
      <c r="M3" s="201" t="s">
        <v>629</v>
      </c>
      <c r="N3" s="201" t="s">
        <v>630</v>
      </c>
      <c r="O3" s="201" t="s">
        <v>628</v>
      </c>
      <c r="P3" s="201" t="s">
        <v>629</v>
      </c>
      <c r="Q3" s="201" t="s">
        <v>630</v>
      </c>
      <c r="R3" s="201" t="s">
        <v>628</v>
      </c>
      <c r="S3" s="201" t="s">
        <v>629</v>
      </c>
      <c r="T3" s="201" t="s">
        <v>630</v>
      </c>
      <c r="U3" s="201" t="s">
        <v>628</v>
      </c>
      <c r="V3" s="201" t="s">
        <v>629</v>
      </c>
      <c r="W3" s="201" t="s">
        <v>630</v>
      </c>
    </row>
    <row r="4" spans="2:23" ht="28.15" customHeight="1" x14ac:dyDescent="0.25">
      <c r="B4" s="216" t="s">
        <v>631</v>
      </c>
      <c r="C4" s="217">
        <f t="array" ref="C4">MEDIAN(_xlfn._xlws.FILTER(Table8[Income per beneficiary (USD)], Table8[Income per beneficiary (USD)]&gt;0))</f>
        <v>189.99599231861066</v>
      </c>
      <c r="D4" s="217">
        <f t="array" ref="D4">AVERAGE(_xlfn._xlws.FILTER(Table8[Income per beneficiary (USD)], Table8[Income per beneficiary (USD)]&gt;0))</f>
        <v>446.14076697653496</v>
      </c>
      <c r="E4" s="218">
        <f>COUNTIFS(Table8[Income per beneficiary (USD)],"&gt;0")</f>
        <v>44</v>
      </c>
      <c r="F4" s="219">
        <f t="array" ref="F4">MEDIAN(_xlfn._xlws.FILTER(Table8[Private Sector Investment (USD) / Project cost ], Table8[Private Sector Investment (USD) / Project cost ]&gt;0))</f>
        <v>0.46099320159229623</v>
      </c>
      <c r="G4" s="219">
        <f t="array" ref="G4">AVERAGE(_xlfn._xlws.FILTER(Table8[Private Sector Investment (USD) / Project cost ], Table8[Private Sector Investment (USD) / Project cost ]&gt;0))</f>
        <v>1.5120664697120858</v>
      </c>
      <c r="H4" s="218">
        <f>COUNTIFS(Table8[Private Sector Investment (USD) / Project cost ],"&gt;0")</f>
        <v>58</v>
      </c>
      <c r="I4" s="219">
        <f t="array" ref="I4">MEDIAN(_xlfn._xlws.FILTER(Table8[Private Sector Revenues Generated (USD) / Project cost],Table8[Private Sector Revenues Generated (USD) / Project cost]&gt;0))</f>
        <v>1.33125</v>
      </c>
      <c r="J4" s="219">
        <f t="array" ref="J4">AVERAGE(_xlfn._xlws.FILTER(Table8[Private Sector Revenues Generated (USD) / Project cost],Table8[Private Sector Revenues Generated (USD) / Project cost] &gt;0))</f>
        <v>2.9160040193751291</v>
      </c>
      <c r="K4" s="218">
        <f>COUNTIFS(Table8[Private Sector Revenues Generated (USD) / Project cost],"&gt;0")</f>
        <v>47</v>
      </c>
      <c r="L4" s="219">
        <f t="array" ref="L4">MEDIAN(_xlfn._xlws.FILTER(Table8[Export Revenue Generated (USD) /Project Cost],Table8[Export Revenue Generated (USD) /Project Cost]&gt;0))</f>
        <v>0.12824730379810756</v>
      </c>
      <c r="M4" s="219">
        <f t="array" ref="M4">AVERAGE(_xlfn._xlws.FILTER(Table8[Export Revenue Generated (USD) /Project Cost],Table8[Export Revenue Generated (USD) /Project Cost] &gt;0))</f>
        <v>7.0871542427435754</v>
      </c>
      <c r="N4" s="218">
        <f>COUNTIFS(Table8[Export Revenue Generated (USD) /Project Cost],"&gt;0")</f>
        <v>14</v>
      </c>
      <c r="O4" s="217">
        <f t="array" ref="O4">MEDIAN(_xlfn._xlws.FILTER(Table8[Cost (USD)/Job created],Table8[Cost (USD)/Job created]&gt;0))</f>
        <v>3575.547866205306</v>
      </c>
      <c r="P4" s="217">
        <f t="array" ref="P4">AVERAGE(_xlfn._xlws.FILTER(Table8[Cost (USD)/Job created],Table8[Cost (USD)/Job created]&gt;0))</f>
        <v>18181.973900985908</v>
      </c>
      <c r="Q4" s="218">
        <f>COUNTIFS(Table8[Cost (USD)/Job created],"&gt;0")</f>
        <v>41</v>
      </c>
      <c r="R4" s="217">
        <f t="array" ref="R4">MEDIAN(_xlfn._xlws.FILTER(Table8[Cost (USD)/Job improved],Table8[Cost (USD)/Job improved]&gt;0))</f>
        <v>482.32273625495225</v>
      </c>
      <c r="S4" s="217">
        <f t="array" ref="S4">AVERAGE(_xlfn._xlws.FILTER(Table8[Cost (USD)/Job improved],Table8[Cost (USD)/Job improved]&gt;0))</f>
        <v>5483.2526019687411</v>
      </c>
      <c r="T4" s="218">
        <f>COUNTIFS(Table8[Cost (USD)/Job improved],"&gt;0")</f>
        <v>66</v>
      </c>
      <c r="U4" s="219">
        <f t="array" ref="U4">MEDIAN(_xlfn._xlws.FILTER(Table8[Beneficiary Income (USD) / Project Cost],Table8[Beneficiary Income (USD) / Project Cost]&gt;0))</f>
        <v>1.1640735593775156</v>
      </c>
      <c r="V4" s="219">
        <f t="array" ref="V4">AVERAGE(_xlfn._xlws.FILTER(Table8[Beneficiary Income (USD) / Project Cost],Table8[Beneficiary Income (USD) / Project Cost]&gt;0))</f>
        <v>1.5762862058440392</v>
      </c>
      <c r="W4" s="218">
        <f>COUNTIFS(Table8[Beneficiary Income (USD) / Project Cost],"&gt;0")</f>
        <v>44</v>
      </c>
    </row>
    <row r="5" spans="2:23" x14ac:dyDescent="0.25">
      <c r="B5" s="292" t="s">
        <v>632</v>
      </c>
      <c r="C5" s="293"/>
      <c r="D5" s="293"/>
      <c r="E5" s="293"/>
      <c r="F5" s="293"/>
      <c r="G5" s="293"/>
      <c r="H5" s="293"/>
      <c r="I5" s="293"/>
      <c r="J5" s="293"/>
      <c r="K5" s="293"/>
      <c r="L5" s="293"/>
      <c r="M5" s="293"/>
      <c r="N5" s="293"/>
      <c r="O5" s="293"/>
      <c r="P5" s="293"/>
      <c r="Q5" s="293"/>
      <c r="R5" s="293"/>
      <c r="S5" s="293"/>
      <c r="T5" s="293"/>
      <c r="U5" s="293"/>
      <c r="V5" s="293"/>
      <c r="W5" s="293"/>
    </row>
    <row r="6" spans="2:23" x14ac:dyDescent="0.25">
      <c r="B6" s="205" t="s">
        <v>633</v>
      </c>
      <c r="C6" s="202">
        <f t="array" ref="C6">MEDIAN(_xlfn._xlws.FILTER(Table8[Income per beneficiary (USD)],(Table8[Income per beneficiary (USD)]&gt;0)*(Table8[Sector]="Agriculture")))</f>
        <v>125.03383604055691</v>
      </c>
      <c r="D6" s="202">
        <f t="array" ref="D6">AVERAGE(_xlfn._xlws.FILTER(Table8[Income per beneficiary (USD)],(Table8[Income per beneficiary (USD)]&gt;0)*(Table8[Sector]="Agriculture")))</f>
        <v>282.55024083333819</v>
      </c>
      <c r="E6" s="15">
        <f>COUNTIFS(Table8[Income per beneficiary (USD)],"&gt;0",Table8[Sector],"Agriculture")</f>
        <v>34</v>
      </c>
      <c r="F6" s="203">
        <f t="array" ref="F6">MEDIAN(_xlfn._xlws.FILTER(Table8[Private Sector Investment (USD) / Project cost ],(Table8[Private Sector Investment (USD) / Project cost ]&gt;0)*(Table8[Sector]="Agriculture")))</f>
        <v>0.30848466448692158</v>
      </c>
      <c r="G6" s="203">
        <f t="array" ref="G6">AVERAGE(_xlfn._xlws.FILTER(Table8[Private Sector Investment (USD) / Project cost ],(Table8[Private Sector Investment (USD) / Project cost ]&gt;0)*(Table8[Sector]="Agriculture")))</f>
        <v>0.89839690131901773</v>
      </c>
      <c r="H6" s="15">
        <f>COUNTIFS(Table8[Private Sector Investment (USD) / Project cost ],"&gt;0",Table8[Sector],"Agriculture")</f>
        <v>44</v>
      </c>
      <c r="I6" s="203">
        <f t="array" ref="I6">MEDIAN(_xlfn._xlws.FILTER(Table8[Private Sector Revenues Generated (USD) / Project cost],(Table8[Private Sector Revenues Generated (USD) / Project cost]&gt;0)*(Table8[Sector]="Agriculture")))</f>
        <v>1.33125</v>
      </c>
      <c r="J6" s="203">
        <f t="array" ref="J6">AVERAGE(_xlfn._xlws.FILTER(Table8[Private Sector Revenues Generated (USD) / Project cost],(Table8[Private Sector Revenues Generated (USD) / Project cost]&gt;0)*(Table8[Sector]="Agriculture")))</f>
        <v>2.9498192735519142</v>
      </c>
      <c r="K6" s="15">
        <f>COUNTIFS(Table8[Private Sector Revenues Generated (USD) / Project cost],"&gt;0",Table8[Sector],"Agriculture")</f>
        <v>35</v>
      </c>
      <c r="L6" s="203">
        <f t="array" ref="L6">MEDIAN(_xlfn._xlws.FILTER(Table8[Export Revenue Generated (USD) /Project Cost],(Table8[Export Revenue Generated (USD) /Project Cost]&gt;0)*(Table8[Sector]="Agriculture")))</f>
        <v>0.10208563993256134</v>
      </c>
      <c r="M6" s="203">
        <f t="array" ref="M6">AVERAGE(_xlfn._xlws.FILTER(Table8[Export Revenue Generated (USD) /Project Cost],(Table8[Export Revenue Generated (USD) /Project Cost]&gt;0)*(Table8[Sector]="Agriculture")))</f>
        <v>1.4136142423389</v>
      </c>
      <c r="N6" s="15">
        <f>COUNTIFS(Table8[Export Revenue Generated (USD) /Project Cost],"&gt;0",Table8[Sector],"Agriculture")</f>
        <v>12</v>
      </c>
      <c r="O6" s="202">
        <f t="array" ref="O6">MEDIAN(_xlfn._xlws.FILTER(Table8[Cost (USD)/Job created],(Table8[Cost (USD)/Job created]&gt;0)*(Table8[Sector]="Agriculture")))</f>
        <v>4772.0607837909893</v>
      </c>
      <c r="P6" s="202">
        <f t="array" ref="P6">AVERAGE(_xlfn._xlws.FILTER(Table8[Cost (USD)/Job created],(Table8[Cost (USD)/Job created]&gt;0)*(Table8[Sector]="Agriculture")))</f>
        <v>13943.408795133497</v>
      </c>
      <c r="Q6" s="15">
        <f>COUNTIFS(Table8[Cost (USD)/Job created],"&gt;0",Table8[Sector],"Agriculture")</f>
        <v>25</v>
      </c>
      <c r="R6" s="202">
        <f t="array" ref="R6">MEDIAN(_xlfn._xlws.FILTER(Table8[Cost (USD)/Job improved],(Table8[Cost (USD)/Job improved]&gt;0)*(Table8[Sector]="Agriculture")))</f>
        <v>419.0232008476188</v>
      </c>
      <c r="S6" s="202">
        <f t="array" ref="S6">AVERAGE(_xlfn._xlws.FILTER(Table8[Cost (USD)/Job improved],(Table8[Cost (USD)/Job improved]&gt;0)*(Table8[Sector]="Agriculture")))</f>
        <v>6052.5181282891399</v>
      </c>
      <c r="T6" s="15">
        <f>COUNTIFS(Table8[Cost (USD)/Job improved],"&gt;0",Table8[Sector],"Agriculture")</f>
        <v>51</v>
      </c>
      <c r="U6" s="203">
        <f t="array" ref="U6">MEDIAN(_xlfn._xlws.FILTER(Table8[Beneficiary Income (USD) / Project Cost],(Table8[Beneficiary Income (USD) / Project Cost]&gt;0)*(Table8[Sector]="Agriculture")))</f>
        <v>1.0993652525186981</v>
      </c>
      <c r="V6" s="203">
        <f t="array" ref="V6">AVERAGE(_xlfn._xlws.FILTER(Table8[Beneficiary Income (USD) / Project Cost],(Table8[Beneficiary Income (USD) / Project Cost]&gt;0)*(Table8[Sector]="Agriculture")))</f>
        <v>1.632121101651127</v>
      </c>
      <c r="W6" s="15">
        <f>COUNTIFS(Table8[Beneficiary Income (USD) / Project Cost],"&gt;0",Table8[Sector],"Agriculture")</f>
        <v>34</v>
      </c>
    </row>
    <row r="7" spans="2:23" x14ac:dyDescent="0.25">
      <c r="B7" s="205" t="s">
        <v>634</v>
      </c>
      <c r="C7" s="202">
        <f t="array" ref="C7">IFERROR(MEDIAN(_xlfn._xlws.FILTER(Table8[Income per beneficiary (USD)],(Table8[Income per beneficiary (USD)]&gt;0)*(Table8[Sector]&lt;&gt;"Agriculture"))),"")</f>
        <v>508.48724598018771</v>
      </c>
      <c r="D7" s="202">
        <f t="array" ref="D7">IFERROR(AVERAGE(_xlfn._xlws.FILTER(Table8[Income per beneficiary (USD)],(Table8[Income per beneficiary (USD)]&gt;0)*(Table8[Sector]&lt;&gt;"Agriculture"))),"")</f>
        <v>1002.3485558634038</v>
      </c>
      <c r="E7" s="15">
        <f>COUNTIFS(Table8[Income per beneficiary (USD)],"&gt;0",Table8[Sector],"&lt;&gt;Agriculture")</f>
        <v>10</v>
      </c>
      <c r="F7" s="203">
        <f t="array" ref="F7">IFERROR(MEDIAN(_xlfn._xlws.FILTER(Table8[Private Sector Investment (USD) / Project cost ],(Table8[Private Sector Investment (USD) / Project cost ]&gt;0)*(Table8[Sector]&lt;&gt;"Agriculture"))),"")</f>
        <v>0.75111177682539676</v>
      </c>
      <c r="G7" s="203">
        <f t="array" ref="G7">IFERROR(AVERAGE(_xlfn._xlws.FILTER(Table8[Private Sector Investment (USD) / Project cost ],(Table8[Private Sector Investment (USD) / Project cost ]&gt;0)*(Table8[Sector]&lt;&gt;"Agriculture"))),"")</f>
        <v>3.4407422560902985</v>
      </c>
      <c r="H7" s="15">
        <f>COUNTIFS(Table8[Private Sector Investment (USD) / Project cost ],"&gt;0",Table8[Sector],"&lt;&gt;Agriculture")</f>
        <v>14</v>
      </c>
      <c r="I7" s="203">
        <f t="array" ref="I7">IFERROR(MEDIAN(_xlfn._xlws.FILTER(Table8[Private Sector Revenues Generated (USD) / Project cost],(Table8[Private Sector Revenues Generated (USD) / Project cost]&gt;0)*(Table8[Sector]&lt;&gt;"Agriculture"))),"")</f>
        <v>1.40305444</v>
      </c>
      <c r="J7" s="203">
        <f t="array" ref="J7">IFERROR(AVERAGE(_xlfn._xlws.FILTER(Table8[Private Sector Revenues Generated (USD) / Project cost],(Table8[Private Sector Revenues Generated (USD) / Project cost]&gt;0)*(Table8[Sector]&lt;&gt;"Agriculture"))),"")</f>
        <v>2.8173761946928422</v>
      </c>
      <c r="K7" s="15">
        <f>COUNTIFS(Table8[Private Sector Revenues Generated (USD) / Project cost],"&gt;0",Table8[Sector],"&lt;&gt;Agriculture")</f>
        <v>12</v>
      </c>
      <c r="L7" s="198">
        <f t="array" ref="L7">IFERROR(MEDIAN(_xlfn._xlws.FILTER(Table8[Export Revenue Generated (USD) /Project Cost],(Table8[Export Revenue Generated (USD) /Project Cost]&gt;0)*(Table8[Sector]&lt;&gt;"Agriculture"))),"n/a")</f>
        <v>41.128394245171627</v>
      </c>
      <c r="M7" s="198">
        <f t="array" ref="M7">IFERROR(AVERAGE(_xlfn._xlws.FILTER(Table8[Export Revenue Generated (USD) /Project Cost],(Table8[Export Revenue Generated (USD) /Project Cost]&gt;0)*(Table8[Sector]&lt;&gt;"Agriculture"))),"n/a")</f>
        <v>41.128394245171627</v>
      </c>
      <c r="N7" s="15">
        <f>COUNTIFS(Table8[Export Revenue Generated (USD) /Project Cost],"&gt;0",Table8[Sector],"&lt;&gt;Agriculture")</f>
        <v>2</v>
      </c>
      <c r="O7" s="202">
        <f t="array" ref="O7">IFERROR(MEDIAN(_xlfn._xlws.FILTER(Table8[Cost (USD)/Job created],(Table8[Cost (USD)/Job created]&gt;0)*(Table8[Sector]&lt;&gt;"Agriculture"))),"")</f>
        <v>2523.6537486719762</v>
      </c>
      <c r="P7" s="202">
        <f t="array" ref="P7">IFERROR(AVERAGE(_xlfn._xlws.FILTER(Table8[Cost (USD)/Job created],(Table8[Cost (USD)/Job created]&gt;0)*(Table8[Sector]&lt;&gt;"Agriculture"))),"")</f>
        <v>24804.731878880313</v>
      </c>
      <c r="Q7" s="15">
        <f>COUNTIFS(Table8[Cost (USD)/Job created],"&gt;0",Table8[Sector],"&lt;&gt;Agriculture")</f>
        <v>16</v>
      </c>
      <c r="R7" s="202">
        <f t="array" ref="R7">IFERROR(MEDIAN(_xlfn._xlws.FILTER(Table8[Cost (USD)/Job improved],(Table8[Cost (USD)/Job improved]&gt;0)*(Table8[Sector]&lt;&gt;"Agriculture"))),"")</f>
        <v>1219.148089171975</v>
      </c>
      <c r="S7" s="202">
        <f t="array" ref="S7">IFERROR(AVERAGE(_xlfn._xlws.FILTER(Table8[Cost (USD)/Job improved],(Table8[Cost (USD)/Job improved]&gt;0)*(Table8[Sector]&lt;&gt;"Agriculture"))),"")</f>
        <v>3547.7498124793801</v>
      </c>
      <c r="T7" s="15">
        <f>COUNTIFS(Table8[Cost (USD)/Job improved],"&gt;0",Table8[Sector],"&lt;&gt;Agriculture")</f>
        <v>15</v>
      </c>
      <c r="U7" s="203">
        <f t="array" ref="U7">IFERROR(MEDIAN(_xlfn._xlws.FILTER(Table8[Beneficiary Income (USD) / Project Cost],(Table8[Beneficiary Income (USD) / Project Cost]&gt;0)*(Table8[Sector]&lt;&gt;"Agriculture"))),"")</f>
        <v>1.6198021143968986</v>
      </c>
      <c r="V7" s="203">
        <f t="array" ref="V7">IFERROR(AVERAGE(_xlfn._xlws.FILTER(Table8[Beneficiary Income (USD) / Project Cost],(Table8[Beneficiary Income (USD) / Project Cost]&gt;0)*(Table8[Sector]&lt;&gt;"Agriculture"))),"")</f>
        <v>1.3864475600999397</v>
      </c>
      <c r="W7" s="15">
        <f>COUNTIFS(Table8[Beneficiary Income (USD) / Project Cost],"&gt;0",Table8[Sector],"&lt;&gt;Agriculture")</f>
        <v>10</v>
      </c>
    </row>
    <row r="8" spans="2:23" x14ac:dyDescent="0.25">
      <c r="B8" s="292" t="s">
        <v>635</v>
      </c>
      <c r="C8" s="293"/>
      <c r="D8" s="293"/>
      <c r="E8" s="293"/>
      <c r="F8" s="293"/>
      <c r="G8" s="293"/>
      <c r="H8" s="293"/>
      <c r="I8" s="293"/>
      <c r="J8" s="293"/>
      <c r="K8" s="293"/>
      <c r="L8" s="293"/>
      <c r="M8" s="293"/>
      <c r="N8" s="293"/>
      <c r="O8" s="293"/>
      <c r="P8" s="293"/>
      <c r="Q8" s="293"/>
      <c r="R8" s="293"/>
      <c r="S8" s="293"/>
      <c r="T8" s="293"/>
      <c r="U8" s="293"/>
      <c r="V8" s="293"/>
      <c r="W8" s="293"/>
    </row>
    <row r="9" spans="2:23" x14ac:dyDescent="0.25">
      <c r="B9" s="205" t="s">
        <v>636</v>
      </c>
      <c r="C9" s="257">
        <f t="array" ref="C9">MEDIAN(_xlfn._xlws.FILTER(Table8[Income per beneficiary (USD)],(Table8[Income per beneficiary (USD)]&gt;0)*(Table8[Programme Length]&gt;=10)))</f>
        <v>340.53438867507401</v>
      </c>
      <c r="D9" s="257">
        <f t="array" ref="D9">AVERAGE(_xlfn._xlws.FILTER(Table8[Income per beneficiary (USD)],(Table8[Income per beneficiary (USD)]&gt;0)*(Table8[Programme Length]&gt;=10)))</f>
        <v>559.99148446210302</v>
      </c>
      <c r="E9" s="255">
        <f>COUNTIFS(Table8[Income per beneficiary (USD)],"&gt;0",Table8[Programme Length],"&gt;=10")</f>
        <v>6</v>
      </c>
      <c r="F9" s="256">
        <f t="array" ref="F9">MEDIAN(_xlfn._xlws.FILTER(Table8[Private Sector Investment (USD) / Project cost ],(Table8[Private Sector Investment (USD) / Project cost ]&gt;0)*(Table8[Programme Length]&gt;=10)))</f>
        <v>0.50501613647702559</v>
      </c>
      <c r="G9" s="256">
        <f t="array" ref="G9">AVERAGE(_xlfn._xlws.FILTER(Table8[Private Sector Investment (USD) / Project cost ],(Table8[Private Sector Investment (USD) / Project cost ]&gt;0)*(Table8[Programme Length]&gt;=10)))</f>
        <v>0.59209484509801702</v>
      </c>
      <c r="H9" s="255">
        <f>COUNTIFS(Table8[Private Sector Investment (USD) / Project cost ],"&gt;0",Table8[Programme Length],"&gt;=10")</f>
        <v>4</v>
      </c>
      <c r="I9" s="256">
        <f t="array" ref="I9">MEDIAN(_xlfn._xlws.FILTER(Table8[Private Sector Revenues Generated (USD) / Project cost],(Table8[Private Sector Revenues Generated (USD) / Project cost]&gt;0)*(Table8[Programme Length]&gt;=10)))</f>
        <v>0.48617511520737328</v>
      </c>
      <c r="J9" s="256">
        <f t="array" ref="J9">AVERAGE(_xlfn._xlws.FILTER(Table8[Private Sector Revenues Generated (USD) / Project cost],(Table8[Private Sector Revenues Generated (USD) / Project cost]&gt;0)*(Table8[Programme Length]&gt;=10)))</f>
        <v>1.1663914250924978</v>
      </c>
      <c r="K9" s="255">
        <f>COUNTIFS(Table8[Private Sector Revenues Generated (USD) / Project cost],"&gt;0", Table8[Programme Length],"&gt;=10")</f>
        <v>5</v>
      </c>
      <c r="L9" s="255">
        <f t="array" ref="L9">MEDIAN(_xlfn._xlws.FILTER(Table8[Export Revenue Generated (USD) /Project Cost],(Table8[Export Revenue Generated (USD) /Project Cost]&gt;0)*(Table8[Programme Length]&gt;=10)))</f>
        <v>0.24083813614185784</v>
      </c>
      <c r="M9" s="255">
        <f t="array" ref="M9">AVERAGE(_xlfn._xlws.FILTER(Table8[Export Revenue Generated (USD) /Project Cost],(Table8[Export Revenue Generated (USD) /Project Cost]&gt;0)*(Table8[Programme Length]&gt;=10)))</f>
        <v>0.24083813614185787</v>
      </c>
      <c r="N9" s="255">
        <f>COUNTIFS(Table8[Export Revenue Generated (USD) /Project Cost],"&gt;0",Table8[Programme Length],"&gt;=10")</f>
        <v>2</v>
      </c>
      <c r="O9" s="257">
        <f t="array" ref="O9">MEDIAN(_xlfn._xlws.FILTER(Table8[Cost (USD)/Job created],(Table8[Cost (USD)/Job created]&gt;0)*(Table8[Programme Length]&gt;=10)))</f>
        <v>6496.080152394341</v>
      </c>
      <c r="P9" s="257">
        <f t="array" ref="P9">AVERAGE(_xlfn._xlws.FILTER(Table8[Cost (USD)/Job created],(Table8[Cost (USD)/Job created]&gt;0)*(Table8[Programme Length]&gt;=10)))</f>
        <v>36331.653461280948</v>
      </c>
      <c r="Q9" s="255">
        <f>COUNTIFS(Table8[Cost (USD)/Job created],"&gt;0",Table8[Programme Length],"&gt;=10")</f>
        <v>6</v>
      </c>
      <c r="R9" s="257">
        <f t="array" ref="R9">MEDIAN(_xlfn._xlws.FILTER(Table8[Cost (USD)/Job improved],(Table8[Cost (USD)/Job improved]&gt;0)*(Table8[Programme Length]&gt;=10)))</f>
        <v>574.28677287884398</v>
      </c>
      <c r="S9" s="257">
        <f t="array" ref="S9">AVERAGE(_xlfn._xlws.FILTER(Table8[Cost (USD)/Job improved],(Table8[Cost (USD)/Job improved]&gt;0)*(Table8[Programme Length]&gt;=10)))</f>
        <v>2649.9803527777531</v>
      </c>
      <c r="T9" s="255">
        <f>COUNTIFS(Table8[Cost (USD)/Job improved],"&gt;0",Table8[Programme Length],"&gt;=10")</f>
        <v>9</v>
      </c>
      <c r="U9" s="256">
        <f t="array" ref="U9">MEDIAN(_xlfn._xlws.FILTER(Table8[Beneficiary Income (USD) / Project Cost],(Table8[Beneficiary Income (USD) / Project Cost]&gt;0)*(Table8[Programme Length]&gt;=10)))</f>
        <v>1.8974408061747736</v>
      </c>
      <c r="V9" s="256">
        <f t="array" ref="V9">AVERAGE(_xlfn._xlws.FILTER(Table8[Beneficiary Income (USD) / Project Cost],(Table8[Beneficiary Income (USD) / Project Cost]&gt;0)*(Table8[Programme Length]&gt;=10)))</f>
        <v>1.8253717206874531</v>
      </c>
      <c r="W9" s="261">
        <f>COUNTIFS(Table8[Beneficiary Income (USD) / Project Cost],"&gt;0",Table8[Programme Length],"&gt;=10")</f>
        <v>6</v>
      </c>
    </row>
    <row r="10" spans="2:23" x14ac:dyDescent="0.25">
      <c r="B10" s="205" t="s">
        <v>637</v>
      </c>
      <c r="C10" s="202">
        <f t="array" ref="C10">MEDIAN(_xlfn._xlws.FILTER(Table8[Income per beneficiary (USD)],(Table8[Income per beneficiary (USD)]&gt;0)*(Table8[Programme Length]&gt;5)*(Table8[Programme Length]&lt;=9)))</f>
        <v>132.465622476475</v>
      </c>
      <c r="D10" s="202">
        <f t="array" ref="D10">AVERAGE(_xlfn._xlws.FILTER(Table8[Income per beneficiary (USD)],(Table8[Income per beneficiary (USD)]&gt;0)*(Table8[Programme Length]&gt;5)*(Table8[Programme Length]&lt;=9)))</f>
        <v>740.23248911842336</v>
      </c>
      <c r="E10" s="15">
        <f>COUNTIFS(Table8[Income per beneficiary (USD)],"&gt;0",Table8[Programme Length],"&gt;5",Table8[Programme Length],"&lt;=9")</f>
        <v>13</v>
      </c>
      <c r="F10" s="203">
        <f t="array" ref="F10">MEDIAN(_xlfn._xlws.FILTER(Table8[Private Sector Investment (USD) / Project cost ],(Table8[Private Sector Investment (USD) / Project cost ]&gt;0)*(Table8[Programme Length]&gt;5)*(Table8[Programme Length]&lt;=9)))</f>
        <v>0.75111177682539676</v>
      </c>
      <c r="G10" s="203">
        <f t="array" ref="G10">AVERAGE(_xlfn._xlws.FILTER(Table8[Private Sector Investment (USD) / Project cost ],(Table8[Private Sector Investment (USD) / Project cost ]&gt;0)*(Table8[Programme Length]&gt;5)*(Table8[Programme Length]&lt;=9)))</f>
        <v>2.9879622746895333</v>
      </c>
      <c r="H10" s="15">
        <f>COUNTIFS(Table8[Private Sector Investment (USD) / Project cost ],"&gt;0", Table8[Programme Length],"&gt;5",Table8[Programme Length],"&lt;=9")</f>
        <v>16</v>
      </c>
      <c r="I10" s="203">
        <f t="array" ref="I10">MEDIAN(_xlfn._xlws.FILTER(Table8[Private Sector Revenues Generated (USD) / Project cost],(Table8[Private Sector Revenues Generated (USD) / Project cost]&gt;0)*(Table8[Programme Length]&gt;5)*(Table8[Programme Length]&lt;=9)))</f>
        <v>1.93865246449457</v>
      </c>
      <c r="J10" s="203">
        <f t="array" ref="J10">AVERAGE(_xlfn._xlws.FILTER(Table8[Private Sector Revenues Generated (USD) / Project cost],(Table8[Private Sector Revenues Generated (USD) / Project cost]&gt;0)*(Table8[Programme Length]&gt;5)*(Table8[Programme Length]&lt;=9)))</f>
        <v>3.1690620584901197</v>
      </c>
      <c r="K10" s="15">
        <f>COUNTIFS(Table8[Private Sector Revenues Generated (USD) / Project cost],"&gt;0", Table8[Programme Length],"&gt;5",Table8[Programme Length],"&lt;=9")</f>
        <v>11</v>
      </c>
      <c r="L10" s="203">
        <f t="array" ref="L10">MEDIAN(_xlfn._xlws.FILTER(Table8[Export Revenue Generated (USD) /Project Cost],(Table8[Export Revenue Generated (USD) /Project Cost]&gt;0)*(Table8[Programme Length]&gt;5)*(Table8[Programme Length]&lt;=9)))</f>
        <v>0.12625825324675324</v>
      </c>
      <c r="M10" s="203">
        <f t="array" ref="M10">AVERAGE(_xlfn._xlws.FILTER(Table8[Export Revenue Generated (USD) /Project Cost],(Table8[Export Revenue Generated (USD) /Project Cost]&gt;0)*(Table8[Programme Length]&gt;5)*(Table8[Programme Length]&lt;=9)))</f>
        <v>0.12625825324675324</v>
      </c>
      <c r="N10" s="15">
        <f>COUNTIFS(Table8[Export Revenue Generated (USD) /Project Cost],"&gt;0",Table8[Programme Length],"&gt;5",Table8[Programme Length],"&lt;=9")</f>
        <v>2</v>
      </c>
      <c r="O10" s="202">
        <f t="array" ref="O10">MEDIAN(_xlfn._xlws.FILTER(Table8[Cost (USD)/Job created],(Table8[Cost (USD)/Job created]&gt;0)*(Table8[Programme Length]&gt;5)*(Table8[Programme Length]&lt;=9)))</f>
        <v>1670.5695165268869</v>
      </c>
      <c r="P10" s="202">
        <f t="array" ref="P10">AVERAGE(_xlfn._xlws.FILTER(Table8[Cost (USD)/Job created],(Table8[Cost (USD)/Job created]&gt;0)*(Table8[Programme Length]&gt;5)*(Table8[Programme Length]&lt;=9)))</f>
        <v>4097.3014501022735</v>
      </c>
      <c r="Q10" s="15">
        <f>COUNTIFS(Table8[Cost (USD)/Job created],"&gt;0",Table8[Programme Length],"&gt;5",Table8[Programme Length],"&lt;=9")</f>
        <v>11</v>
      </c>
      <c r="R10" s="202">
        <f t="array" ref="R10">MEDIAN(_xlfn._xlws.FILTER(Table8[Cost (USD)/Job improved],(Table8[Cost (USD)/Job improved]&gt;0)*(Table8[Programme Length]&gt;5)*(Table8[Programme Length]&lt;=9)))</f>
        <v>456.06868773381291</v>
      </c>
      <c r="S10" s="202">
        <f t="array" ref="S10">AVERAGE(_xlfn._xlws.FILTER(Table8[Cost (USD)/Job improved],(Table8[Cost (USD)/Job improved]&gt;0)*(Table8[Programme Length]&gt;5)*(Table8[Programme Length]&lt;=9)))</f>
        <v>1185.8191605273498</v>
      </c>
      <c r="T10" s="15">
        <f>COUNTIFS(Table8[Cost (USD)/Job improved],"&gt;0",Table8[Programme Length],"&gt;5",Table8[Programme Length],"&lt;=9")</f>
        <v>16</v>
      </c>
      <c r="U10" s="203">
        <f t="array" ref="U10">MEDIAN(_xlfn._xlws.FILTER(Table8[Beneficiary Income (USD) / Project Cost],(Table8[Beneficiary Income (USD) / Project Cost]&gt;0)*(Table8[Programme Length]&gt;5)*(Table8[Programme Length]&lt;=9)))</f>
        <v>0.80423280423280419</v>
      </c>
      <c r="V10" s="203">
        <f t="array" ref="V10">AVERAGE(_xlfn._xlws.FILTER(Table8[Beneficiary Income (USD) / Project Cost],(Table8[Beneficiary Income (USD) / Project Cost]&gt;0)*(Table8[Programme Length]&gt;5)*(Table8[Programme Length]&lt;=9)))</f>
        <v>1.4988028891908434</v>
      </c>
      <c r="W10" s="15">
        <f>COUNTIFS(Table8[Beneficiary Income (USD) / Project Cost],"&gt;0",Table8[Programme Length],"&gt;5",Table8[Programme Length],"&lt;=9")</f>
        <v>13</v>
      </c>
    </row>
    <row r="11" spans="2:23" x14ac:dyDescent="0.25">
      <c r="B11" s="205" t="s">
        <v>638</v>
      </c>
      <c r="C11" s="202">
        <f t="array" ref="C11">MEDIAN(_xlfn._xlws.FILTER(Table8[Income per beneficiary (USD)], (Table8[Income per beneficiary (USD)]&gt;0)*(Table8[Programme Length]&lt;=5)))</f>
        <v>191.32203389830511</v>
      </c>
      <c r="D11" s="202">
        <f t="array" ref="D11">AVERAGE(_xlfn._xlws.FILTER(Table8[Income per beneficiary (USD)], (Table8[Income per beneficiary (USD)]&gt;0)*(Table8[Programme Length]&lt;=5)))</f>
        <v>265.88889926621664</v>
      </c>
      <c r="E11" s="15">
        <f>COUNTIFS(Table8[Income per beneficiary (USD)],"&gt;0", Table8[Programme Length], "&lt;=5")</f>
        <v>25</v>
      </c>
      <c r="F11" s="203">
        <f t="array" ref="F11">MEDIAN(_xlfn._xlws.FILTER(Table8[Private Sector Investment (USD) / Project cost ], (Table8[Private Sector Investment (USD) / Project cost ]&gt;0)*(Table8[Programme Length]&lt;=5)))</f>
        <v>0.30848466448692158</v>
      </c>
      <c r="G11" s="13">
        <f t="array" ref="G11">AVERAGE(_xlfn._xlws.FILTER(Table8[Private Sector Investment (USD) / Project cost ],(Table8[Private Sector Investment (USD) / Project cost ]&gt;0)*(Table8[Programme Length]&lt;=5)))</f>
        <v>0.98747577547043053</v>
      </c>
      <c r="H11" s="15">
        <f>COUNTIFS(Table8[Private Sector Investment (USD) / Project cost ],"&gt;0", Table8[Programme Length], "&lt;=5")</f>
        <v>38</v>
      </c>
      <c r="I11" s="203">
        <f t="array" ref="I11">MEDIAN(_xlfn._xlws.FILTER(Table8[Private Sector Revenues Generated (USD) / Project cost], (Table8[Private Sector Revenues Generated (USD) / Project cost]&gt;0)*(Table8[Programme Length]&lt;=5)))</f>
        <v>1.0723423999999999</v>
      </c>
      <c r="J11" s="203">
        <f t="array" ref="J11">AVERAGE(_xlfn._xlws.FILTER(Table8[Private Sector Revenues Generated (USD) / Project cost], (Table8[Private Sector Revenues Generated (USD) / Project cost]&gt;0)*(Table8[Programme Length]&lt;=5)))</f>
        <v>3.1084048110250744</v>
      </c>
      <c r="K11" s="15">
        <f>COUNTIFS(Table8[Private Sector Revenues Generated (USD) / Project cost],"&gt;0", Table8[Programme Length], "&lt;=5")</f>
        <v>31</v>
      </c>
      <c r="L11" s="203">
        <f t="array" ref="L11">MEDIAN(_xlfn._xlws.FILTER(Table8[Export Revenue Generated (USD) /Project Cost], (Table8[Export Revenue Generated (USD) /Project Cost]&gt;0)*(Table8[Programme Length]&lt;=5)))</f>
        <v>0.12824730379810756</v>
      </c>
      <c r="M11" s="203">
        <f t="array" ref="M11">AVERAGE(_xlfn._xlws.FILTER(Table8[Export Revenue Generated (USD) /Project Cost], (Table8[Export Revenue Generated (USD) /Project Cost]&gt;0)*(Table8[Programme Length]&lt;=5)))</f>
        <v>9.848596661963283</v>
      </c>
      <c r="N11" s="15">
        <f>COUNTIFS(Table8[Export Revenue Generated (USD) /Project Cost],"&gt;0", Table8[Programme Length], "&lt;=5")</f>
        <v>10</v>
      </c>
      <c r="O11" s="202">
        <f t="array" ref="O11">MEDIAN(_xlfn._xlws.FILTER(Table8[Cost (USD)/Job created], (Table8[Cost (USD)/Job created]&gt;0)*(Table8[Programme Length]&lt;=5)))</f>
        <v>4079.4405997693193</v>
      </c>
      <c r="P11" s="202">
        <f t="array" ref="P11">AVERAGE(_xlfn._xlws.FILTER(Table8[Cost (USD)/Job created], (Table8[Cost (USD)/Job created]&gt;0)*(Table8[Programme Length]&lt;=5)))</f>
        <v>20100.028884233816</v>
      </c>
      <c r="Q11" s="15">
        <f>COUNTIFS(Table8[Cost (USD)/Job created],"&gt;0", Table8[Programme Length], "&lt;=5")</f>
        <v>24</v>
      </c>
      <c r="R11" s="202">
        <f t="array" ref="R11">MEDIAN(_xlfn._xlws.FILTER(Table8[Cost (USD)/Job improved], (Table8[Cost (USD)/Job improved]&gt;0)*(Table8[Programme Length]&lt;=5)))</f>
        <v>471.53129788989742</v>
      </c>
      <c r="S11" s="202">
        <f t="array" ref="S11">AVERAGE(_xlfn._xlws.FILTER(Table8[Cost (USD)/Job improved], (Table8[Cost (USD)/Job improved]&gt;0)*(Table8[Programme Length]&lt;=5)))</f>
        <v>7782.2376094268175</v>
      </c>
      <c r="T11" s="15">
        <f>COUNTIFS(Table8[Cost (USD)/Job improved],"&gt;0", Table8[Programme Length], "&lt;=5")</f>
        <v>41</v>
      </c>
      <c r="U11" s="203">
        <f t="array" ref="U11">MEDIAN(_xlfn._xlws.FILTER(Table8[Beneficiary Income (USD) / Project Cost], (Table8[Beneficiary Income (USD) / Project Cost]&gt;0)*(Table8[Programme Length]&lt;=5)))</f>
        <v>0.97210451516634055</v>
      </c>
      <c r="V11" s="203">
        <f t="array" ref="V11">AVERAGE(_xlfn._xlws.FILTER(Table8[Beneficiary Income (USD) / Project Cost], (Table8[Beneficiary Income (USD) / Project Cost]&gt;0)*(Table8[Programme Length]&lt;=5)))</f>
        <v>1.5567970069412818</v>
      </c>
      <c r="W11" s="15">
        <f>COUNTIFS(Table8[Beneficiary Income (USD) / Project Cost],"&gt;0", Table8[Programme Length], "&lt;=5")</f>
        <v>25</v>
      </c>
    </row>
    <row r="12" spans="2:23" ht="14.45" customHeight="1" x14ac:dyDescent="0.25">
      <c r="B12" s="292" t="s">
        <v>639</v>
      </c>
      <c r="C12" s="293"/>
      <c r="D12" s="293"/>
      <c r="E12" s="293"/>
      <c r="F12" s="293"/>
      <c r="G12" s="293"/>
      <c r="H12" s="293"/>
      <c r="I12" s="293"/>
      <c r="J12" s="293"/>
      <c r="K12" s="293"/>
      <c r="L12" s="293"/>
      <c r="M12" s="293"/>
      <c r="N12" s="293"/>
      <c r="O12" s="293"/>
      <c r="P12" s="293"/>
      <c r="Q12" s="293"/>
      <c r="R12" s="293"/>
      <c r="S12" s="293"/>
      <c r="T12" s="293"/>
      <c r="U12" s="293"/>
      <c r="V12" s="293"/>
      <c r="W12" s="293"/>
    </row>
    <row r="13" spans="2:23" x14ac:dyDescent="0.25">
      <c r="B13" s="206" t="s">
        <v>640</v>
      </c>
      <c r="C13" s="202">
        <f t="array" ref="C13">MEDIAN(_xlfn._xlws.FILTER(Table8[Income per beneficiary (USD)], (Table8[Income per beneficiary (USD)]&gt;0)*(Table8[Grouping]="Group 1")))</f>
        <v>188.1985</v>
      </c>
      <c r="D13" s="202">
        <f t="array" ref="D13">AVERAGE(_xlfn._xlws.FILTER(Table8[Income per beneficiary (USD)], (Table8[Income per beneficiary (USD)]&gt;0)*(Table8[Grouping]="Group 1")))</f>
        <v>329.46566815345039</v>
      </c>
      <c r="E13" s="15">
        <f>COUNTIFS(Table8[Income per beneficiary (USD)],"&gt;0", Table8[Grouping],"Group 1")</f>
        <v>21</v>
      </c>
      <c r="F13" s="203">
        <f t="array" ref="F13">MEDIAN(_xlfn._xlws.FILTER(Table8[Private Sector Investment (USD) / Project cost ], (Table8[Private Sector Investment (USD) / Project cost ]&gt;0)*(Table8[Grouping]="Group 1")))</f>
        <v>0.39100000000000001</v>
      </c>
      <c r="G13" s="203">
        <f t="array" ref="G13">AVERAGE(_xlfn._xlws.FILTER(Table8[Private Sector Investment (USD) / Project cost ], (Table8[Private Sector Investment (USD) / Project cost ]&gt;0)*(Table8[Grouping]="Group 1")))</f>
        <v>1.9964904774229342</v>
      </c>
      <c r="H13" s="15">
        <f>COUNTIFS(Table8[Private Sector Investment (USD) / Project cost ],"&gt;0", Table8[Grouping],"Group 1")</f>
        <v>29</v>
      </c>
      <c r="I13" s="203">
        <f t="array" ref="I13">MEDIAN(_xlfn._xlws.FILTER(Table8[Private Sector Revenues Generated (USD) / Project cost], (Table8[Private Sector Revenues Generated (USD) / Project cost]&gt;0)*(Table8[Grouping]="Group 1")))</f>
        <v>1.1209320865687951</v>
      </c>
      <c r="J13" s="203">
        <f t="array" ref="J13">AVERAGE(_xlfn._xlws.FILTER(Table8[Private Sector Revenues Generated (USD) / Project cost], (Table8[Private Sector Revenues Generated (USD) / Project cost]&gt;0)*(Table8[Grouping]="Group 1")))</f>
        <v>2.7839469573987272</v>
      </c>
      <c r="K13" s="15">
        <f>COUNTIFS(Table8[Private Sector Revenues Generated (USD) / Project cost],"&gt;0", Table8[Grouping],"Group 1")</f>
        <v>23</v>
      </c>
      <c r="L13" s="203">
        <f t="array" ref="L13">MEDIAN(_xlfn._xlws.FILTER(Table8[Export Revenue Generated (USD) /Project Cost], (Table8[Export Revenue Generated (USD) /Project Cost]&gt;0)*(Table8[Grouping]="Group 1")))</f>
        <v>0.14420347058823529</v>
      </c>
      <c r="M13" s="203">
        <f t="array" ref="M13">AVERAGE(_xlfn._xlws.FILTER(Table8[Export Revenue Generated (USD) /Project Cost], (Table8[Export Revenue Generated (USD) /Project Cost]&gt;0)*(Table8[Grouping]="Group 1")))</f>
        <v>0.42616527021431283</v>
      </c>
      <c r="N13" s="15">
        <f>COUNTIFS(Table8[Export Revenue Generated (USD) /Project Cost],"&gt;0", Table8[Grouping],"Group 1")</f>
        <v>9</v>
      </c>
      <c r="O13" s="202">
        <f t="array" ref="O13">MEDIAN(_xlfn._xlws.FILTER(Table8[Cost (USD)/Job created], (Table8[Cost (USD)/Job created]&gt;0)*(Table8[Grouping]="Group 1")))</f>
        <v>1689.8302128088981</v>
      </c>
      <c r="P13" s="202">
        <f t="array" ref="P13">AVERAGE(_xlfn._xlws.FILTER(Table8[Cost (USD)/Job created], (Table8[Cost (USD)/Job created]&gt;0)*(Table8[Grouping]="Group 1")))</f>
        <v>23732.517733253324</v>
      </c>
      <c r="Q13" s="15">
        <f>COUNTIFS(Table8[Cost (USD)/Job created],"&gt;0", Table8[Grouping],"Group 1")</f>
        <v>22</v>
      </c>
      <c r="R13" s="202">
        <f t="array" ref="R13">MEDIAN(_xlfn._xlws.FILTER(Table8[Cost (USD)/Job improved], (Table8[Cost (USD)/Job improved]&gt;0)*(Table8[Grouping]="Group 1")))</f>
        <v>567.75563133738115</v>
      </c>
      <c r="S13" s="202">
        <f t="array" ref="S13">AVERAGE(_xlfn._xlws.FILTER(Table8[Cost (USD)/Job improved], (Table8[Cost (USD)/Job improved]&gt;0)*(Table8[Grouping]="Group 1")))</f>
        <v>9854.1436361043852</v>
      </c>
      <c r="T13" s="15">
        <f>COUNTIFS(Table8[Cost (USD)/Job improved],"&gt;0", Table8[Grouping],"Group 1")</f>
        <v>32</v>
      </c>
      <c r="U13" s="203">
        <f t="array" ref="U13">MEDIAN(_xlfn._xlws.FILTER(Table8[Beneficiary Income (USD) / Project Cost], (Table8[Beneficiary Income (USD) / Project Cost]&gt;0)*(Table8[Grouping]="Group 1")))</f>
        <v>1.197129437050968</v>
      </c>
      <c r="V13" s="203">
        <f t="array" ref="V13">AVERAGE(_xlfn._xlws.FILTER(Table8[Beneficiary Income (USD) / Project Cost], (Table8[Beneficiary Income (USD) / Project Cost]&gt;0)*(Table8[Grouping]="Group 1")))</f>
        <v>1.3758171858235466</v>
      </c>
      <c r="W13" s="15">
        <f>COUNTIFS(Table8[Beneficiary Income (USD) / Project Cost],"&gt;0", Table8[Grouping],"Group 1")</f>
        <v>21</v>
      </c>
    </row>
    <row r="14" spans="2:23" x14ac:dyDescent="0.25">
      <c r="B14" s="206" t="s">
        <v>641</v>
      </c>
      <c r="C14" s="202">
        <f t="array" ref="C14">MEDIAN(_xlfn._xlws.FILTER(Table8[Income per beneficiary (USD)], (Table8[Income per beneficiary (USD)]&gt;0)*(Table8[Grouping]="Group 2")))</f>
        <v>208.85773458658599</v>
      </c>
      <c r="D14" s="202">
        <f t="array" ref="D14">AVERAGE(_xlfn._xlws.FILTER(Table8[Income per beneficiary (USD)], (Table8[Income per beneficiary (USD)]&gt;0)*(Table8[Grouping]="Group 2")))</f>
        <v>552.92800441850193</v>
      </c>
      <c r="E14" s="15">
        <f>COUNTIFS(Table8[Income per beneficiary (USD)],"&gt;0", Table8[Grouping],"Group 2")</f>
        <v>15</v>
      </c>
      <c r="F14" s="203">
        <f t="array" ref="F14">MEDIAN(_xlfn._xlws.FILTER(Table8[Private Sector Investment (USD) / Project cost ], (Table8[Private Sector Investment (USD) / Project cost ]&gt;0)*(Table8[Grouping]="Group 2")))</f>
        <v>0.48221049077583339</v>
      </c>
      <c r="G14" s="203">
        <f t="array" ref="G14">AVERAGE(_xlfn._xlws.FILTER(Table8[Private Sector Investment (USD) / Project cost ], (Table8[Private Sector Investment (USD) / Project cost ]&gt;0)*(Table8[Grouping]="Group 2")))</f>
        <v>0.81137468241791821</v>
      </c>
      <c r="H14" s="15">
        <f>COUNTIFS(Table8[Private Sector Investment (USD) / Project cost ],"&gt;0", Table8[Grouping],"Group 2")</f>
        <v>17</v>
      </c>
      <c r="I14" s="203">
        <f t="array" ref="I14">MEDIAN(_xlfn._xlws.FILTER(Table8[Private Sector Revenues Generated (USD) / Project cost], (Table8[Private Sector Revenues Generated (USD) / Project cost]&gt;0)*(Table8[Grouping]="Group 2")))</f>
        <v>1.5929824561403509</v>
      </c>
      <c r="J14" s="203">
        <f t="array" ref="J14">AVERAGE(_xlfn._xlws.FILTER(Table8[Private Sector Revenues Generated (USD) / Project cost], (Table8[Private Sector Revenues Generated (USD) / Project cost]&gt;0)*(Table8[Grouping]="Group 2")))</f>
        <v>3.1817045129057768</v>
      </c>
      <c r="K14" s="15">
        <f>COUNTIFS(Table8[Private Sector Revenues Generated (USD) / Project cost],"&gt;0", Table8[Grouping],"Group 2")</f>
        <v>17</v>
      </c>
      <c r="L14" s="203">
        <f t="array" ref="L14">MEDIAN(_xlfn._xlws.FILTER(Table8[Export Revenue Generated (USD) /Project Cost], (Table8[Export Revenue Generated (USD) /Project Cost]&gt;0)*(Table8[Grouping]="Group 2")))</f>
        <v>7.698370464584775E-2</v>
      </c>
      <c r="M14" s="203">
        <f t="array" ref="M14">AVERAGE(_xlfn._xlws.FILTER(Table8[Export Revenue Generated (USD) /Project Cost], (Table8[Export Revenue Generated (USD) /Project Cost]&gt;0)*(Table8[Grouping]="Group 2")))</f>
        <v>3.9121679916203091</v>
      </c>
      <c r="N14" s="15">
        <f>COUNTIFS(Table8[Export Revenue Generated (USD) /Project Cost],"&gt;0", Table8[Grouping],"Group 2")</f>
        <v>4</v>
      </c>
      <c r="O14" s="202">
        <f t="array" ref="O14">MEDIAN(_xlfn._xlws.FILTER(Table8[Cost (USD)/Job created], (Table8[Cost (USD)/Job created]&gt;0)*(Table8[Grouping]="Group 2")))</f>
        <v>5285.393258426966</v>
      </c>
      <c r="P14" s="202">
        <f t="array" ref="P14">AVERAGE(_xlfn._xlws.FILTER(Table8[Cost (USD)/Job created], (Table8[Cost (USD)/Job created]&gt;0)*(Table8[Grouping]="Group 2")))</f>
        <v>11652.741877938273</v>
      </c>
      <c r="Q14" s="15">
        <f>COUNTIFS(Table8[Cost (USD)/Job created],"&gt;0", Table8[Grouping],"Group 2")</f>
        <v>11</v>
      </c>
      <c r="R14" s="202">
        <f t="array" ref="R14">MEDIAN(_xlfn._xlws.FILTER(Table8[Cost (USD)/Job improved], (Table8[Cost (USD)/Job improved]&gt;0)*(Table8[Grouping]="Group 2")))</f>
        <v>202.89325785704139</v>
      </c>
      <c r="S14" s="202">
        <f t="array" ref="S14">AVERAGE(_xlfn._xlws.FILTER(Table8[Cost (USD)/Job improved], (Table8[Cost (USD)/Job improved]&gt;0)*(Table8[Grouping]="Group 2")))</f>
        <v>879.77810470284351</v>
      </c>
      <c r="T14" s="15">
        <f>COUNTIFS(Table8[Cost (USD)/Job improved],"&gt;0", Table8[Grouping],"Group 2")</f>
        <v>19</v>
      </c>
      <c r="U14" s="203">
        <f t="array" ref="U14">MEDIAN(_xlfn._xlws.FILTER(Table8[Beneficiary Income (USD) / Project Cost], (Table8[Beneficiary Income (USD) / Project Cost]&gt;0)*(Table8[Grouping]="Group 2")))</f>
        <v>1.832535885167464</v>
      </c>
      <c r="V14" s="203">
        <f t="array" ref="V14">AVERAGE(_xlfn._xlws.FILTER(Table8[Beneficiary Income (USD) / Project Cost], (Table8[Beneficiary Income (USD) / Project Cost]&gt;0)*(Table8[Grouping]="Group 2")))</f>
        <v>2.274460981990631</v>
      </c>
      <c r="W14" s="15">
        <f>COUNTIFS(Table8[Beneficiary Income (USD) / Project Cost],"&gt;0", Table8[Grouping],"Group 2")</f>
        <v>15</v>
      </c>
    </row>
    <row r="15" spans="2:23" x14ac:dyDescent="0.25">
      <c r="B15" s="206" t="s">
        <v>642</v>
      </c>
      <c r="C15" s="202">
        <f t="array" ref="C15">MEDIAN(_xlfn._xlws.FILTER(Table8[Income per beneficiary (USD)], (Table8[Income per beneficiary (USD)]&gt;0)*(Table8[Grouping]="Group 3")))</f>
        <v>114.26296688026085</v>
      </c>
      <c r="D15" s="202">
        <f t="array" ref="D15">AVERAGE(_xlfn._xlws.FILTER(Table8[Income per beneficiary (USD)], (Table8[Income per beneficiary (USD)]&gt;0)*(Table8[Grouping]="Group 3")))</f>
        <v>552.18683118344347</v>
      </c>
      <c r="E15" s="15">
        <f>COUNTIFS(Table8[Income per beneficiary (USD)],"&gt;0", Table8[Grouping],"Group 3")</f>
        <v>8</v>
      </c>
      <c r="F15" s="203">
        <f t="array" ref="F15">MEDIAN(_xlfn._xlws.FILTER(Table8[Private Sector Investment (USD) / Project cost ], (Table8[Private Sector Investment (USD) / Project cost ]&gt;0)*(Table8[Grouping]="Group 3")))</f>
        <v>0.66073628791450578</v>
      </c>
      <c r="G15" s="203">
        <f t="array" ref="G15">AVERAGE(_xlfn._xlws.FILTER(Table8[Private Sector Investment (USD) / Project cost ], (Table8[Private Sector Investment (USD) / Project cost ]&gt;0)*(Table8[Grouping]="Group 3")))</f>
        <v>1.3340218164109394</v>
      </c>
      <c r="H15" s="15">
        <f>COUNTIFS(Table8[Private Sector Investment (USD) / Project cost ],"&gt;0", Table8[Grouping],"Group 3")</f>
        <v>12</v>
      </c>
      <c r="I15" s="203">
        <f t="array" ref="I15">MEDIAN(_xlfn._xlws.FILTER(Table8[Private Sector Revenues Generated (USD) / Project cost], (Table8[Private Sector Revenues Generated (USD) / Project cost]&gt;0)*(Table8[Grouping]="Group 3")))</f>
        <v>1.0723423999999999</v>
      </c>
      <c r="J15" s="203">
        <f t="array" ref="J15">AVERAGE(_xlfn._xlws.FILTER(Table8[Private Sector Revenues Generated (USD) / Project cost], (Table8[Private Sector Revenues Generated (USD) / Project cost]&gt;0)*(Table8[Grouping]="Group 3")))</f>
        <v>2.7046331672945958</v>
      </c>
      <c r="K15" s="15">
        <f>COUNTIFS(Table8[Private Sector Revenues Generated (USD) / Project cost],"&gt;0", Table8[Grouping],"Group 3")</f>
        <v>7</v>
      </c>
      <c r="L15" s="204">
        <f t="array" ref="L15">IFERROR(MEDIAN(_xlfn._xlws.FILTER(Table8[Export Revenue Generated (USD) /Project Cost], (Table8[Export Revenue Generated (USD) /Project Cost]&gt;0)*(Table8[Grouping]="Group 3"))),"n/a")</f>
        <v>79.736000000000004</v>
      </c>
      <c r="M15" s="204">
        <f t="array" ref="M15">IFERROR(AVERAGE(_xlfn._xlws.FILTER(Table8[Export Revenue Generated (USD) /Project Cost], (Table8[Export Revenue Generated (USD) /Project Cost]&gt;0)*(Table8[Grouping]="Group 3"))),"n/a")</f>
        <v>79.736000000000004</v>
      </c>
      <c r="N15" s="15">
        <f>COUNTIFS(Table8[Export Revenue Generated (USD) /Project Cost],"&gt;0", Table8[Grouping],"Group 3")</f>
        <v>1</v>
      </c>
      <c r="O15" s="202">
        <f t="array" ref="O15">MEDIAN(_xlfn._xlws.FILTER(Table8[Cost (USD)/Job created], (Table8[Cost (USD)/Job created]&gt;0)*(Table8[Grouping]="Group 3")))</f>
        <v>4071.6111662613157</v>
      </c>
      <c r="P15" s="202">
        <f t="array" ref="P15">AVERAGE(_xlfn._xlws.FILTER(Table8[Cost (USD)/Job created], (Table8[Cost (USD)/Job created]&gt;0)*(Table8[Grouping]="Group 3")))</f>
        <v>11895.672393941024</v>
      </c>
      <c r="Q15" s="15">
        <f>COUNTIFS(Table8[Cost (USD)/Job created],"&gt;0", Table8[Grouping],"Group 3")</f>
        <v>8</v>
      </c>
      <c r="R15" s="202">
        <f t="array" ref="R15">MEDIAN(_xlfn._xlws.FILTER(Table8[Cost (USD)/Job improved], (Table8[Cost (USD)/Job improved]&gt;0)*(Table8[Grouping]="Group 3")))</f>
        <v>1180</v>
      </c>
      <c r="S15" s="202">
        <f t="array" ref="S15">AVERAGE(_xlfn._xlws.FILTER(Table8[Cost (USD)/Job improved], (Table8[Cost (USD)/Job improved]&gt;0)*(Table8[Grouping]="Group 3")))</f>
        <v>1989.7527590161744</v>
      </c>
      <c r="T15" s="15">
        <f>COUNTIFS(Table8[Cost (USD)/Job improved],"&gt;0", Table8[Grouping],"Group 3")</f>
        <v>15</v>
      </c>
      <c r="U15" s="203">
        <f t="array" ref="U15">MEDIAN(_xlfn._xlws.FILTER(Table8[Beneficiary Income (USD) / Project Cost], (Table8[Beneficiary Income (USD) / Project Cost]&gt;0)*(Table8[Grouping]="Group 3")))</f>
        <v>0.573667402700202</v>
      </c>
      <c r="V15" s="203">
        <f t="array" ref="V15">AVERAGE(_xlfn._xlws.FILTER(Table8[Beneficiary Income (USD) / Project Cost], (Table8[Beneficiary Income (USD) / Project Cost]&gt;0)*(Table8[Grouping]="Group 3")))</f>
        <v>0.79343967812297111</v>
      </c>
      <c r="W15" s="15">
        <f>COUNTIFS(Table8[Beneficiary Income (USD) / Project Cost],"&gt;0", Table8[Grouping],"Group 3")</f>
        <v>8</v>
      </c>
    </row>
    <row r="16" spans="2:23" x14ac:dyDescent="0.25">
      <c r="B16" s="292" t="s">
        <v>643</v>
      </c>
      <c r="C16" s="293"/>
      <c r="D16" s="293"/>
      <c r="E16" s="293"/>
      <c r="F16" s="293"/>
      <c r="G16" s="293"/>
      <c r="H16" s="293"/>
      <c r="I16" s="293"/>
      <c r="J16" s="293"/>
      <c r="K16" s="293"/>
      <c r="L16" s="293"/>
      <c r="M16" s="293"/>
      <c r="N16" s="293"/>
      <c r="O16" s="293"/>
      <c r="P16" s="293"/>
      <c r="Q16" s="293"/>
      <c r="R16" s="293"/>
      <c r="S16" s="293"/>
      <c r="T16" s="293"/>
      <c r="U16" s="293"/>
      <c r="V16" s="293"/>
      <c r="W16" s="293"/>
    </row>
    <row r="17" spans="1:23" x14ac:dyDescent="0.25">
      <c r="B17" s="206" t="s">
        <v>586</v>
      </c>
      <c r="C17" s="202">
        <f t="array" ref="C17">MEDIAN(_xlfn._xlws.FILTER(Table8[Income per beneficiary (USD)], (Table8[Income per beneficiary (USD)]&gt;0)*(Table8[Country Income Level]="Low-Income")))</f>
        <v>154.28601015043586</v>
      </c>
      <c r="D17" s="202">
        <f t="array" ref="D17">AVERAGE(_xlfn._xlws.FILTER(Table8[Income per beneficiary (USD)], (Table8[Income per beneficiary (USD)]&gt;0)*(Table8[Country Income Level]="Low-Income")))</f>
        <v>250.80971214545693</v>
      </c>
      <c r="E17" s="15">
        <f>COUNTIFS(Table8[Income per beneficiary (USD)],"&gt;0", Table8[Country Income Level],"Low-Income")</f>
        <v>12</v>
      </c>
      <c r="F17" s="203">
        <f t="array" ref="F17">MEDIAN(_xlfn._xlws.FILTER(Table8[Private Sector Investment (USD) / Project cost ], (Table8[Private Sector Investment (USD) / Project cost ]&gt;0)*(Table8[Country Income Level]="Low-Income")))</f>
        <v>0.31970482897384311</v>
      </c>
      <c r="G17" s="203">
        <f t="array" ref="G17">AVERAGE(_xlfn._xlws.FILTER(Table8[Private Sector Investment (USD) / Project cost ], (Table8[Private Sector Investment (USD) / Project cost ]&gt;0)*(Table8[Country Income Level]="Low-Income")))</f>
        <v>0.87104922300326204</v>
      </c>
      <c r="H17" s="15">
        <f>COUNTIFS(Table8[Private Sector Investment (USD) / Project cost ],"&gt;0", Table8[Country Income Level],"Low-Income")</f>
        <v>21</v>
      </c>
      <c r="I17" s="203">
        <f t="array" ref="I17">MEDIAN(_xlfn._xlws.FILTER(Table8[Private Sector Revenues Generated (USD) / Project cost], (Table8[Private Sector Revenues Generated (USD) / Project cost]&gt;0)*(Table8[Country Income Level]="Low-Income")))</f>
        <v>1.1209320865687951</v>
      </c>
      <c r="J17" s="203">
        <f t="array" ref="J17">AVERAGE(_xlfn._xlws.FILTER(Table8[Private Sector Revenues Generated (USD) / Project cost], (Table8[Private Sector Revenues Generated (USD) / Project cost]&gt;0)*(Table8[Country Income Level]="Low-Income")))</f>
        <v>2.3332542906804634</v>
      </c>
      <c r="K17" s="15">
        <f>COUNTIFS(Table8[Private Sector Revenues Generated (USD) / Project cost],"&gt;0", Table8[Country Income Level],"Low-Income")</f>
        <v>17</v>
      </c>
      <c r="L17" s="203">
        <f t="array" ref="L17">MEDIAN(_xlfn._xlws.FILTER(Table8[Export Revenue Generated (USD) /Project Cost], (Table8[Export Revenue Generated (USD) /Project Cost]&gt;0)*(Table8[Country Income Level]="Low-Income")))</f>
        <v>0.10208563993256134</v>
      </c>
      <c r="M17" s="203">
        <f t="array" ref="M17">AVERAGE(_xlfn._xlws.FILTER(Table8[Export Revenue Generated (USD) /Project Cost], (Table8[Export Revenue Generated (USD) /Project Cost]&gt;0)*(Table8[Country Income Level]="Low-Income")))</f>
        <v>0.13440879336257158</v>
      </c>
      <c r="N17" s="15">
        <f>COUNTIFS(Table8[Export Revenue Generated (USD) /Project Cost],"&gt;0", Table8[Country Income Level],"Low-Income")</f>
        <v>6</v>
      </c>
      <c r="O17" s="202">
        <f t="array" ref="O17">MEDIAN(_xlfn._xlws.FILTER(Table8[Cost (USD)/Job created], (Table8[Cost (USD)/Job created]&gt;0)*(Table8[Country Income Level]="Low-Income")))</f>
        <v>4459.0534147579474</v>
      </c>
      <c r="P17" s="202">
        <f t="array" ref="P17">AVERAGE(_xlfn._xlws.FILTER(Table8[Cost (USD)/Job created], (Table8[Cost (USD)/Job created]&gt;0)*(Table8[Country Income Level]="Low-Income")))</f>
        <v>22812.508835932505</v>
      </c>
      <c r="Q17" s="15">
        <f>COUNTIFS(Table8[Cost (USD)/Job created],"&gt;0", Table8[Country Income Level],"Low-Income")</f>
        <v>14</v>
      </c>
      <c r="R17" s="202">
        <f t="array" ref="R17">MEDIAN(_xlfn._xlws.FILTER(Table8[Cost (USD)/Job improved], (Table8[Cost (USD)/Job improved]&gt;0)*(Table8[Country Income Level]="Low-Income")))</f>
        <v>419.0232008476188</v>
      </c>
      <c r="S17" s="202">
        <f t="array" ref="S17">AVERAGE(_xlfn._xlws.FILTER(Table8[Cost (USD)/Job improved], (Table8[Cost (USD)/Job improved]&gt;0)*(Table8[Country Income Level]="Low-Income")))</f>
        <v>2464.7761104199435</v>
      </c>
      <c r="T17" s="15">
        <f>COUNTIFS(Table8[Cost (USD)/Job improved],"&gt;0", Table8[Country Income Level],"Low-Income")</f>
        <v>17</v>
      </c>
      <c r="U17" s="203">
        <f t="array" ref="U17">MEDIAN(_xlfn._xlws.FILTER(Table8[Beneficiary Income (USD) / Project Cost], (Table8[Beneficiary Income (USD) / Project Cost]&gt;0)*(Table8[Country Income Level]="Low-Income")))</f>
        <v>0.82986517142857141</v>
      </c>
      <c r="V17" s="203">
        <f t="array" ref="V17">AVERAGE(_xlfn._xlws.FILTER(Table8[Beneficiary Income (USD) / Project Cost], (Table8[Beneficiary Income (USD) / Project Cost]&gt;0)*(Table8[Country Income Level]="Low-Income")))</f>
        <v>1.0781688199705626</v>
      </c>
      <c r="W17" s="15">
        <f>COUNTIFS(Table8[Beneficiary Income (USD) / Project Cost],"&gt;0", Table8[Country Income Level],"Low-Income")</f>
        <v>12</v>
      </c>
    </row>
    <row r="18" spans="1:23" x14ac:dyDescent="0.25">
      <c r="B18" s="206" t="s">
        <v>583</v>
      </c>
      <c r="C18" s="202">
        <f t="array" ref="C18">MEDIAN(_xlfn._xlws.FILTER(Table8[Income per beneficiary (USD)], (Table8[Income per beneficiary (USD)]&gt;0)*(Table8[Country Income Level]="Lower-Middle Income")))</f>
        <v>191.32203389830511</v>
      </c>
      <c r="D18" s="202">
        <f t="array" ref="D18">AVERAGE(_xlfn._xlws.FILTER(Table8[Income per beneficiary (USD)], (Table8[Income per beneficiary (USD)]&gt;0)*(Table8[Country Income Level]="Lower-Middle Income")))</f>
        <v>608.00698818317039</v>
      </c>
      <c r="E18" s="15">
        <f>COUNTIFS(Table8[Income per beneficiary (USD)],"&gt;0", Table8[Country Income Level],"Lower-Middle Income")</f>
        <v>21</v>
      </c>
      <c r="F18" s="203">
        <f t="array" ref="F18">MEDIAN(_xlfn._xlws.FILTER(Table8[Private Sector Investment (USD) / Project cost ], (Table8[Private Sector Investment (USD) / Project cost ]&gt;0)*(Table8[Country Income Level]="Lower-Middle Income")))</f>
        <v>0.48347128953771279</v>
      </c>
      <c r="G18" s="203">
        <f t="array" ref="G18">AVERAGE(_xlfn._xlws.FILTER(Table8[Private Sector Investment (USD) / Project cost ], (Table8[Private Sector Investment (USD) / Project cost ]&gt;0)*(Table8[Country Income Level]="Lower-Middle Income")))</f>
        <v>2.2333842092802936</v>
      </c>
      <c r="H18" s="15">
        <f>COUNTIFS(Table8[Private Sector Investment (USD) / Project cost ],"&gt;0", Table8[Country Income Level],"Lower-Middle Income")</f>
        <v>22</v>
      </c>
      <c r="I18" s="203">
        <f t="array" ref="I18">MEDIAN(_xlfn._xlws.FILTER(Table8[Private Sector Revenues Generated (USD) / Project cost], (Table8[Private Sector Revenues Generated (USD) / Project cost]&gt;0)*(Table8[Country Income Level]="Lower-Middle Income")))</f>
        <v>1.959925063457816</v>
      </c>
      <c r="J18" s="203">
        <f t="array" ref="J18">AVERAGE(_xlfn._xlws.FILTER(Table8[Private Sector Revenues Generated (USD) / Project cost], (Table8[Private Sector Revenues Generated (USD) / Project cost]&gt;0)*(Table8[Country Income Level]="Lower-Middle Income")))</f>
        <v>4.1551942776728099</v>
      </c>
      <c r="K18" s="15">
        <f>COUNTIFS(Table8[Private Sector Revenues Generated (USD) / Project cost],"&gt;0", Table8[Country Income Level],"Lower-Middle Income")</f>
        <v>21</v>
      </c>
      <c r="L18" s="203">
        <f t="array" ref="L18">MEDIAN(_xlfn._xlws.FILTER(Table8[Export Revenue Generated (USD) /Project Cost], (Table8[Export Revenue Generated (USD) /Project Cost]&gt;0)*(Table8[Country Income Level]="Lower-Middle Income")))</f>
        <v>0.29210173529411765</v>
      </c>
      <c r="M18" s="203">
        <f t="array" ref="M18">AVERAGE(_xlfn._xlws.FILTER(Table8[Export Revenue Generated (USD) /Project Cost], (Table8[Export Revenue Generated (USD) /Project Cost]&gt;0)*(Table8[Country Income Level]="Lower-Middle Income")))</f>
        <v>3.1060050609918175</v>
      </c>
      <c r="N18" s="15">
        <f>COUNTIFS(Table8[Export Revenue Generated (USD) /Project Cost],"&gt;0", Table8[Country Income Level],"Lower-Middle Income")</f>
        <v>6</v>
      </c>
      <c r="O18" s="202">
        <f t="array" ref="O18">MEDIAN(_xlfn._xlws.FILTER(Table8[Cost (USD)/Job created], (Table8[Cost (USD)/Job created]&gt;0)*(Table8[Country Income Level]="Lower-Middle Income")))</f>
        <v>1590.8775516151345</v>
      </c>
      <c r="P18" s="202">
        <f t="array" ref="P18">AVERAGE(_xlfn._xlws.FILTER(Table8[Cost (USD)/Job created], (Table8[Cost (USD)/Job created]&gt;0)*(Table8[Country Income Level]="Lower-Middle Income")))</f>
        <v>14051.963482091023</v>
      </c>
      <c r="Q18" s="15">
        <f>COUNTIFS(Table8[Cost (USD)/Job created],"&gt;0", Table8[Country Income Level],"Lower-Middle Income")</f>
        <v>16</v>
      </c>
      <c r="R18" s="202">
        <f t="array" ref="R18">MEDIAN(_xlfn._xlws.FILTER(Table8[Cost (USD)/Job improved], (Table8[Cost (USD)/Job improved]&gt;0)*(Table8[Country Income Level]="Lower-Middle Income")))</f>
        <v>313.50224254452303</v>
      </c>
      <c r="S18" s="202">
        <f t="array" ref="S18">AVERAGE(_xlfn._xlws.FILTER(Table8[Cost (USD)/Job improved], (Table8[Cost (USD)/Job improved]&gt;0)*(Table8[Country Income Level]="Lower-Middle Income")))</f>
        <v>8635.7672525037415</v>
      </c>
      <c r="T18" s="15">
        <f>COUNTIFS(Table8[Cost (USD)/Job improved],"&gt;0", Table8[Country Income Level],"Lower-Middle Income")</f>
        <v>33</v>
      </c>
      <c r="U18" s="203">
        <f t="array" ref="U18">MEDIAN(_xlfn._xlws.FILTER(Table8[Beneficiary Income (USD) / Project Cost], (Table8[Beneficiary Income (USD) / Project Cost]&gt;0)*(Table8[Country Income Level]="Lower-Middle Income")))</f>
        <v>1.832535885167464</v>
      </c>
      <c r="V18" s="203">
        <f t="array" ref="V18">AVERAGE(_xlfn._xlws.FILTER(Table8[Beneficiary Income (USD) / Project Cost], (Table8[Beneficiary Income (USD) / Project Cost]&gt;0)*(Table8[Country Income Level]="Lower-Middle Income")))</f>
        <v>2.0983228796146616</v>
      </c>
      <c r="W18" s="15">
        <f>COUNTIFS(Table8[Beneficiary Income (USD) / Project Cost],"&gt;0", Table8[Country Income Level],"Lower-Middle Income")</f>
        <v>21</v>
      </c>
    </row>
    <row r="19" spans="1:23" x14ac:dyDescent="0.25">
      <c r="B19" s="206" t="s">
        <v>589</v>
      </c>
      <c r="C19" s="202">
        <f t="array" ref="C19">MEDIAN(_xlfn._xlws.FILTER(Table8[Income per beneficiary (USD)], (Table8[Income per beneficiary (USD)]&gt;0)*(Table8[Country Income Level]="Upper-Middle Income")))</f>
        <v>116.634423977346</v>
      </c>
      <c r="D19" s="202">
        <f t="array" ref="D19">AVERAGE(_xlfn._xlws.FILTER(Table8[Income per beneficiary (USD)], (Table8[Income per beneficiary (USD)]&gt;0)*(Table8[Country Income Level]="Upper-Middle Income")))</f>
        <v>417.23937507792829</v>
      </c>
      <c r="E19" s="15">
        <f>COUNTIFS(Table8[Income per beneficiary (USD)],"&gt;0", Table8[Country Income Level],"Upper-Middle Income")</f>
        <v>7</v>
      </c>
      <c r="F19" s="203">
        <f t="array" ref="F19">MEDIAN(_xlfn._xlws.FILTER(Table8[Private Sector Investment (USD) / Project cost ], (Table8[Private Sector Investment (USD) / Project cost ]&gt;0)*(Table8[Country Income Level]="Upper-Middle Income")))</f>
        <v>0.97482539682539682</v>
      </c>
      <c r="G19" s="203">
        <f t="array" ref="G19">AVERAGE(_xlfn._xlws.FILTER(Table8[Private Sector Investment (USD) / Project cost ], (Table8[Private Sector Investment (USD) / Project cost ]&gt;0)*(Table8[Country Income Level]="Upper-Middle Income")))</f>
        <v>0.89403108386060415</v>
      </c>
      <c r="H19" s="15">
        <f>COUNTIFS(Table8[Private Sector Investment (USD) / Project cost ],"&gt;0", Table8[Country Income Level],"Upper-Middle Income")</f>
        <v>10</v>
      </c>
      <c r="I19" s="203">
        <f t="array" ref="I19">MEDIAN(_xlfn._xlws.FILTER(Table8[Private Sector Revenues Generated (USD) / Project cost], (Table8[Private Sector Revenues Generated (USD) / Project cost]&gt;0)*(Table8[Country Income Level]="Upper-Middle Income")))</f>
        <v>0.8147368421052632</v>
      </c>
      <c r="J19" s="203">
        <f t="array" ref="J19">AVERAGE(_xlfn._xlws.FILTER(Table8[Private Sector Revenues Generated (USD) / Project cost], (Table8[Private Sector Revenues Generated (USD) / Project cost]&gt;0)*(Table8[Country Income Level]="Upper-Middle Income")))</f>
        <v>0.93151765706417311</v>
      </c>
      <c r="K19" s="15">
        <f>COUNTIFS(Table8[Private Sector Revenues Generated (USD) / Project cost],"&gt;0", Table8[Country Income Level],"Upper-Middle Income")</f>
        <v>7</v>
      </c>
      <c r="L19" s="203">
        <f t="array" ref="L19">MEDIAN(_xlfn._xlws.FILTER(Table8[Export Revenue Generated (USD) /Project Cost], (Table8[Export Revenue Generated (USD) /Project Cost]&gt;0)*(Table8[Country Income Level]="Upper-Middle Income")))</f>
        <v>39.888838136141864</v>
      </c>
      <c r="M19" s="203">
        <f t="array" ref="M19">AVERAGE(_xlfn._xlws.FILTER(Table8[Export Revenue Generated (USD) /Project Cost], (Table8[Export Revenue Generated (USD) /Project Cost]&gt;0)*(Table8[Country Income Level]="Upper-Middle Income")))</f>
        <v>39.888838136141857</v>
      </c>
      <c r="N19" s="15">
        <f>COUNTIFS(Table8[Export Revenue Generated (USD) /Project Cost],"&gt;0", Table8[Country Income Level],"Upper-Middle Income")</f>
        <v>2</v>
      </c>
      <c r="O19" s="202">
        <f t="array" ref="O19">MEDIAN(_xlfn._xlws.FILTER(Table8[Cost (USD)/Job created], (Table8[Cost (USD)/Job created]&gt;0)*(Table8[Country Income Level]="Upper-Middle Income")))</f>
        <v>5697.0610399397137</v>
      </c>
      <c r="P19" s="202">
        <f t="array" ref="P19">AVERAGE(_xlfn._xlws.FILTER(Table8[Cost (USD)/Job created], (Table8[Cost (USD)/Job created]&gt;0)*(Table8[Country Income Level]="Upper-Middle Income")))</f>
        <v>21211.601371006032</v>
      </c>
      <c r="Q19" s="15">
        <f>COUNTIFS(Table8[Cost (USD)/Job created],"&gt;0", Table8[Country Income Level],"Upper-Middle Income")</f>
        <v>9</v>
      </c>
      <c r="R19" s="202">
        <f t="array" ref="R19">MEDIAN(_xlfn._xlws.FILTER(Table8[Cost (USD)/Job improved], (Table8[Cost (USD)/Job improved]&gt;0)*(Table8[Country Income Level]="Upper-Middle Income")))</f>
        <v>786.72246616901521</v>
      </c>
      <c r="S19" s="202">
        <f t="array" ref="S19">AVERAGE(_xlfn._xlws.FILTER(Table8[Cost (USD)/Job improved], (Table8[Cost (USD)/Job improved]&gt;0)*(Table8[Country Income Level]="Upper-Middle Income")))</f>
        <v>1957.1059259934657</v>
      </c>
      <c r="T19" s="15">
        <f>COUNTIFS(Table8[Cost (USD)/Job improved],"&gt;0", Table8[Country Income Level],"Upper-Middle Income")</f>
        <v>10</v>
      </c>
      <c r="U19" s="203">
        <f t="array" ref="U19">MEDIAN(_xlfn._xlws.FILTER(Table8[Beneficiary Income (USD) / Project Cost], (Table8[Beneficiary Income (USD) / Project Cost]&gt;0)*(Table8[Country Income Level]="Upper-Middle Income")))</f>
        <v>0.80423280423280419</v>
      </c>
      <c r="V19" s="203">
        <f t="array" ref="V19">AVERAGE(_xlfn._xlws.FILTER(Table8[Beneficiary Income (USD) / Project Cost], (Table8[Beneficiary Income (USD) / Project Cost]&gt;0)*(Table8[Country Income Level]="Upper-Middle Income")))</f>
        <v>1.2437037868737502</v>
      </c>
      <c r="W19" s="15">
        <f>COUNTIFS(Table8[Beneficiary Income (USD) / Project Cost],"&gt;0", Table8[Country Income Level],"Upper-Middle Income")</f>
        <v>7</v>
      </c>
    </row>
    <row r="20" spans="1:23" x14ac:dyDescent="0.25">
      <c r="B20" s="206" t="s">
        <v>597</v>
      </c>
      <c r="C20" s="202">
        <f t="array" ref="C20">MEDIAN(_xlfn._xlws.FILTER(Table8[Income per beneficiary (USD)], (Table8[Income per beneficiary (USD)]&gt;0)*(Table8[Country Income Level]="Mixed")))</f>
        <v>212.87799860937119</v>
      </c>
      <c r="D20" s="202">
        <f t="array" ref="D20">AVERAGE(_xlfn._xlws.FILTER(Table8[Income per beneficiary (USD)], (Table8[Income per beneficiary (USD)]&gt;0)*(Table8[Country Income Level]="Mixed")))</f>
        <v>232.91370595749356</v>
      </c>
      <c r="E20" s="15">
        <f>COUNTIFS(Table8[Income per beneficiary (USD)],"&gt;0", Table8[Country Income Level],"Mixed")</f>
        <v>4</v>
      </c>
      <c r="F20" s="203">
        <f t="array" ref="F20">MEDIAN(_xlfn._xlws.FILTER(Table8[Private Sector Investment (USD) / Project cost ], (Table8[Private Sector Investment (USD) / Project cost ]&gt;0)*(Table8[Country Income Level]="Mixed")))</f>
        <v>0.48221049077583339</v>
      </c>
      <c r="G20" s="203">
        <f t="array" ref="G20">AVERAGE(_xlfn._xlws.FILTER(Table8[Private Sector Investment (USD) / Project cost ], (Table8[Private Sector Investment (USD) / Project cost ]&gt;0)*(Table8[Country Income Level]="Mixed")))</f>
        <v>2.2666116234919924</v>
      </c>
      <c r="H20" s="15">
        <f>COUNTIFS(Table8[Private Sector Investment (USD) / Project cost ],"&gt;0", Table8[Country Income Level],"Mixed")</f>
        <v>5</v>
      </c>
      <c r="I20" s="203">
        <f t="array" ref="I20">MEDIAN(_xlfn._xlws.FILTER(Table8[Private Sector Revenues Generated (USD) / Project cost], (Table8[Private Sector Revenues Generated (USD) / Project cost]&gt;0)*(Table8[Country Income Level]="Mixed")))</f>
        <v>1.8035812692425064</v>
      </c>
      <c r="J20" s="203">
        <f t="array" ref="J20">AVERAGE(_xlfn._xlws.FILTER(Table8[Private Sector Revenues Generated (USD) / Project cost], (Table8[Private Sector Revenues Generated (USD) / Project cost]&gt;0)*(Table8[Country Income Level]="Mixed")))</f>
        <v>1.8035812692425066</v>
      </c>
      <c r="K20" s="15">
        <f>COUNTIFS(Table8[Private Sector Revenues Generated (USD) / Project cost],"&gt;0", Table8[Country Income Level],"Mixed")</f>
        <v>2</v>
      </c>
      <c r="L20" s="204" t="str">
        <f t="array" ref="L20">IFERROR(MEDIAN(_xlfn._xlws.FILTER(Table8[Export Revenue Generated (USD) /Project Cost], (Table8[Export Revenue Generated (USD) /Project Cost]&gt;0)*(Table8[Country Income Level]="Mixed"))),"n/a")</f>
        <v>n/a</v>
      </c>
      <c r="M20" s="204" t="str">
        <f t="array" ref="M20">IFERROR(AVERAGE(_xlfn._xlws.FILTER(Table8[Export Revenue Generated (USD) /Project Cost], (Table8[Export Revenue Generated (USD) /Project Cost]&gt;0)*(Table8[Country Income Level]="Mixed"))),"n/a")</f>
        <v>n/a</v>
      </c>
      <c r="N20" s="15">
        <f>COUNTIFS(Table8[Export Revenue Generated (USD) /Project Cost],"&gt;0", Table8[Country Income Level],"Mixed")</f>
        <v>0</v>
      </c>
      <c r="O20" s="202">
        <f t="array" ref="O20">MEDIAN(_xlfn._xlws.FILTER(Table8[Cost (USD)/Job created], (Table8[Cost (USD)/Job created]&gt;0)*(Table8[Country Income Level]="Mixed")))</f>
        <v>5174.98909242836</v>
      </c>
      <c r="P20" s="202">
        <f t="array" ref="P20">AVERAGE(_xlfn._xlws.FILTER(Table8[Cost (USD)/Job created], (Table8[Cost (USD)/Job created]&gt;0)*(Table8[Country Income Level]="Mixed")))</f>
        <v>5174.9890924283609</v>
      </c>
      <c r="Q20" s="15">
        <f>COUNTIFS(Table8[Cost (USD)/Job created],"&gt;0", Table8[Country Income Level],"Mixed")</f>
        <v>2</v>
      </c>
      <c r="R20" s="202">
        <f t="array" ref="R20">MEDIAN(_xlfn._xlws.FILTER(Table8[Cost (USD)/Job improved], (Table8[Cost (USD)/Job improved]&gt;0)*(Table8[Country Income Level]="Mixed")))</f>
        <v>2064.8294297280131</v>
      </c>
      <c r="S20" s="202">
        <f t="array" ref="S20">AVERAGE(_xlfn._xlws.FILTER(Table8[Cost (USD)/Job improved], (Table8[Cost (USD)/Job improved]&gt;0)*(Table8[Country Income Level]="Mixed")))</f>
        <v>2573.6832100399511</v>
      </c>
      <c r="T20" s="15">
        <f>COUNTIFS(Table8[Cost (USD)/Job improved],"&gt;0", Table8[Country Income Level],"Mixed")</f>
        <v>6</v>
      </c>
      <c r="U20" s="203">
        <f t="array" ref="U20">MEDIAN(_xlfn._xlws.FILTER(Table8[Beneficiary Income (USD) / Project Cost], (Table8[Beneficiary Income (USD) / Project Cost]&gt;0)*(Table8[Country Income Level]="Mixed")))</f>
        <v>0.5791622575831703</v>
      </c>
      <c r="V20" s="203">
        <f t="array" ref="V20">AVERAGE(_xlfn._xlws.FILTER(Table8[Beneficiary Income (USD) / Project Cost], (Table8[Beneficiary Income (USD) / Project Cost]&gt;0)*(Table8[Country Income Level]="Mixed")))</f>
        <v>0.91196505936670491</v>
      </c>
      <c r="W20" s="15">
        <f>COUNTIFS(Table8[Beneficiary Income (USD) / Project Cost],"&gt;0", Table8[Country Income Level],"Mixed")</f>
        <v>4</v>
      </c>
    </row>
    <row r="21" spans="1:23" x14ac:dyDescent="0.25">
      <c r="B21" s="292" t="s">
        <v>644</v>
      </c>
      <c r="C21" s="293"/>
      <c r="D21" s="293"/>
      <c r="E21" s="293"/>
      <c r="F21" s="293"/>
      <c r="G21" s="293"/>
      <c r="H21" s="293"/>
      <c r="I21" s="293"/>
      <c r="J21" s="293"/>
      <c r="K21" s="293"/>
      <c r="L21" s="293"/>
      <c r="M21" s="293"/>
      <c r="N21" s="293"/>
      <c r="O21" s="293"/>
      <c r="P21" s="293"/>
      <c r="Q21" s="293"/>
      <c r="R21" s="293"/>
      <c r="S21" s="293"/>
      <c r="T21" s="293"/>
      <c r="U21" s="293"/>
      <c r="V21" s="293"/>
      <c r="W21" s="293"/>
    </row>
    <row r="22" spans="1:23" x14ac:dyDescent="0.25">
      <c r="B22" s="205" t="s">
        <v>645</v>
      </c>
      <c r="C22" s="202">
        <f t="array" ref="C22">MEDIAN(_xlfn._xlws.FILTER(Table8[Income per beneficiary (USD)], (Table8[Income per beneficiary (USD)]&gt;0)*(Table8[FCAS Status]="Stable")))</f>
        <v>132.465622476475</v>
      </c>
      <c r="D22" s="202">
        <f t="array" ref="D22">AVERAGE(_xlfn._xlws.FILTER(Table8[Income per beneficiary (USD)], (Table8[Income per beneficiary (USD)]&gt;0)*(Table8[FCAS Status]="Stable")))</f>
        <v>496.03924151166507</v>
      </c>
      <c r="E22" s="15">
        <f>COUNTIFS(Table8[Income per beneficiary (USD)],"&gt;0", Table8[FCAS Status],"Stable")</f>
        <v>27</v>
      </c>
      <c r="F22" s="203">
        <f t="array" ref="F22">MEDIAN(_xlfn._xlws.FILTER(Table8[Private Sector Investment (USD) / Project cost ], (Table8[Private Sector Investment (USD) / Project cost ]&gt;0)*(Table8[FCAS Status]="Stable")))</f>
        <v>0.52975289108910895</v>
      </c>
      <c r="G22" s="203">
        <f t="array" ref="G22">AVERAGE(_xlfn._xlws.FILTER(Table8[Private Sector Investment (USD) / Project cost ], (Table8[Private Sector Investment (USD) / Project cost ]&gt;0)*(Table8[FCAS Status]="Stable")))</f>
        <v>1.8287024355835411</v>
      </c>
      <c r="H22" s="15">
        <f>COUNTIFS(Table8[Private Sector Investment (USD) / Project cost ],"&gt;0", Table8[FCAS Status],"Stable")</f>
        <v>42</v>
      </c>
      <c r="I22" s="203">
        <f t="array" ref="I22">MEDIAN(_xlfn._xlws.FILTER(Table8[Private Sector Revenues Generated (USD) / Project cost], (Table8[Private Sector Revenues Generated (USD) / Project cost]&gt;0)*(Table8[FCAS Status]="Stable")))</f>
        <v>1.6212635665019151</v>
      </c>
      <c r="J22" s="203">
        <f t="array" ref="J22">AVERAGE(_xlfn._xlws.FILTER(Table8[Private Sector Revenues Generated (USD) / Project cost], (Table8[Private Sector Revenues Generated (USD) / Project cost]&gt;0)*(Table8[FCAS Status]="Stable")))</f>
        <v>3.5851001252465831</v>
      </c>
      <c r="K22" s="15">
        <f>COUNTIFS(Table8[Private Sector Revenues Generated (USD) / Project cost],"&gt;0", Table8[FCAS Status],"Stable")</f>
        <v>35</v>
      </c>
      <c r="L22" s="203">
        <f t="array" ref="L22">MEDIAN(_xlfn._xlws.FILTER(Table8[Export Revenue Generated (USD) /Project Cost], (Table8[Export Revenue Generated (USD) /Project Cost]&gt;0)*(Table8[FCAS Status]="Stable")))</f>
        <v>0.34741362139326759</v>
      </c>
      <c r="M22" s="203">
        <f t="array" ref="M22">AVERAGE(_xlfn._xlws.FILTER(Table8[Export Revenue Generated (USD) /Project Cost], (Table8[Export Revenue Generated (USD) /Project Cost]&gt;0)*(Table8[FCAS Status]="Stable")))</f>
        <v>10.999669240271373</v>
      </c>
      <c r="N22" s="15">
        <f>COUNTIFS(Table8[Export Revenue Generated (USD) /Project Cost],"&gt;0", Table8[FCAS Status],"Stable")</f>
        <v>9</v>
      </c>
      <c r="O22" s="202">
        <f t="array" ref="O22">MEDIAN(_xlfn._xlws.FILTER(Table8[Cost (USD)/Job created], (Table8[Cost (USD)/Job created]&gt;0)*(Table8[FCAS Status]="Stable")))</f>
        <v>2963.2653061224491</v>
      </c>
      <c r="P22" s="202">
        <f t="array" ref="P22">AVERAGE(_xlfn._xlws.FILTER(Table8[Cost (USD)/Job created], (Table8[Cost (USD)/Job created]&gt;0)*(Table8[FCAS Status]="Stable")))</f>
        <v>9021.0432726001363</v>
      </c>
      <c r="Q22" s="15">
        <f>COUNTIFS(Table8[Cost (USD)/Job created],"&gt;0", Table8[FCAS Status],"Stable")</f>
        <v>27</v>
      </c>
      <c r="R22" s="202">
        <f t="array" ref="R22">MEDIAN(_xlfn._xlws.FILTER(Table8[Cost (USD)/Job improved], (Table8[Cost (USD)/Job improved]&gt;0)*(Table8[FCAS Status]="Stable")))</f>
        <v>387.60667008351226</v>
      </c>
      <c r="S22" s="202">
        <f t="array" ref="S22">AVERAGE(_xlfn._xlws.FILTER(Table8[Cost (USD)/Job improved], (Table8[Cost (USD)/Job improved]&gt;0)*(Table8[FCAS Status]="Stable")))</f>
        <v>6260.7405233439022</v>
      </c>
      <c r="T22" s="15">
        <f>COUNTIFS(Table8[Cost (USD)/Job improved],"&gt;0", Table8[FCAS Status],"Stable")</f>
        <v>50</v>
      </c>
      <c r="U22" s="203">
        <f t="array" ref="U22">MEDIAN(_xlfn._xlws.FILTER(Table8[Beneficiary Income (USD) / Project Cost], (Table8[Beneficiary Income (USD) / Project Cost]&gt;0)*(Table8[FCAS Status]="Stable")))</f>
        <v>1.197129437050968</v>
      </c>
      <c r="V22" s="203">
        <f t="array" ref="V22">AVERAGE(_xlfn._xlws.FILTER(Table8[Beneficiary Income (USD) / Project Cost], (Table8[Beneficiary Income (USD) / Project Cost]&gt;0)*(Table8[FCAS Status]="Stable")))</f>
        <v>1.7380400165845433</v>
      </c>
      <c r="W22" s="15">
        <f>COUNTIFS(Table8[Beneficiary Income (USD) / Project Cost],"&gt;0", Table8[FCAS Status],"Stable")</f>
        <v>27</v>
      </c>
    </row>
    <row r="23" spans="1:23" x14ac:dyDescent="0.25">
      <c r="B23" s="205" t="s">
        <v>42</v>
      </c>
      <c r="C23" s="202">
        <f t="array" ref="C23">MEDIAN(_xlfn._xlws.FILTER(Table8[Income per beneficiary (USD)], (Table8[Income per beneficiary (USD)]&gt;0)*(Table8[FCAS Status]="FCAS")))</f>
        <v>285.22750050110238</v>
      </c>
      <c r="D23" s="202">
        <f t="array" ref="D23">AVERAGE(_xlfn._xlws.FILTER(Table8[Income per beneficiary (USD)], (Table8[Income per beneficiary (USD)]&gt;0)*(Table8[FCAS Status]="FCAS")))</f>
        <v>378.55591486987942</v>
      </c>
      <c r="E23" s="15">
        <f>COUNTIFS(Table8[Income per beneficiary (USD)],"&gt;0", Table8[FCAS Status],"FCAS")</f>
        <v>15</v>
      </c>
      <c r="F23" s="203">
        <f t="array" ref="F23">MEDIAN(_xlfn._xlws.FILTER(Table8[Private Sector Investment (USD) / Project cost ], (Table8[Private Sector Investment (USD) / Project cost ]&gt;0)*(Table8[FCAS Status]="FCAS")))</f>
        <v>0.2811410839222615</v>
      </c>
      <c r="G23" s="203">
        <f t="array" ref="G23">AVERAGE(_xlfn._xlws.FILTER(Table8[Private Sector Investment (USD) / Project cost ], (Table8[Private Sector Investment (USD) / Project cost ]&gt;0)*(Table8[FCAS Status]="FCAS")))</f>
        <v>0.73616143607680229</v>
      </c>
      <c r="H23" s="15">
        <f>COUNTIFS(Table8[Private Sector Investment (USD) / Project cost ],"&gt;0", Table8[FCAS Status],"FCAS")</f>
        <v>14</v>
      </c>
      <c r="I23" s="203">
        <f t="array" ref="I23">MEDIAN(_xlfn._xlws.FILTER(Table8[Private Sector Revenues Generated (USD) / Project cost], (Table8[Private Sector Revenues Generated (USD) / Project cost]&gt;0)*(Table8[FCAS Status]="FCAS")))</f>
        <v>0.48617511520737328</v>
      </c>
      <c r="J23" s="203">
        <f t="array" ref="J23">AVERAGE(_xlfn._xlws.FILTER(Table8[Private Sector Revenues Generated (USD) / Project cost], (Table8[Private Sector Revenues Generated (USD) / Project cost]&gt;0)*(Table8[FCAS Status]="FCAS")))</f>
        <v>0.75760848986506124</v>
      </c>
      <c r="K23" s="15">
        <f>COUNTIFS(Table8[Private Sector Revenues Generated (USD) / Project cost],"&gt;0", Table8[FCAS Status],"FCAS")</f>
        <v>11</v>
      </c>
      <c r="L23" s="203">
        <f t="array" ref="L23">MEDIAN(_xlfn._xlws.FILTER(Table8[Export Revenue Generated (USD) /Project Cost], (Table8[Export Revenue Generated (USD) /Project Cost]&gt;0)*(Table8[FCAS Status]="FCAS")))</f>
        <v>3.6333847829880667E-2</v>
      </c>
      <c r="M23" s="203">
        <f t="array" ref="M23">AVERAGE(_xlfn._xlws.FILTER(Table8[Export Revenue Generated (USD) /Project Cost], (Table8[Export Revenue Generated (USD) /Project Cost]&gt;0)*(Table8[FCAS Status]="FCAS")))</f>
        <v>4.4627247193539825E-2</v>
      </c>
      <c r="N23" s="15">
        <f>COUNTIFS(Table8[Export Revenue Generated (USD) /Project Cost],"&gt;0", Table8[FCAS Status],"FCAS")</f>
        <v>5</v>
      </c>
      <c r="O23" s="202">
        <f t="array" ref="O23">MEDIAN(_xlfn._xlws.FILTER(Table8[Cost (USD)/Job created], (Table8[Cost (USD)/Job created]&gt;0)*(Table8[FCAS Status]="FCAS")))</f>
        <v>5147.9312162627266</v>
      </c>
      <c r="P23" s="202">
        <f t="array" ref="P23">AVERAGE(_xlfn._xlws.FILTER(Table8[Cost (USD)/Job created], (Table8[Cost (USD)/Job created]&gt;0)*(Table8[FCAS Status]="FCAS")))</f>
        <v>40961.898616280167</v>
      </c>
      <c r="Q23" s="15">
        <f>COUNTIFS(Table8[Cost (USD)/Job created],"&gt;0", Table8[FCAS Status],"FCAS")</f>
        <v>12</v>
      </c>
      <c r="R23" s="202">
        <f t="array" ref="R23">MEDIAN(_xlfn._xlws.FILTER(Table8[Cost (USD)/Job improved], (Table8[Cost (USD)/Job improved]&gt;0)*(Table8[FCAS Status]="FCAS")))</f>
        <v>674.37379576107901</v>
      </c>
      <c r="S23" s="202">
        <f t="array" ref="S23">AVERAGE(_xlfn._xlws.FILTER(Table8[Cost (USD)/Job improved], (Table8[Cost (USD)/Job improved]&gt;0)*(Table8[FCAS Status]="FCAS")))</f>
        <v>2945.6207823491131</v>
      </c>
      <c r="T23" s="15">
        <f>COUNTIFS(Table8[Cost (USD)/Job improved],"&gt;0", Table8[FCAS Status],"FCAS")</f>
        <v>15</v>
      </c>
      <c r="U23" s="203">
        <f t="array" ref="U23">MEDIAN(_xlfn._xlws.FILTER(Table8[Beneficiary Income (USD) / Project Cost], (Table8[Beneficiary Income (USD) / Project Cost]&gt;0)*(Table8[FCAS Status]="FCAS")))</f>
        <v>0.96</v>
      </c>
      <c r="V23" s="203">
        <f t="array" ref="V23">AVERAGE(_xlfn._xlws.FILTER(Table8[Beneficiary Income (USD) / Project Cost], (Table8[Beneficiary Income (USD) / Project Cost]&gt;0)*(Table8[FCAS Status]="FCAS")))</f>
        <v>1.2652241777337254</v>
      </c>
      <c r="W23" s="15">
        <f>COUNTIFS(Table8[Beneficiary Income (USD) / Project Cost],"&gt;0", Table8[FCAS Status],"FCAS")</f>
        <v>15</v>
      </c>
    </row>
    <row r="24" spans="1:23" x14ac:dyDescent="0.25">
      <c r="B24" s="205" t="s">
        <v>240</v>
      </c>
      <c r="C24" s="202">
        <f t="array" ref="C24">MEDIAN(_xlfn._xlws.FILTER(Table8[Income per beneficiary (USD)], (Table8[Income per beneficiary (USD)]&gt;0)*(Table8[FCAS Status]="Both")))</f>
        <v>279.39775155219274</v>
      </c>
      <c r="D24" s="202">
        <f t="array" ref="D24">AVERAGE(_xlfn._xlws.FILTER(Table8[Income per beneficiary (USD)], (Table8[Income per beneficiary (USD)]&gt;0)*(Table8[FCAS Status]="Both")))</f>
        <v>279.3977515521928</v>
      </c>
      <c r="E24" s="15">
        <f>COUNTIFS(Table8[Income per beneficiary (USD)],"&gt;0", Table8[FCAS Status],"Both")</f>
        <v>2</v>
      </c>
      <c r="F24" s="203">
        <f t="array" ref="F24">MEDIAN(_xlfn._xlws.FILTER(Table8[Private Sector Investment (USD) / Project cost ], (Table8[Private Sector Investment (USD) / Project cost ]&gt;0)*(Table8[FCAS Status]="Both")))</f>
        <v>0.29404642185850494</v>
      </c>
      <c r="G24" s="204" t="str">
        <f t="array" ref="G24">IFERROR(AVERAGE(_xlfn._xlws.FILTER(Table8[Private Sector Investment (USD) / Project cost ], (Table8[Private Sector Investment (USD) / Project cost ]&gt;0)*(Table8[FCAS Status]="Mixed"))),"n/a")</f>
        <v>n/a</v>
      </c>
      <c r="H24" s="15">
        <f>COUNTIFS(Table8[Private Sector Investment (USD) / Project cost ],"&gt;0", Table8[FCAS Status],"Both")</f>
        <v>2</v>
      </c>
      <c r="I24" s="203">
        <f t="array" ref="I24">MEDIAN(_xlfn._xlws.FILTER(Table8[Private Sector Revenues Generated (USD) / Project cost], (Table8[Private Sector Revenues Generated (USD) / Project cost]&gt;0)*(Table8[FCAS Status]="Both")))</f>
        <v>3.2399911384850131</v>
      </c>
      <c r="J24" s="203">
        <f t="array" ref="J24">AVERAGE(_xlfn._xlws.FILTER(Table8[Private Sector Revenues Generated (USD) / Project cost], (Table8[Private Sector Revenues Generated (USD) / Project cost]&gt;0)*(Table8[FCAS Status]="Both")))</f>
        <v>3.2399911384850131</v>
      </c>
      <c r="K24" s="15">
        <f>COUNTIFS(Table8[Private Sector Revenues Generated (USD) / Project cost],"&gt;0", Table8[FCAS Status],"Both")</f>
        <v>1</v>
      </c>
      <c r="L24" s="198" t="str">
        <f t="array" ref="L24">IFERROR(MEDIAN(_xlfn._xlws.FILTER(Table8[Export Revenue Generated (USD) /Project Cost], (Table8[Export Revenue Generated (USD) /Project Cost]&gt;0)*(Table8[FCAS Status]="Both"))),"n/a")</f>
        <v>n/a</v>
      </c>
      <c r="M24" s="204" t="str">
        <f t="array" ref="M24">IFERROR(AVERAGE(_xlfn._xlws.FILTER(Table8[Export Revenue Generated (USD) /Project Cost], (Table8[Export Revenue Generated (USD) /Project Cost]&gt;0)*(Table8[FCAS Status]="Both"))),"n/a")</f>
        <v>n/a</v>
      </c>
      <c r="N24" s="15">
        <f>COUNTIFS(Table8[Export Revenue Generated (USD) /Project Cost],"&gt;0", Table8[FCAS Status],"Both")</f>
        <v>0</v>
      </c>
      <c r="O24" s="202">
        <f t="array" ref="O24">MEDIAN(_xlfn._xlws.FILTER(Table8[Cost (USD)/Job created], (Table8[Cost (USD)/Job created]&gt;0)*(Table8[FCAS Status]="Both")))</f>
        <v>5174.98909242836</v>
      </c>
      <c r="P24" s="202">
        <f t="array" ref="P24">AVERAGE(_xlfn._xlws.FILTER(Table8[Cost (USD)/Job created], (Table8[Cost (USD)/Job created]&gt;0)*(Table8[FCAS Status]="Both")))</f>
        <v>5174.9890924283609</v>
      </c>
      <c r="Q24" s="15">
        <f>COUNTIFS(Table8[Cost (USD)/Job created],"&gt;0", Table8[FCAS Status],"Both")</f>
        <v>2</v>
      </c>
      <c r="R24" s="202">
        <f t="array" ref="R24">MEDIAN(_xlfn._xlws.FILTER(Table8[Cost (USD)/Job improved], (Table8[Cost (USD)/Job improved]&gt;0)*(Table8[FCAS Status]="Both")))</f>
        <v>4673.3338275050437</v>
      </c>
      <c r="S24" s="202">
        <f t="array" ref="S24">AVERAGE(_xlfn._xlws.FILTER(Table8[Cost (USD)/Job improved], (Table8[Cost (USD)/Job improved]&gt;0)*(Table8[FCAS Status]="Both")))</f>
        <v>4673.3338275050437</v>
      </c>
      <c r="T24" s="15">
        <f>COUNTIFS(Table8[Cost (USD)/Job improved],"&gt;0", Table8[FCAS Status],"Both")</f>
        <v>1</v>
      </c>
      <c r="U24" s="203">
        <f t="array" ref="U24">MEDIAN(_xlfn._xlws.FILTER(Table8[Beneficiary Income (USD) / Project Cost], (Table8[Beneficiary Income (USD) / Project Cost]&gt;0)*(Table8[FCAS Status]="Both")))</f>
        <v>1.7255749716745863</v>
      </c>
      <c r="V24" s="203">
        <f t="array" ref="V24">AVERAGE(_xlfn._xlws.FILTER(Table8[Beneficiary Income (USD) / Project Cost], (Table8[Beneficiary Income (USD) / Project Cost]&gt;0)*(Table8[FCAS Status]="Both")))</f>
        <v>1.7255749716745863</v>
      </c>
      <c r="W24" s="15">
        <f>COUNTIFS(Table8[Beneficiary Income (USD) / Project Cost],"&gt;0", Table8[FCAS Status],"Both")</f>
        <v>2</v>
      </c>
    </row>
    <row r="25" spans="1:23" ht="14.45" customHeight="1" x14ac:dyDescent="0.25">
      <c r="B25" s="292" t="s">
        <v>646</v>
      </c>
      <c r="C25" s="293"/>
      <c r="D25" s="293"/>
      <c r="E25" s="293"/>
      <c r="F25" s="293"/>
      <c r="G25" s="293"/>
      <c r="H25" s="293"/>
      <c r="I25" s="293"/>
      <c r="J25" s="293"/>
      <c r="K25" s="293"/>
      <c r="L25" s="293"/>
      <c r="M25" s="293"/>
      <c r="N25" s="293"/>
      <c r="O25" s="293"/>
      <c r="P25" s="293"/>
      <c r="Q25" s="293"/>
      <c r="R25" s="293"/>
      <c r="S25" s="293"/>
      <c r="T25" s="293"/>
      <c r="U25" s="293"/>
      <c r="V25" s="293"/>
      <c r="W25" s="293"/>
    </row>
    <row r="26" spans="1:23" x14ac:dyDescent="0.25">
      <c r="B26" s="206" t="s">
        <v>647</v>
      </c>
      <c r="C26" s="202">
        <f t="array" ref="C26">MEDIAN(_xlfn._xlws.FILTER(Table8[Income per beneficiary (USD)],(Table8[Income per beneficiary (USD)]&gt;0)*ISNUMBER(SEARCH("job creation",Table8[Primary Objective]))))</f>
        <v>285.22750050110238</v>
      </c>
      <c r="D26" s="202">
        <f t="array" ref="D26">AVERAGE(_xlfn._xlws.FILTER(Table8[Income per beneficiary (USD)],(Table8[Income per beneficiary (USD)]&gt;0)*ISNUMBER(SEARCH("job creation",Table8[Primary Objective]))))</f>
        <v>575.23285112772339</v>
      </c>
      <c r="E26" s="15">
        <f>COUNTIFS(Table8[Income per beneficiary (USD)],"&gt;0",Table8[Primary Objective],"*job creation*")</f>
        <v>21</v>
      </c>
      <c r="F26" s="203">
        <f t="array" ref="F26">MEDIAN(_xlfn._xlws.FILTER(Table8[Private Sector Investment (USD) / Project cost ],(Table8[Private Sector Investment (USD) / Project cost ]&gt;0)*ISNUMBER(SEARCH("job creation",Table8[Primary Objective]))))</f>
        <v>0.81891687625434328</v>
      </c>
      <c r="G26" s="203">
        <f t="array" ref="G26">AVERAGE(_xlfn._xlws.FILTER(Table8[Private Sector Investment (USD) / Project cost ],(Table8[Private Sector Investment (USD) / Project cost ]&gt;0)*ISNUMBER(SEARCH("job creation",Table8[Primary Objective]))))</f>
        <v>2.3058583342713224</v>
      </c>
      <c r="H26" s="15">
        <f>COUNTIFS(Table8[Private Sector Investment (USD) / Project cost ],"&gt;0",Table8[Primary Objective],"*job creation*")</f>
        <v>32</v>
      </c>
      <c r="I26" s="203">
        <f t="array" ref="I26">MEDIAN(_xlfn._xlws.FILTER(Table8[Private Sector Revenues Generated (USD) / Project cost],(Table8[Private Sector Revenues Generated (USD) / Project cost]&gt;0)*ISNUMBER(SEARCH("job creation",Table8[Primary Objective]))))</f>
        <v>1.9212935826045361</v>
      </c>
      <c r="J26" s="203">
        <f t="array" ref="J26">AVERAGE(_xlfn._xlws.FILTER(Table8[Private Sector Revenues Generated (USD) / Project cost],(Table8[Private Sector Revenues Generated (USD) / Project cost]&gt;0)*ISNUMBER(SEARCH("job creation",Table8[Primary Objective]))))</f>
        <v>3.9556704207931435</v>
      </c>
      <c r="K26" s="15">
        <f>COUNTIFS(Table8[Private Sector Revenues Generated (USD) / Project cost],"&gt;0",Table8[Primary Objective],"*job creation*")</f>
        <v>26</v>
      </c>
      <c r="L26" s="203">
        <f t="array" ref="L26">MEDIAN(_xlfn._xlws.FILTER(Table8[Export Revenue Generated (USD) /Project Cost],(Table8[Export Revenue Generated (USD) /Project Cost]&gt;0)*ISNUMBER(SEARCH("job creation",Table8[Primary Objective]))))</f>
        <v>0.10208563993256134</v>
      </c>
      <c r="M26" s="203">
        <f t="array" ref="M26">AVERAGE(_xlfn._xlws.FILTER(Table8[Export Revenue Generated (USD) /Project Cost],(Table8[Export Revenue Generated (USD) /Project Cost]&gt;0)*ISNUMBER(SEARCH("job creation",Table8[Primary Objective]))))</f>
        <v>8.3217404856190882</v>
      </c>
      <c r="N26" s="15">
        <f>COUNTIFS(Table8[Export Revenue Generated (USD) /Project Cost],"&gt;0",Table8[Primary Objective],"*job creation*")</f>
        <v>10</v>
      </c>
      <c r="O26" s="202">
        <f t="array" ref="O26">MEDIAN(_xlfn._xlws.FILTER(Table8[Cost (USD)/Job created],(Table8[Cost (USD)/Job created]&gt;0)*ISNUMBER(SEARCH("job creation",Table8[Primary Objective]))))</f>
        <v>2963.2653061224491</v>
      </c>
      <c r="P26" s="202">
        <f t="array" ref="P26">AVERAGE(_xlfn._xlws.FILTER(Table8[Cost (USD)/Job created],(Table8[Cost (USD)/Job created]&gt;0)*ISNUMBER(SEARCH("job creation",Table8[Primary Objective]))))</f>
        <v>19439.379459524262</v>
      </c>
      <c r="Q26" s="15">
        <f>COUNTIFS(Table8[Cost (USD)/Job created],"&gt;0",Table8[Primary Objective],"*job creation*")</f>
        <v>37</v>
      </c>
      <c r="R26" s="202">
        <f t="array" ref="R26">MEDIAN(_xlfn._xlws.FILTER(Table8[Cost (USD)/Job improved],(Table8[Cost (USD)/Job improved]&gt;0)*ISNUMBER(SEARCH("job creation",Table8[Primary Objective]))))</f>
        <v>658.72879464285711</v>
      </c>
      <c r="S26" s="202">
        <f t="array" ref="S26">AVERAGE(_xlfn._xlws.FILTER(Table8[Cost (USD)/Job improved],(Table8[Cost (USD)/Job improved]&gt;0)*ISNUMBER(SEARCH("job creation",Table8[Primary Objective]))))</f>
        <v>10548.03757170529</v>
      </c>
      <c r="T26" s="15">
        <f>COUNTIFS(Table8[Cost (USD)/Job improved],"&gt;0",Table8[Primary Objective],"*job creation*")</f>
        <v>31</v>
      </c>
      <c r="U26" s="203">
        <f t="array" ref="U26">MEDIAN(_xlfn._xlws.FILTER(Table8[Beneficiary Income (USD) / Project Cost],(Table8[Beneficiary Income (USD) / Project Cost]&gt;0)*ISNUMBER(SEARCH("job creation",Table8[Primary Objective]))))</f>
        <v>1.0677128233333331</v>
      </c>
      <c r="V26" s="203">
        <f t="array" ref="V26">AVERAGE(_xlfn._xlws.FILTER(Table8[Beneficiary Income (USD) / Project Cost],(Table8[Beneficiary Income (USD) / Project Cost]&gt;0)*ISNUMBER(SEARCH("job creation",Table8[Primary Objective]))))</f>
        <v>1.3478918076797697</v>
      </c>
      <c r="W26" s="15">
        <f>COUNTIFS(Table8[Beneficiary Income (USD) / Project Cost],"&gt;0",Table8[Primary Objective],"*job creation*")</f>
        <v>21</v>
      </c>
    </row>
    <row r="27" spans="1:23" x14ac:dyDescent="0.25">
      <c r="B27" s="206" t="s">
        <v>648</v>
      </c>
      <c r="C27" s="202">
        <f t="array" ref="C27">MEDIAN(_xlfn._xlws.FILTER(Table8[Income per beneficiary (USD)],(Table8[Income per beneficiary (USD)]&gt;0)*ISNUMBER(SEARCH("income improvement",Table8[Primary Objective]))))</f>
        <v>189.99599231861066</v>
      </c>
      <c r="D27" s="202">
        <f t="array" ref="D27">AVERAGE(_xlfn._xlws.FILTER(Table8[Income per beneficiary (USD)],(Table8[Income per beneficiary (USD)]&gt;0)*ISNUMBER(SEARCH("income improvement",Table8[Primary Objective]))))</f>
        <v>446.14076697653496</v>
      </c>
      <c r="E27" s="15">
        <f>COUNTIFS(Table8[Income per beneficiary (USD)],"&gt;0",Table8[Primary Objective],"*income improvement*")</f>
        <v>44</v>
      </c>
      <c r="F27" s="203">
        <f t="array" ref="F27">MEDIAN(_xlfn._xlws.FILTER(Table8[Private Sector Investment (USD) / Project cost ],(Table8[Private Sector Investment (USD) / Project cost ]&gt;0)*ISNUMBER(SEARCH("income improvement",Table8[Primary Objective]))))</f>
        <v>0.48221049077583339</v>
      </c>
      <c r="G27" s="203">
        <f t="array" ref="G27">AVERAGE(_xlfn._xlws.FILTER(Table8[Private Sector Investment (USD) / Project cost ],(Table8[Private Sector Investment (USD) / Project cost ]&gt;0)*ISNUMBER(SEARCH("income improvement",Table8[Primary Objective]))))</f>
        <v>1.6060820741413953</v>
      </c>
      <c r="H27" s="15">
        <f>COUNTIFS(Table8[Private Sector Investment (USD) / Project cost ],"&gt;0",Table8[Primary Objective],"*income improvement*")</f>
        <v>53</v>
      </c>
      <c r="I27" s="203">
        <f t="array" ref="I27">MEDIAN(_xlfn._xlws.FILTER(Table8[Private Sector Revenues Generated (USD) / Project cost],(Table8[Private Sector Revenues Generated (USD) / Project cost]&gt;0)*ISNUMBER(SEARCH("income improvement",Table8[Primary Objective]))))</f>
        <v>1.5105740181268881</v>
      </c>
      <c r="J27" s="203">
        <f t="array" ref="J27">AVERAGE(_xlfn._xlws.FILTER(Table8[Private Sector Revenues Generated (USD) / Project cost],(Table8[Private Sector Revenues Generated (USD) / Project cost]&gt;0)*ISNUMBER(SEARCH("income improvement",Table8[Primary Objective]))))</f>
        <v>3.0204195685875219</v>
      </c>
      <c r="K27" s="15">
        <f>COUNTIFS(Table8[Private Sector Revenues Generated (USD) / Project cost],"&gt;0",Table8[Primary Objective],"*income improvement*")</f>
        <v>45</v>
      </c>
      <c r="L27" s="203">
        <f t="array" ref="L27">MEDIAN(_xlfn._xlws.FILTER(Table8[Export Revenue Generated (USD) /Project Cost],(Table8[Export Revenue Generated (USD) /Project Cost]&gt;0)*ISNUMBER(SEARCH("income improvement",Table8[Primary Objective]))))</f>
        <v>0.14420347058823529</v>
      </c>
      <c r="M27" s="203">
        <f t="array" ref="M27">AVERAGE(_xlfn._xlws.FILTER(Table8[Export Revenue Generated (USD) /Project Cost],(Table8[Export Revenue Generated (USD) /Project Cost]&gt;0)*ISNUMBER(SEARCH("income improvement",Table8[Primary Objective]))))</f>
        <v>7.6253269467308433</v>
      </c>
      <c r="N27" s="15">
        <f>COUNTIFS(Table8[Export Revenue Generated (USD) /Project Cost],"&gt;0",Table8[Primary Objective],"*income improvement*")</f>
        <v>13</v>
      </c>
      <c r="O27" s="202">
        <f t="array" ref="O27">MEDIAN(_xlfn._xlws.FILTER(Table8[Cost (USD)/Job created],(Table8[Cost (USD)/Job created]&gt;0)*ISNUMBER(SEARCH("income improvement",Table8[Primary Objective]))))</f>
        <v>3435.4514807699279</v>
      </c>
      <c r="P27" s="202">
        <f t="array" ref="P27">AVERAGE(_xlfn._xlws.FILTER(Table8[Cost (USD)/Job created],(Table8[Cost (USD)/Job created]&gt;0)*ISNUMBER(SEARCH("income improvement",Table8[Primary Objective]))))</f>
        <v>17315.660285867452</v>
      </c>
      <c r="Q27" s="15">
        <f>COUNTIFS(Table8[Cost (USD)/Job created],"&gt;0",Table8[Primary Objective],"*income improvement*")</f>
        <v>38</v>
      </c>
      <c r="R27" s="202">
        <f t="array" ref="R27">MEDIAN(_xlfn._xlws.FILTER(Table8[Cost (USD)/Job improved],(Table8[Cost (USD)/Job improved]&gt;0)*ISNUMBER(SEARCH("income improvement",Table8[Primary Objective]))))</f>
        <v>419.0232008476188</v>
      </c>
      <c r="S27" s="202">
        <f t="array" ref="S27">AVERAGE(_xlfn._xlws.FILTER(Table8[Cost (USD)/Job improved],(Table8[Cost (USD)/Job improved]&gt;0)*ISNUMBER(SEARCH("income improvement",Table8[Primary Objective]))))</f>
        <v>5619.9570356935346</v>
      </c>
      <c r="T27" s="15">
        <f>COUNTIFS(Table8[Cost (USD)/Job improved],"&gt;0",Table8[Primary Objective],"*income improvement*")</f>
        <v>61</v>
      </c>
      <c r="U27" s="203">
        <f t="array" ref="U27">MEDIAN(_xlfn._xlws.FILTER(Table8[Beneficiary Income (USD) / Project Cost],(Table8[Beneficiary Income (USD) / Project Cost]&gt;0)*ISNUMBER(SEARCH("income improvement",Table8[Primary Objective]))))</f>
        <v>1.1640735593775156</v>
      </c>
      <c r="V27" s="203">
        <f t="array" ref="V27">AVERAGE(_xlfn._xlws.FILTER(Table8[Beneficiary Income (USD) / Project Cost],(Table8[Beneficiary Income (USD) / Project Cost]&gt;0)*ISNUMBER(SEARCH("income improvement",Table8[Primary Objective]))))</f>
        <v>1.5762862058440392</v>
      </c>
      <c r="W27" s="15">
        <f>COUNTIFS(Table8[Beneficiary Income (USD) / Project Cost],"&gt;0",Table8[Primary Objective],"*income improvement*")</f>
        <v>44</v>
      </c>
    </row>
    <row r="28" spans="1:23" x14ac:dyDescent="0.25">
      <c r="B28" s="206" t="s">
        <v>649</v>
      </c>
      <c r="C28" s="202">
        <f t="array" ref="C28">MEDIAN(_xlfn._xlws.FILTER(Table8[Income per beneficiary (USD)],(Table8[Income per beneficiary (USD)]&gt;0)*ISNUMBER(SEARCH("food security &amp; resilience",Table8[Primary Objective]))))</f>
        <v>191.32203389830511</v>
      </c>
      <c r="D28" s="202">
        <f t="array" ref="D28">AVERAGE(_xlfn._xlws.FILTER(Table8[Income per beneficiary (USD)],(Table8[Income per beneficiary (USD)]&gt;0)*ISNUMBER(SEARCH("food security &amp; resilience",Table8[Primary Objective]))))</f>
        <v>513.74298566480297</v>
      </c>
      <c r="E28" s="15">
        <f>COUNTIFS(Table8[Income per beneficiary (USD)],"&gt;0",Table8[Primary Objective],"*food security &amp; resilience*")</f>
        <v>31</v>
      </c>
      <c r="F28" s="203">
        <f t="array" ref="F28">MEDIAN(_xlfn._xlws.FILTER(Table8[Private Sector Investment (USD) / Project cost ],(Table8[Private Sector Investment (USD) / Project cost ]&gt;0)*ISNUMBER(SEARCH("food security &amp; resilience",Table8[Primary Objective]))))</f>
        <v>0.28582992421567488</v>
      </c>
      <c r="G28" s="203">
        <f t="array" ref="G28">AVERAGE(_xlfn._xlws.FILTER(Table8[Private Sector Investment (USD) / Project cost ],(Table8[Private Sector Investment (USD) / Project cost ]&gt;0)*ISNUMBER(SEARCH("food security &amp; resilience",Table8[Primary Objective]))))</f>
        <v>0.81522216417355942</v>
      </c>
      <c r="H28" s="15">
        <f>COUNTIFS(Table8[Private Sector Investment (USD) / Project cost ],"&gt;0",Table8[Primary Objective],"*food security &amp; resilience*")</f>
        <v>44</v>
      </c>
      <c r="I28" s="203">
        <f t="array" ref="I28">MEDIAN(_xlfn._xlws.FILTER(Table8[Private Sector Revenues Generated (USD) / Project cost],(Table8[Private Sector Revenues Generated (USD) / Project cost]&gt;0)*ISNUMBER(SEARCH("food security &amp; resilience",Table8[Primary Objective]))))</f>
        <v>1.33125</v>
      </c>
      <c r="J28" s="203">
        <f t="array" ref="J28">AVERAGE(_xlfn._xlws.FILTER(Table8[Private Sector Revenues Generated (USD) / Project cost],(Table8[Private Sector Revenues Generated (USD) / Project cost]&gt;0)*ISNUMBER(SEARCH("food security &amp; resilience",Table8[Primary Objective]))))</f>
        <v>3.2104940965352342</v>
      </c>
      <c r="K28" s="15">
        <f>COUNTIFS(Table8[Private Sector Revenues Generated (USD) / Project cost],"&gt;0",Table8[Primary Objective],"*food security &amp; resilience*")</f>
        <v>35</v>
      </c>
      <c r="L28" s="203">
        <f t="array" ref="L28">MEDIAN(_xlfn._xlws.FILTER(Table8[Export Revenue Generated (USD) /Project Cost],(Table8[Export Revenue Generated (USD) /Project Cost]&gt;0)*ISNUMBER(SEARCH("food security &amp; resilience",Table8[Primary Objective]))))</f>
        <v>0.15241991711229946</v>
      </c>
      <c r="M28" s="203">
        <f t="array" ref="M28">AVERAGE(_xlfn._xlws.FILTER(Table8[Export Revenue Generated (USD) /Project Cost],(Table8[Export Revenue Generated (USD) /Project Cost]&gt;0)*ISNUMBER(SEARCH("food security &amp; resilience",Table8[Primary Objective]))))</f>
        <v>9.864328057889761</v>
      </c>
      <c r="N28" s="15">
        <f>COUNTIFS(Table8[Export Revenue Generated (USD) /Project Cost],"&gt;0",Table8[Primary Objective],"*food security &amp; resilience*")</f>
        <v>10</v>
      </c>
      <c r="O28" s="202">
        <f t="array" ref="O28">MEDIAN(_xlfn._xlws.FILTER(Table8[Cost (USD)/Job created],(Table8[Cost (USD)/Job created]&gt;0)*ISNUMBER(SEARCH("food security &amp; resilience",Table8[Primary Objective]))))</f>
        <v>4245.4854943753699</v>
      </c>
      <c r="P28" s="202">
        <f t="array" ref="P28">AVERAGE(_xlfn._xlws.FILTER(Table8[Cost (USD)/Job created],(Table8[Cost (USD)/Job created]&gt;0)*ISNUMBER(SEARCH("food security &amp; resilience",Table8[Primary Objective]))))</f>
        <v>16532.316168688722</v>
      </c>
      <c r="Q28" s="15">
        <f>COUNTIFS(Table8[Cost (USD)/Job created],"&gt;0",Table8[Primary Objective],"*food security &amp; resilience*")</f>
        <v>28</v>
      </c>
      <c r="R28" s="202">
        <f t="array" ref="R28">MEDIAN(_xlfn._xlws.FILTER(Table8[Cost (USD)/Job improved],(Table8[Cost (USD)/Job improved]&gt;0)*ISNUMBER(SEARCH("food security &amp; resilience",Table8[Primary Objective]))))</f>
        <v>471.53129788989742</v>
      </c>
      <c r="S28" s="202">
        <f t="array" ref="S28">AVERAGE(_xlfn._xlws.FILTER(Table8[Cost (USD)/Job improved],(Table8[Cost (USD)/Job improved]&gt;0)*ISNUMBER(SEARCH("food security &amp; resilience",Table8[Primary Objective]))))</f>
        <v>6173.5001773304584</v>
      </c>
      <c r="T28" s="15">
        <f>COUNTIFS(Table8[Cost (USD)/Job improved],"&gt;0",Table8[Primary Objective],"*food security &amp; resilience*")</f>
        <v>49</v>
      </c>
      <c r="U28" s="203">
        <f t="array" ref="U28">MEDIAN(_xlfn._xlws.FILTER(Table8[Beneficiary Income (USD) / Project Cost],(Table8[Beneficiary Income (USD) / Project Cost]&gt;0)*ISNUMBER(SEARCH("food security &amp; resilience",Table8[Primary Objective]))))</f>
        <v>0.96</v>
      </c>
      <c r="V28" s="203">
        <f t="array" ref="V28">AVERAGE(_xlfn._xlws.FILTER(Table8[Beneficiary Income (USD) / Project Cost],(Table8[Beneficiary Income (USD) / Project Cost]&gt;0)*ISNUMBER(SEARCH("food security &amp; resilience",Table8[Primary Objective]))))</f>
        <v>1.4270826937688308</v>
      </c>
      <c r="W28" s="15">
        <f>COUNTIFS(Table8[Beneficiary Income (USD) / Project Cost],"&gt;0",Table8[Primary Objective],"*food security &amp; resilience*")</f>
        <v>31</v>
      </c>
    </row>
    <row r="29" spans="1:23" ht="15" customHeight="1" thickBot="1" x14ac:dyDescent="0.3"/>
    <row r="30" spans="1:23" ht="36" customHeight="1" thickBot="1" x14ac:dyDescent="0.3">
      <c r="B30" s="220" t="s">
        <v>650</v>
      </c>
    </row>
    <row r="31" spans="1:23" ht="15" customHeight="1" thickBot="1" x14ac:dyDescent="0.3"/>
    <row r="32" spans="1:23" ht="31.15" customHeight="1" thickBot="1" x14ac:dyDescent="0.3">
      <c r="A32" s="522" t="s">
        <v>26</v>
      </c>
      <c r="B32" s="523"/>
      <c r="C32" s="253" t="s">
        <v>628</v>
      </c>
      <c r="D32" s="283" t="s">
        <v>629</v>
      </c>
      <c r="E32" s="284" t="s">
        <v>630</v>
      </c>
    </row>
    <row r="33" spans="1:5" ht="13.9" customHeight="1" thickBot="1" x14ac:dyDescent="0.3">
      <c r="A33" s="516" t="s">
        <v>11</v>
      </c>
      <c r="B33" s="264" t="s">
        <v>631</v>
      </c>
      <c r="C33" s="280">
        <f>C4</f>
        <v>189.99599231861066</v>
      </c>
      <c r="D33" s="280">
        <f>D4</f>
        <v>446.14076697653496</v>
      </c>
      <c r="E33" s="285">
        <f>E4</f>
        <v>44</v>
      </c>
    </row>
    <row r="34" spans="1:5" ht="13.9" customHeight="1" x14ac:dyDescent="0.25">
      <c r="A34" s="517"/>
      <c r="B34" s="215" t="s">
        <v>633</v>
      </c>
      <c r="C34" s="130">
        <f t="shared" ref="C34:E35" si="0">C6</f>
        <v>125.03383604055691</v>
      </c>
      <c r="D34" s="130">
        <f t="shared" si="0"/>
        <v>282.55024083333819</v>
      </c>
      <c r="E34" s="286">
        <f t="shared" si="0"/>
        <v>34</v>
      </c>
    </row>
    <row r="35" spans="1:5" ht="13.9" customHeight="1" thickBot="1" x14ac:dyDescent="0.3">
      <c r="A35" s="518"/>
      <c r="B35" s="222" t="s">
        <v>634</v>
      </c>
      <c r="C35" s="281">
        <f t="shared" si="0"/>
        <v>508.48724598018771</v>
      </c>
      <c r="D35" s="281">
        <f t="shared" si="0"/>
        <v>1002.3485558634038</v>
      </c>
      <c r="E35" s="287">
        <f t="shared" si="0"/>
        <v>10</v>
      </c>
    </row>
    <row r="36" spans="1:5" ht="13.9" customHeight="1" x14ac:dyDescent="0.25">
      <c r="A36" s="516" t="s">
        <v>10</v>
      </c>
      <c r="B36" s="221" t="s">
        <v>636</v>
      </c>
      <c r="C36" s="282">
        <f t="shared" ref="C36:E38" si="1">C9</f>
        <v>340.53438867507401</v>
      </c>
      <c r="D36" s="282">
        <f t="shared" si="1"/>
        <v>559.99148446210302</v>
      </c>
      <c r="E36" s="288">
        <f t="shared" si="1"/>
        <v>6</v>
      </c>
    </row>
    <row r="37" spans="1:5" ht="13.9" customHeight="1" x14ac:dyDescent="0.25">
      <c r="A37" s="517"/>
      <c r="B37" s="278" t="s">
        <v>637</v>
      </c>
      <c r="C37" s="130">
        <f t="shared" si="1"/>
        <v>132.465622476475</v>
      </c>
      <c r="D37" s="130">
        <f t="shared" si="1"/>
        <v>740.23248911842336</v>
      </c>
      <c r="E37" s="286">
        <f t="shared" si="1"/>
        <v>13</v>
      </c>
    </row>
    <row r="38" spans="1:5" ht="13.9" customHeight="1" thickBot="1" x14ac:dyDescent="0.3">
      <c r="A38" s="518"/>
      <c r="B38" s="279" t="s">
        <v>638</v>
      </c>
      <c r="C38" s="281">
        <f t="shared" si="1"/>
        <v>191.32203389830511</v>
      </c>
      <c r="D38" s="281">
        <f t="shared" si="1"/>
        <v>265.88889926621664</v>
      </c>
      <c r="E38" s="287">
        <f t="shared" si="1"/>
        <v>25</v>
      </c>
    </row>
    <row r="39" spans="1:5" ht="13.9" customHeight="1" x14ac:dyDescent="0.25">
      <c r="A39" s="516" t="s">
        <v>651</v>
      </c>
      <c r="B39" s="221" t="s">
        <v>587</v>
      </c>
      <c r="C39" s="282">
        <f t="shared" ref="C39:E41" si="2">C13</f>
        <v>188.1985</v>
      </c>
      <c r="D39" s="282">
        <f t="shared" si="2"/>
        <v>329.46566815345039</v>
      </c>
      <c r="E39" s="288">
        <f t="shared" si="2"/>
        <v>21</v>
      </c>
    </row>
    <row r="40" spans="1:5" ht="13.9" customHeight="1" x14ac:dyDescent="0.25">
      <c r="A40" s="517"/>
      <c r="B40" s="215" t="s">
        <v>590</v>
      </c>
      <c r="C40" s="130">
        <f t="shared" si="2"/>
        <v>208.85773458658599</v>
      </c>
      <c r="D40" s="130">
        <f t="shared" si="2"/>
        <v>552.92800441850193</v>
      </c>
      <c r="E40" s="286">
        <f t="shared" si="2"/>
        <v>15</v>
      </c>
    </row>
    <row r="41" spans="1:5" ht="13.9" customHeight="1" thickBot="1" x14ac:dyDescent="0.3">
      <c r="A41" s="518"/>
      <c r="B41" s="222" t="s">
        <v>584</v>
      </c>
      <c r="C41" s="281">
        <f t="shared" si="2"/>
        <v>114.26296688026085</v>
      </c>
      <c r="D41" s="281">
        <f t="shared" si="2"/>
        <v>552.18683118344347</v>
      </c>
      <c r="E41" s="287">
        <f t="shared" si="2"/>
        <v>8</v>
      </c>
    </row>
    <row r="42" spans="1:5" ht="13.9" customHeight="1" x14ac:dyDescent="0.25">
      <c r="A42" s="516" t="s">
        <v>564</v>
      </c>
      <c r="B42" s="221" t="s">
        <v>586</v>
      </c>
      <c r="C42" s="282">
        <f t="shared" ref="C42:E45" si="3">C17</f>
        <v>154.28601015043586</v>
      </c>
      <c r="D42" s="282">
        <f t="shared" si="3"/>
        <v>250.80971214545693</v>
      </c>
      <c r="E42" s="288">
        <f t="shared" si="3"/>
        <v>12</v>
      </c>
    </row>
    <row r="43" spans="1:5" ht="13.9" customHeight="1" x14ac:dyDescent="0.25">
      <c r="A43" s="517"/>
      <c r="B43" s="215" t="s">
        <v>583</v>
      </c>
      <c r="C43" s="130">
        <f t="shared" si="3"/>
        <v>191.32203389830511</v>
      </c>
      <c r="D43" s="130">
        <f t="shared" si="3"/>
        <v>608.00698818317039</v>
      </c>
      <c r="E43" s="286">
        <f t="shared" si="3"/>
        <v>21</v>
      </c>
    </row>
    <row r="44" spans="1:5" ht="13.9" customHeight="1" x14ac:dyDescent="0.25">
      <c r="A44" s="517"/>
      <c r="B44" s="215" t="s">
        <v>589</v>
      </c>
      <c r="C44" s="130">
        <f t="shared" si="3"/>
        <v>116.634423977346</v>
      </c>
      <c r="D44" s="130">
        <f t="shared" si="3"/>
        <v>417.23937507792829</v>
      </c>
      <c r="E44" s="286">
        <f t="shared" si="3"/>
        <v>7</v>
      </c>
    </row>
    <row r="45" spans="1:5" ht="13.9" customHeight="1" thickBot="1" x14ac:dyDescent="0.3">
      <c r="A45" s="518"/>
      <c r="B45" s="222" t="s">
        <v>597</v>
      </c>
      <c r="C45" s="281">
        <f t="shared" si="3"/>
        <v>212.87799860937119</v>
      </c>
      <c r="D45" s="281">
        <f t="shared" si="3"/>
        <v>232.91370595749356</v>
      </c>
      <c r="E45" s="287">
        <f t="shared" si="3"/>
        <v>4</v>
      </c>
    </row>
    <row r="46" spans="1:5" ht="13.9" customHeight="1" x14ac:dyDescent="0.25">
      <c r="A46" s="516" t="s">
        <v>563</v>
      </c>
      <c r="B46" s="221" t="s">
        <v>645</v>
      </c>
      <c r="C46" s="282">
        <f t="shared" ref="C46:E48" si="4">C22</f>
        <v>132.465622476475</v>
      </c>
      <c r="D46" s="282">
        <f t="shared" si="4"/>
        <v>496.03924151166507</v>
      </c>
      <c r="E46" s="288">
        <f t="shared" si="4"/>
        <v>27</v>
      </c>
    </row>
    <row r="47" spans="1:5" ht="13.9" customHeight="1" x14ac:dyDescent="0.25">
      <c r="A47" s="517"/>
      <c r="B47" s="215" t="s">
        <v>42</v>
      </c>
      <c r="C47" s="130">
        <f t="shared" si="4"/>
        <v>285.22750050110238</v>
      </c>
      <c r="D47" s="130">
        <f t="shared" si="4"/>
        <v>378.55591486987942</v>
      </c>
      <c r="E47" s="286">
        <f t="shared" si="4"/>
        <v>15</v>
      </c>
    </row>
    <row r="48" spans="1:5" ht="13.9" customHeight="1" thickBot="1" x14ac:dyDescent="0.3">
      <c r="A48" s="518"/>
      <c r="B48" s="222" t="s">
        <v>240</v>
      </c>
      <c r="C48" s="281">
        <f t="shared" si="4"/>
        <v>279.39775155219274</v>
      </c>
      <c r="D48" s="281">
        <f t="shared" si="4"/>
        <v>279.3977515521928</v>
      </c>
      <c r="E48" s="287">
        <f t="shared" si="4"/>
        <v>2</v>
      </c>
    </row>
    <row r="49" spans="1:5" ht="13.9" customHeight="1" x14ac:dyDescent="0.25">
      <c r="A49" s="516" t="s">
        <v>12</v>
      </c>
      <c r="B49" s="221" t="s">
        <v>647</v>
      </c>
      <c r="C49" s="282">
        <f t="shared" ref="C49:E51" si="5">C26</f>
        <v>285.22750050110238</v>
      </c>
      <c r="D49" s="282">
        <f t="shared" si="5"/>
        <v>575.23285112772339</v>
      </c>
      <c r="E49" s="288">
        <f t="shared" si="5"/>
        <v>21</v>
      </c>
    </row>
    <row r="50" spans="1:5" ht="13.9" customHeight="1" x14ac:dyDescent="0.25">
      <c r="A50" s="517"/>
      <c r="B50" s="215" t="s">
        <v>648</v>
      </c>
      <c r="C50" s="130">
        <f t="shared" si="5"/>
        <v>189.99599231861066</v>
      </c>
      <c r="D50" s="130">
        <f t="shared" si="5"/>
        <v>446.14076697653496</v>
      </c>
      <c r="E50" s="286">
        <f t="shared" si="5"/>
        <v>44</v>
      </c>
    </row>
    <row r="51" spans="1:5" ht="13.9" customHeight="1" thickBot="1" x14ac:dyDescent="0.3">
      <c r="A51" s="518"/>
      <c r="B51" s="222" t="s">
        <v>649</v>
      </c>
      <c r="C51" s="281">
        <f t="shared" si="5"/>
        <v>191.32203389830511</v>
      </c>
      <c r="D51" s="281">
        <f t="shared" si="5"/>
        <v>513.74298566480297</v>
      </c>
      <c r="E51" s="287">
        <f t="shared" si="5"/>
        <v>31</v>
      </c>
    </row>
    <row r="52" spans="1:5" x14ac:dyDescent="0.25">
      <c r="C52" s="189"/>
      <c r="D52" s="189"/>
    </row>
    <row r="53" spans="1:5" ht="15" customHeight="1" thickBot="1" x14ac:dyDescent="0.3"/>
    <row r="54" spans="1:5" ht="31.9" customHeight="1" thickBot="1" x14ac:dyDescent="0.3">
      <c r="A54" s="525" t="s">
        <v>623</v>
      </c>
      <c r="B54" s="511"/>
      <c r="C54" s="228" t="s">
        <v>628</v>
      </c>
      <c r="D54" s="229" t="s">
        <v>629</v>
      </c>
      <c r="E54" s="229" t="s">
        <v>630</v>
      </c>
    </row>
    <row r="55" spans="1:5" ht="13.9" customHeight="1" thickBot="1" x14ac:dyDescent="0.3">
      <c r="A55" s="516" t="s">
        <v>11</v>
      </c>
      <c r="B55" s="264" t="s">
        <v>631</v>
      </c>
      <c r="C55" s="265">
        <f>F4</f>
        <v>0.46099320159229623</v>
      </c>
      <c r="D55" s="266">
        <f>G4</f>
        <v>1.5120664697120858</v>
      </c>
      <c r="E55" s="267">
        <f>H4</f>
        <v>58</v>
      </c>
    </row>
    <row r="56" spans="1:5" ht="13.9" customHeight="1" x14ac:dyDescent="0.25">
      <c r="A56" s="517"/>
      <c r="B56" s="215" t="s">
        <v>633</v>
      </c>
      <c r="C56" s="13">
        <f t="shared" ref="C56:E57" si="6">F6</f>
        <v>0.30848466448692158</v>
      </c>
      <c r="D56" s="225">
        <f t="shared" si="6"/>
        <v>0.89839690131901773</v>
      </c>
      <c r="E56" s="237">
        <f t="shared" si="6"/>
        <v>44</v>
      </c>
    </row>
    <row r="57" spans="1:5" ht="13.9" customHeight="1" thickBot="1" x14ac:dyDescent="0.3">
      <c r="A57" s="518"/>
      <c r="B57" s="222" t="s">
        <v>634</v>
      </c>
      <c r="C57" s="196">
        <f t="shared" si="6"/>
        <v>0.75111177682539676</v>
      </c>
      <c r="D57" s="226">
        <f t="shared" si="6"/>
        <v>3.4407422560902985</v>
      </c>
      <c r="E57" s="263">
        <f t="shared" si="6"/>
        <v>14</v>
      </c>
    </row>
    <row r="58" spans="1:5" ht="13.9" customHeight="1" x14ac:dyDescent="0.25">
      <c r="A58" s="524" t="s">
        <v>10</v>
      </c>
      <c r="B58" s="221" t="s">
        <v>636</v>
      </c>
      <c r="C58" s="223">
        <f t="shared" ref="C58:E60" si="7">F9</f>
        <v>0.50501613647702559</v>
      </c>
      <c r="D58" s="224">
        <f t="shared" si="7"/>
        <v>0.59209484509801702</v>
      </c>
      <c r="E58" s="262">
        <f t="shared" si="7"/>
        <v>4</v>
      </c>
    </row>
    <row r="59" spans="1:5" ht="13.9" customHeight="1" x14ac:dyDescent="0.25">
      <c r="A59" s="517"/>
      <c r="B59" s="215" t="s">
        <v>637</v>
      </c>
      <c r="C59" s="13">
        <f t="shared" si="7"/>
        <v>0.75111177682539676</v>
      </c>
      <c r="D59" s="225">
        <f t="shared" si="7"/>
        <v>2.9879622746895333</v>
      </c>
      <c r="E59" s="237">
        <f t="shared" si="7"/>
        <v>16</v>
      </c>
    </row>
    <row r="60" spans="1:5" ht="13.9" customHeight="1" thickBot="1" x14ac:dyDescent="0.3">
      <c r="A60" s="517"/>
      <c r="B60" s="254" t="s">
        <v>638</v>
      </c>
      <c r="C60" s="13">
        <f t="shared" si="7"/>
        <v>0.30848466448692158</v>
      </c>
      <c r="D60" s="225">
        <f t="shared" si="7"/>
        <v>0.98747577547043053</v>
      </c>
      <c r="E60" s="237">
        <f t="shared" si="7"/>
        <v>38</v>
      </c>
    </row>
    <row r="61" spans="1:5" ht="13.9" customHeight="1" x14ac:dyDescent="0.25">
      <c r="A61" s="516" t="s">
        <v>651</v>
      </c>
      <c r="B61" s="221" t="s">
        <v>587</v>
      </c>
      <c r="C61" s="223">
        <f t="shared" ref="C61:E63" si="8">F13</f>
        <v>0.39100000000000001</v>
      </c>
      <c r="D61" s="224">
        <f t="shared" si="8"/>
        <v>1.9964904774229342</v>
      </c>
      <c r="E61" s="262">
        <f t="shared" si="8"/>
        <v>29</v>
      </c>
    </row>
    <row r="62" spans="1:5" ht="13.9" customHeight="1" x14ac:dyDescent="0.25">
      <c r="A62" s="517"/>
      <c r="B62" s="215" t="s">
        <v>590</v>
      </c>
      <c r="C62" s="13">
        <f t="shared" si="8"/>
        <v>0.48221049077583339</v>
      </c>
      <c r="D62" s="225">
        <f t="shared" si="8"/>
        <v>0.81137468241791821</v>
      </c>
      <c r="E62" s="237">
        <f t="shared" si="8"/>
        <v>17</v>
      </c>
    </row>
    <row r="63" spans="1:5" ht="13.9" customHeight="1" thickBot="1" x14ac:dyDescent="0.3">
      <c r="A63" s="518"/>
      <c r="B63" s="222" t="s">
        <v>584</v>
      </c>
      <c r="C63" s="196">
        <f t="shared" si="8"/>
        <v>0.66073628791450578</v>
      </c>
      <c r="D63" s="226">
        <f t="shared" si="8"/>
        <v>1.3340218164109394</v>
      </c>
      <c r="E63" s="263">
        <f t="shared" si="8"/>
        <v>12</v>
      </c>
    </row>
    <row r="64" spans="1:5" ht="13.9" customHeight="1" x14ac:dyDescent="0.25">
      <c r="A64" s="516" t="s">
        <v>564</v>
      </c>
      <c r="B64" s="221" t="s">
        <v>586</v>
      </c>
      <c r="C64" s="223">
        <f t="shared" ref="C64:E67" si="9">F17</f>
        <v>0.31970482897384311</v>
      </c>
      <c r="D64" s="224">
        <f t="shared" si="9"/>
        <v>0.87104922300326204</v>
      </c>
      <c r="E64" s="262">
        <f t="shared" si="9"/>
        <v>21</v>
      </c>
    </row>
    <row r="65" spans="1:5" ht="13.9" customHeight="1" x14ac:dyDescent="0.25">
      <c r="A65" s="517"/>
      <c r="B65" s="215" t="s">
        <v>583</v>
      </c>
      <c r="C65" s="13">
        <f t="shared" si="9"/>
        <v>0.48347128953771279</v>
      </c>
      <c r="D65" s="225">
        <f t="shared" si="9"/>
        <v>2.2333842092802936</v>
      </c>
      <c r="E65" s="237">
        <f t="shared" si="9"/>
        <v>22</v>
      </c>
    </row>
    <row r="66" spans="1:5" ht="13.9" customHeight="1" x14ac:dyDescent="0.25">
      <c r="A66" s="517"/>
      <c r="B66" s="215" t="s">
        <v>589</v>
      </c>
      <c r="C66" s="13">
        <f t="shared" si="9"/>
        <v>0.97482539682539682</v>
      </c>
      <c r="D66" s="225">
        <f t="shared" si="9"/>
        <v>0.89403108386060415</v>
      </c>
      <c r="E66" s="237">
        <f t="shared" si="9"/>
        <v>10</v>
      </c>
    </row>
    <row r="67" spans="1:5" ht="13.9" customHeight="1" thickBot="1" x14ac:dyDescent="0.3">
      <c r="A67" s="518"/>
      <c r="B67" s="222" t="s">
        <v>597</v>
      </c>
      <c r="C67" s="196">
        <f t="shared" si="9"/>
        <v>0.48221049077583339</v>
      </c>
      <c r="D67" s="226">
        <f t="shared" si="9"/>
        <v>2.2666116234919924</v>
      </c>
      <c r="E67" s="263">
        <f t="shared" si="9"/>
        <v>5</v>
      </c>
    </row>
    <row r="68" spans="1:5" ht="13.9" customHeight="1" x14ac:dyDescent="0.25">
      <c r="A68" s="516" t="s">
        <v>563</v>
      </c>
      <c r="B68" s="221" t="s">
        <v>645</v>
      </c>
      <c r="C68" s="223">
        <f t="shared" ref="C68:E70" si="10">F22</f>
        <v>0.52975289108910895</v>
      </c>
      <c r="D68" s="224">
        <f t="shared" si="10"/>
        <v>1.8287024355835411</v>
      </c>
      <c r="E68" s="262">
        <f t="shared" si="10"/>
        <v>42</v>
      </c>
    </row>
    <row r="69" spans="1:5" ht="13.9" customHeight="1" x14ac:dyDescent="0.25">
      <c r="A69" s="517"/>
      <c r="B69" s="215" t="s">
        <v>42</v>
      </c>
      <c r="C69" s="13">
        <f t="shared" si="10"/>
        <v>0.2811410839222615</v>
      </c>
      <c r="D69" s="225">
        <f t="shared" si="10"/>
        <v>0.73616143607680229</v>
      </c>
      <c r="E69" s="237">
        <f t="shared" si="10"/>
        <v>14</v>
      </c>
    </row>
    <row r="70" spans="1:5" ht="13.9" customHeight="1" thickBot="1" x14ac:dyDescent="0.3">
      <c r="A70" s="518"/>
      <c r="B70" s="222" t="s">
        <v>240</v>
      </c>
      <c r="C70" s="196">
        <f t="shared" si="10"/>
        <v>0.29404642185850494</v>
      </c>
      <c r="D70" s="227" t="str">
        <f t="shared" si="10"/>
        <v>n/a</v>
      </c>
      <c r="E70" s="263">
        <f t="shared" si="10"/>
        <v>2</v>
      </c>
    </row>
    <row r="71" spans="1:5" ht="13.9" customHeight="1" x14ac:dyDescent="0.25">
      <c r="A71" s="516" t="s">
        <v>12</v>
      </c>
      <c r="B71" s="221" t="s">
        <v>647</v>
      </c>
      <c r="C71" s="223">
        <f t="shared" ref="C71:E73" si="11">F26</f>
        <v>0.81891687625434328</v>
      </c>
      <c r="D71" s="224">
        <f t="shared" si="11"/>
        <v>2.3058583342713224</v>
      </c>
      <c r="E71" s="262">
        <f t="shared" si="11"/>
        <v>32</v>
      </c>
    </row>
    <row r="72" spans="1:5" ht="13.9" customHeight="1" x14ac:dyDescent="0.25">
      <c r="A72" s="517"/>
      <c r="B72" s="215" t="s">
        <v>648</v>
      </c>
      <c r="C72" s="13">
        <f t="shared" si="11"/>
        <v>0.48221049077583339</v>
      </c>
      <c r="D72" s="225">
        <f t="shared" si="11"/>
        <v>1.6060820741413953</v>
      </c>
      <c r="E72" s="237">
        <f t="shared" si="11"/>
        <v>53</v>
      </c>
    </row>
    <row r="73" spans="1:5" ht="13.9" customHeight="1" thickBot="1" x14ac:dyDescent="0.3">
      <c r="A73" s="518"/>
      <c r="B73" s="222" t="s">
        <v>649</v>
      </c>
      <c r="C73" s="196">
        <f t="shared" si="11"/>
        <v>0.28582992421567488</v>
      </c>
      <c r="D73" s="226">
        <f t="shared" si="11"/>
        <v>0.81522216417355942</v>
      </c>
      <c r="E73" s="263">
        <f t="shared" si="11"/>
        <v>44</v>
      </c>
    </row>
    <row r="74" spans="1:5" ht="15" customHeight="1" thickBot="1" x14ac:dyDescent="0.3"/>
    <row r="75" spans="1:5" ht="30" customHeight="1" thickBot="1" x14ac:dyDescent="0.3">
      <c r="A75" s="525" t="s">
        <v>624</v>
      </c>
      <c r="B75" s="511"/>
      <c r="C75" s="228" t="s">
        <v>628</v>
      </c>
      <c r="D75" s="229" t="s">
        <v>629</v>
      </c>
      <c r="E75" s="229" t="s">
        <v>630</v>
      </c>
    </row>
    <row r="76" spans="1:5" ht="15" customHeight="1" thickBot="1" x14ac:dyDescent="0.3">
      <c r="A76" s="516" t="s">
        <v>11</v>
      </c>
      <c r="B76" s="264" t="s">
        <v>631</v>
      </c>
      <c r="C76" s="265">
        <f>I4</f>
        <v>1.33125</v>
      </c>
      <c r="D76" s="266">
        <f>J4</f>
        <v>2.9160040193751291</v>
      </c>
      <c r="E76" s="267">
        <f>K4</f>
        <v>47</v>
      </c>
    </row>
    <row r="77" spans="1:5" x14ac:dyDescent="0.25">
      <c r="A77" s="517"/>
      <c r="B77" s="215" t="s">
        <v>633</v>
      </c>
      <c r="C77" s="13">
        <f t="shared" ref="C77:E78" si="12">I6</f>
        <v>1.33125</v>
      </c>
      <c r="D77" s="225">
        <f t="shared" si="12"/>
        <v>2.9498192735519142</v>
      </c>
      <c r="E77" s="237">
        <f t="shared" si="12"/>
        <v>35</v>
      </c>
    </row>
    <row r="78" spans="1:5" ht="15" customHeight="1" thickBot="1" x14ac:dyDescent="0.3">
      <c r="A78" s="518"/>
      <c r="B78" s="222" t="s">
        <v>634</v>
      </c>
      <c r="C78" s="196">
        <f t="shared" si="12"/>
        <v>1.40305444</v>
      </c>
      <c r="D78" s="226">
        <f t="shared" si="12"/>
        <v>2.8173761946928422</v>
      </c>
      <c r="E78" s="263">
        <f t="shared" si="12"/>
        <v>12</v>
      </c>
    </row>
    <row r="79" spans="1:5" x14ac:dyDescent="0.25">
      <c r="A79" s="516" t="s">
        <v>10</v>
      </c>
      <c r="B79" s="221" t="s">
        <v>636</v>
      </c>
      <c r="C79" s="223">
        <f t="shared" ref="C79:E81" si="13">I9</f>
        <v>0.48617511520737328</v>
      </c>
      <c r="D79" s="224">
        <f t="shared" si="13"/>
        <v>1.1663914250924978</v>
      </c>
      <c r="E79" s="262">
        <f t="shared" si="13"/>
        <v>5</v>
      </c>
    </row>
    <row r="80" spans="1:5" ht="14.45" customHeight="1" x14ac:dyDescent="0.25">
      <c r="A80" s="517"/>
      <c r="B80" s="215" t="s">
        <v>637</v>
      </c>
      <c r="C80" s="13">
        <f t="shared" si="13"/>
        <v>1.93865246449457</v>
      </c>
      <c r="D80" s="225">
        <f t="shared" si="13"/>
        <v>3.1690620584901197</v>
      </c>
      <c r="E80" s="237">
        <f t="shared" si="13"/>
        <v>11</v>
      </c>
    </row>
    <row r="81" spans="1:5" ht="15" customHeight="1" thickBot="1" x14ac:dyDescent="0.3">
      <c r="A81" s="518"/>
      <c r="B81" s="222" t="s">
        <v>638</v>
      </c>
      <c r="C81" s="196">
        <f t="shared" si="13"/>
        <v>1.0723423999999999</v>
      </c>
      <c r="D81" s="226">
        <f t="shared" si="13"/>
        <v>3.1084048110250744</v>
      </c>
      <c r="E81" s="263">
        <f t="shared" si="13"/>
        <v>31</v>
      </c>
    </row>
    <row r="82" spans="1:5" ht="14.45" customHeight="1" x14ac:dyDescent="0.25">
      <c r="A82" s="516" t="s">
        <v>651</v>
      </c>
      <c r="B82" s="221" t="s">
        <v>587</v>
      </c>
      <c r="C82" s="223">
        <f t="shared" ref="C82:E84" si="14">I13</f>
        <v>1.1209320865687951</v>
      </c>
      <c r="D82" s="224">
        <f t="shared" si="14"/>
        <v>2.7839469573987272</v>
      </c>
      <c r="E82" s="262">
        <f t="shared" si="14"/>
        <v>23</v>
      </c>
    </row>
    <row r="83" spans="1:5" x14ac:dyDescent="0.25">
      <c r="A83" s="517"/>
      <c r="B83" s="215" t="s">
        <v>590</v>
      </c>
      <c r="C83" s="13">
        <f t="shared" si="14"/>
        <v>1.5929824561403509</v>
      </c>
      <c r="D83" s="225">
        <f t="shared" si="14"/>
        <v>3.1817045129057768</v>
      </c>
      <c r="E83" s="237">
        <f t="shared" si="14"/>
        <v>17</v>
      </c>
    </row>
    <row r="84" spans="1:5" ht="15" customHeight="1" thickBot="1" x14ac:dyDescent="0.3">
      <c r="A84" s="518"/>
      <c r="B84" s="222" t="s">
        <v>584</v>
      </c>
      <c r="C84" s="196">
        <f t="shared" si="14"/>
        <v>1.0723423999999999</v>
      </c>
      <c r="D84" s="226">
        <f t="shared" si="14"/>
        <v>2.7046331672945958</v>
      </c>
      <c r="E84" s="263">
        <f t="shared" si="14"/>
        <v>7</v>
      </c>
    </row>
    <row r="85" spans="1:5" ht="14.45" customHeight="1" x14ac:dyDescent="0.25">
      <c r="A85" s="516" t="s">
        <v>564</v>
      </c>
      <c r="B85" s="221" t="s">
        <v>586</v>
      </c>
      <c r="C85" s="223">
        <f t="shared" ref="C85:E88" si="15">I17</f>
        <v>1.1209320865687951</v>
      </c>
      <c r="D85" s="224">
        <f t="shared" si="15"/>
        <v>2.3332542906804634</v>
      </c>
      <c r="E85" s="262">
        <f t="shared" si="15"/>
        <v>17</v>
      </c>
    </row>
    <row r="86" spans="1:5" x14ac:dyDescent="0.25">
      <c r="A86" s="517"/>
      <c r="B86" s="215" t="s">
        <v>583</v>
      </c>
      <c r="C86" s="13">
        <f t="shared" si="15"/>
        <v>1.959925063457816</v>
      </c>
      <c r="D86" s="225">
        <f t="shared" si="15"/>
        <v>4.1551942776728099</v>
      </c>
      <c r="E86" s="237">
        <f t="shared" si="15"/>
        <v>21</v>
      </c>
    </row>
    <row r="87" spans="1:5" x14ac:dyDescent="0.25">
      <c r="A87" s="517"/>
      <c r="B87" s="215" t="s">
        <v>589</v>
      </c>
      <c r="C87" s="13">
        <f t="shared" si="15"/>
        <v>0.8147368421052632</v>
      </c>
      <c r="D87" s="225">
        <f t="shared" si="15"/>
        <v>0.93151765706417311</v>
      </c>
      <c r="E87" s="237">
        <f t="shared" si="15"/>
        <v>7</v>
      </c>
    </row>
    <row r="88" spans="1:5" ht="15" customHeight="1" thickBot="1" x14ac:dyDescent="0.3">
      <c r="A88" s="518"/>
      <c r="B88" s="222" t="s">
        <v>597</v>
      </c>
      <c r="C88" s="196">
        <f t="shared" si="15"/>
        <v>1.8035812692425064</v>
      </c>
      <c r="D88" s="226">
        <f t="shared" si="15"/>
        <v>1.8035812692425066</v>
      </c>
      <c r="E88" s="263">
        <f t="shared" si="15"/>
        <v>2</v>
      </c>
    </row>
    <row r="89" spans="1:5" x14ac:dyDescent="0.25">
      <c r="A89" s="516" t="s">
        <v>563</v>
      </c>
      <c r="B89" s="221" t="s">
        <v>645</v>
      </c>
      <c r="C89" s="223">
        <f t="shared" ref="C89:E91" si="16">I22</f>
        <v>1.6212635665019151</v>
      </c>
      <c r="D89" s="224">
        <f t="shared" si="16"/>
        <v>3.5851001252465831</v>
      </c>
      <c r="E89" s="262">
        <f t="shared" si="16"/>
        <v>35</v>
      </c>
    </row>
    <row r="90" spans="1:5" x14ac:dyDescent="0.25">
      <c r="A90" s="517"/>
      <c r="B90" s="215" t="s">
        <v>42</v>
      </c>
      <c r="C90" s="13">
        <f t="shared" si="16"/>
        <v>0.48617511520737328</v>
      </c>
      <c r="D90" s="225">
        <f t="shared" si="16"/>
        <v>0.75760848986506124</v>
      </c>
      <c r="E90" s="237">
        <f t="shared" si="16"/>
        <v>11</v>
      </c>
    </row>
    <row r="91" spans="1:5" ht="15" customHeight="1" thickBot="1" x14ac:dyDescent="0.3">
      <c r="A91" s="518"/>
      <c r="B91" s="222" t="s">
        <v>240</v>
      </c>
      <c r="C91" s="196">
        <f t="shared" si="16"/>
        <v>3.2399911384850131</v>
      </c>
      <c r="D91" s="226">
        <f t="shared" si="16"/>
        <v>3.2399911384850131</v>
      </c>
      <c r="E91" s="263">
        <f t="shared" si="16"/>
        <v>1</v>
      </c>
    </row>
    <row r="92" spans="1:5" ht="14.45" customHeight="1" x14ac:dyDescent="0.25">
      <c r="A92" s="516" t="s">
        <v>12</v>
      </c>
      <c r="B92" s="221" t="s">
        <v>647</v>
      </c>
      <c r="C92" s="223">
        <f t="shared" ref="C92:E94" si="17">I26</f>
        <v>1.9212935826045361</v>
      </c>
      <c r="D92" s="224">
        <f t="shared" si="17"/>
        <v>3.9556704207931435</v>
      </c>
      <c r="E92" s="262">
        <f t="shared" si="17"/>
        <v>26</v>
      </c>
    </row>
    <row r="93" spans="1:5" x14ac:dyDescent="0.25">
      <c r="A93" s="517"/>
      <c r="B93" s="215" t="s">
        <v>648</v>
      </c>
      <c r="C93" s="13">
        <f t="shared" si="17"/>
        <v>1.5105740181268881</v>
      </c>
      <c r="D93" s="225">
        <f t="shared" si="17"/>
        <v>3.0204195685875219</v>
      </c>
      <c r="E93" s="237">
        <f t="shared" si="17"/>
        <v>45</v>
      </c>
    </row>
    <row r="94" spans="1:5" ht="15" customHeight="1" thickBot="1" x14ac:dyDescent="0.3">
      <c r="A94" s="518"/>
      <c r="B94" s="222" t="s">
        <v>649</v>
      </c>
      <c r="C94" s="196">
        <f t="shared" si="17"/>
        <v>1.33125</v>
      </c>
      <c r="D94" s="226">
        <f t="shared" si="17"/>
        <v>3.2104940965352342</v>
      </c>
      <c r="E94" s="263">
        <f t="shared" si="17"/>
        <v>35</v>
      </c>
    </row>
    <row r="95" spans="1:5" ht="15" customHeight="1" thickBot="1" x14ac:dyDescent="0.3"/>
    <row r="96" spans="1:5" ht="28.9" customHeight="1" thickBot="1" x14ac:dyDescent="0.3">
      <c r="A96" s="525" t="s">
        <v>562</v>
      </c>
      <c r="B96" s="511"/>
      <c r="C96" s="228" t="s">
        <v>628</v>
      </c>
      <c r="D96" s="229" t="s">
        <v>629</v>
      </c>
      <c r="E96" s="229" t="s">
        <v>630</v>
      </c>
    </row>
    <row r="97" spans="1:5" ht="15" customHeight="1" thickBot="1" x14ac:dyDescent="0.3">
      <c r="A97" s="519" t="s">
        <v>11</v>
      </c>
      <c r="B97" s="264" t="s">
        <v>631</v>
      </c>
      <c r="C97" s="265">
        <f>L4</f>
        <v>0.12824730379810756</v>
      </c>
      <c r="D97" s="266">
        <f>M4</f>
        <v>7.0871542427435754</v>
      </c>
      <c r="E97" s="267">
        <f>N4</f>
        <v>14</v>
      </c>
    </row>
    <row r="98" spans="1:5" x14ac:dyDescent="0.25">
      <c r="A98" s="520"/>
      <c r="B98" s="268" t="s">
        <v>633</v>
      </c>
      <c r="C98" s="223">
        <f t="shared" ref="C98:E99" si="18">L6</f>
        <v>0.10208563993256134</v>
      </c>
      <c r="D98" s="224">
        <f t="shared" si="18"/>
        <v>1.4136142423389</v>
      </c>
      <c r="E98" s="262">
        <f t="shared" si="18"/>
        <v>12</v>
      </c>
    </row>
    <row r="99" spans="1:5" ht="15" customHeight="1" thickBot="1" x14ac:dyDescent="0.3">
      <c r="A99" s="521"/>
      <c r="B99" s="269" t="s">
        <v>634</v>
      </c>
      <c r="C99" s="197">
        <f t="shared" si="18"/>
        <v>41.128394245171627</v>
      </c>
      <c r="D99" s="227">
        <f t="shared" si="18"/>
        <v>41.128394245171627</v>
      </c>
      <c r="E99" s="263">
        <f t="shared" si="18"/>
        <v>2</v>
      </c>
    </row>
    <row r="100" spans="1:5" x14ac:dyDescent="0.25">
      <c r="A100" s="519" t="s">
        <v>10</v>
      </c>
      <c r="B100" s="221" t="s">
        <v>636</v>
      </c>
      <c r="C100" s="223">
        <f t="shared" ref="C100:E102" si="19">L9</f>
        <v>0.24083813614185784</v>
      </c>
      <c r="D100" s="224">
        <f t="shared" si="19"/>
        <v>0.24083813614185787</v>
      </c>
      <c r="E100" s="262">
        <f t="shared" si="19"/>
        <v>2</v>
      </c>
    </row>
    <row r="101" spans="1:5" x14ac:dyDescent="0.25">
      <c r="A101" s="520"/>
      <c r="B101" s="215" t="s">
        <v>637</v>
      </c>
      <c r="C101" s="13">
        <f t="shared" si="19"/>
        <v>0.12625825324675324</v>
      </c>
      <c r="D101" s="225">
        <f t="shared" si="19"/>
        <v>0.12625825324675324</v>
      </c>
      <c r="E101" s="237">
        <f t="shared" si="19"/>
        <v>2</v>
      </c>
    </row>
    <row r="102" spans="1:5" ht="15" customHeight="1" thickBot="1" x14ac:dyDescent="0.3">
      <c r="A102" s="521"/>
      <c r="B102" s="222" t="s">
        <v>638</v>
      </c>
      <c r="C102" s="196">
        <f t="shared" si="19"/>
        <v>0.12824730379810756</v>
      </c>
      <c r="D102" s="226">
        <f t="shared" si="19"/>
        <v>9.848596661963283</v>
      </c>
      <c r="E102" s="263">
        <f t="shared" si="19"/>
        <v>10</v>
      </c>
    </row>
    <row r="103" spans="1:5" x14ac:dyDescent="0.25">
      <c r="A103" s="516" t="s">
        <v>651</v>
      </c>
      <c r="B103" s="221" t="s">
        <v>587</v>
      </c>
      <c r="C103" s="223">
        <f t="shared" ref="C103:E105" si="20">L13</f>
        <v>0.14420347058823529</v>
      </c>
      <c r="D103" s="224">
        <f t="shared" si="20"/>
        <v>0.42616527021431283</v>
      </c>
      <c r="E103" s="262">
        <f t="shared" si="20"/>
        <v>9</v>
      </c>
    </row>
    <row r="104" spans="1:5" x14ac:dyDescent="0.25">
      <c r="A104" s="517"/>
      <c r="B104" s="215" t="s">
        <v>590</v>
      </c>
      <c r="C104" s="13">
        <f t="shared" si="20"/>
        <v>7.698370464584775E-2</v>
      </c>
      <c r="D104" s="225">
        <f t="shared" si="20"/>
        <v>3.9121679916203091</v>
      </c>
      <c r="E104" s="237">
        <f t="shared" si="20"/>
        <v>4</v>
      </c>
    </row>
    <row r="105" spans="1:5" ht="15" customHeight="1" thickBot="1" x14ac:dyDescent="0.3">
      <c r="A105" s="518"/>
      <c r="B105" s="222" t="s">
        <v>584</v>
      </c>
      <c r="C105" s="197">
        <f t="shared" si="20"/>
        <v>79.736000000000004</v>
      </c>
      <c r="D105" s="227">
        <f t="shared" si="20"/>
        <v>79.736000000000004</v>
      </c>
      <c r="E105" s="263">
        <f t="shared" si="20"/>
        <v>1</v>
      </c>
    </row>
    <row r="106" spans="1:5" x14ac:dyDescent="0.25">
      <c r="A106" s="516" t="s">
        <v>564</v>
      </c>
      <c r="B106" s="221" t="s">
        <v>586</v>
      </c>
      <c r="C106" s="223">
        <f t="shared" ref="C106:E109" si="21">L17</f>
        <v>0.10208563993256134</v>
      </c>
      <c r="D106" s="224">
        <f t="shared" si="21"/>
        <v>0.13440879336257158</v>
      </c>
      <c r="E106" s="262">
        <f t="shared" si="21"/>
        <v>6</v>
      </c>
    </row>
    <row r="107" spans="1:5" x14ac:dyDescent="0.25">
      <c r="A107" s="517"/>
      <c r="B107" s="215" t="s">
        <v>583</v>
      </c>
      <c r="C107" s="13">
        <f t="shared" si="21"/>
        <v>0.29210173529411765</v>
      </c>
      <c r="D107" s="225">
        <f t="shared" si="21"/>
        <v>3.1060050609918175</v>
      </c>
      <c r="E107" s="237">
        <f t="shared" si="21"/>
        <v>6</v>
      </c>
    </row>
    <row r="108" spans="1:5" x14ac:dyDescent="0.25">
      <c r="A108" s="517"/>
      <c r="B108" s="215" t="s">
        <v>589</v>
      </c>
      <c r="C108" s="13">
        <f t="shared" si="21"/>
        <v>39.888838136141864</v>
      </c>
      <c r="D108" s="225">
        <f t="shared" si="21"/>
        <v>39.888838136141857</v>
      </c>
      <c r="E108" s="237">
        <f t="shared" si="21"/>
        <v>2</v>
      </c>
    </row>
    <row r="109" spans="1:5" ht="15" customHeight="1" thickBot="1" x14ac:dyDescent="0.3">
      <c r="A109" s="518"/>
      <c r="B109" s="222" t="s">
        <v>597</v>
      </c>
      <c r="C109" s="197" t="str">
        <f t="shared" si="21"/>
        <v>n/a</v>
      </c>
      <c r="D109" s="227" t="str">
        <f t="shared" si="21"/>
        <v>n/a</v>
      </c>
      <c r="E109" s="263">
        <f t="shared" si="21"/>
        <v>0</v>
      </c>
    </row>
    <row r="110" spans="1:5" x14ac:dyDescent="0.25">
      <c r="A110" s="516" t="s">
        <v>563</v>
      </c>
      <c r="B110" s="221" t="s">
        <v>645</v>
      </c>
      <c r="C110" s="223">
        <f t="shared" ref="C110:E112" si="22">L22</f>
        <v>0.34741362139326759</v>
      </c>
      <c r="D110" s="224">
        <f t="shared" si="22"/>
        <v>10.999669240271373</v>
      </c>
      <c r="E110" s="262">
        <f t="shared" si="22"/>
        <v>9</v>
      </c>
    </row>
    <row r="111" spans="1:5" x14ac:dyDescent="0.25">
      <c r="A111" s="517"/>
      <c r="B111" s="215" t="s">
        <v>42</v>
      </c>
      <c r="C111" s="13">
        <f t="shared" si="22"/>
        <v>3.6333847829880667E-2</v>
      </c>
      <c r="D111" s="225">
        <f t="shared" si="22"/>
        <v>4.4627247193539825E-2</v>
      </c>
      <c r="E111" s="237">
        <f t="shared" si="22"/>
        <v>5</v>
      </c>
    </row>
    <row r="112" spans="1:5" ht="15" customHeight="1" thickBot="1" x14ac:dyDescent="0.3">
      <c r="A112" s="518"/>
      <c r="B112" s="222" t="s">
        <v>240</v>
      </c>
      <c r="C112" s="197" t="str">
        <f t="shared" si="22"/>
        <v>n/a</v>
      </c>
      <c r="D112" s="227" t="str">
        <f t="shared" si="22"/>
        <v>n/a</v>
      </c>
      <c r="E112" s="263">
        <f t="shared" si="22"/>
        <v>0</v>
      </c>
    </row>
    <row r="113" spans="1:5" x14ac:dyDescent="0.25">
      <c r="A113" s="516" t="s">
        <v>12</v>
      </c>
      <c r="B113" s="221" t="s">
        <v>647</v>
      </c>
      <c r="C113" s="223">
        <f t="shared" ref="C113:E115" si="23">L26</f>
        <v>0.10208563993256134</v>
      </c>
      <c r="D113" s="224">
        <f t="shared" si="23"/>
        <v>8.3217404856190882</v>
      </c>
      <c r="E113" s="262">
        <f t="shared" si="23"/>
        <v>10</v>
      </c>
    </row>
    <row r="114" spans="1:5" x14ac:dyDescent="0.25">
      <c r="A114" s="517"/>
      <c r="B114" s="215" t="s">
        <v>648</v>
      </c>
      <c r="C114" s="13">
        <f t="shared" si="23"/>
        <v>0.14420347058823529</v>
      </c>
      <c r="D114" s="225">
        <f t="shared" si="23"/>
        <v>7.6253269467308433</v>
      </c>
      <c r="E114" s="237">
        <f t="shared" si="23"/>
        <v>13</v>
      </c>
    </row>
    <row r="115" spans="1:5" ht="15" customHeight="1" thickBot="1" x14ac:dyDescent="0.3">
      <c r="A115" s="518"/>
      <c r="B115" s="222" t="s">
        <v>649</v>
      </c>
      <c r="C115" s="196">
        <f t="shared" si="23"/>
        <v>0.15241991711229946</v>
      </c>
      <c r="D115" s="226">
        <f t="shared" si="23"/>
        <v>9.864328057889761</v>
      </c>
      <c r="E115" s="263">
        <f t="shared" si="23"/>
        <v>10</v>
      </c>
    </row>
    <row r="116" spans="1:5" ht="15" customHeight="1" thickBot="1" x14ac:dyDescent="0.3"/>
    <row r="117" spans="1:5" ht="30" customHeight="1" thickBot="1" x14ac:dyDescent="0.3">
      <c r="A117" s="525" t="s">
        <v>625</v>
      </c>
      <c r="B117" s="511"/>
      <c r="C117" s="228" t="s">
        <v>628</v>
      </c>
      <c r="D117" s="273" t="s">
        <v>629</v>
      </c>
      <c r="E117" s="272" t="s">
        <v>630</v>
      </c>
    </row>
    <row r="118" spans="1:5" ht="15" customHeight="1" thickBot="1" x14ac:dyDescent="0.3">
      <c r="A118" s="524" t="s">
        <v>11</v>
      </c>
      <c r="B118" s="264" t="s">
        <v>631</v>
      </c>
      <c r="C118" s="270">
        <f>O4</f>
        <v>3575.547866205306</v>
      </c>
      <c r="D118" s="270">
        <f>P4</f>
        <v>18181.973900985908</v>
      </c>
      <c r="E118" s="274">
        <f>Q4</f>
        <v>41</v>
      </c>
    </row>
    <row r="119" spans="1:5" x14ac:dyDescent="0.25">
      <c r="A119" s="517"/>
      <c r="B119" s="215" t="s">
        <v>633</v>
      </c>
      <c r="C119" s="271">
        <f t="shared" ref="C119:E120" si="24">O6</f>
        <v>4772.0607837909893</v>
      </c>
      <c r="D119" s="271">
        <f t="shared" si="24"/>
        <v>13943.408795133497</v>
      </c>
      <c r="E119" s="275">
        <f t="shared" si="24"/>
        <v>25</v>
      </c>
    </row>
    <row r="120" spans="1:5" ht="15" customHeight="1" thickBot="1" x14ac:dyDescent="0.3">
      <c r="A120" s="517"/>
      <c r="B120" s="254" t="s">
        <v>634</v>
      </c>
      <c r="C120" s="271">
        <f t="shared" si="24"/>
        <v>2523.6537486719762</v>
      </c>
      <c r="D120" s="271">
        <f t="shared" si="24"/>
        <v>24804.731878880313</v>
      </c>
      <c r="E120" s="275">
        <f t="shared" si="24"/>
        <v>16</v>
      </c>
    </row>
    <row r="121" spans="1:5" x14ac:dyDescent="0.25">
      <c r="A121" s="519" t="s">
        <v>10</v>
      </c>
      <c r="B121" s="259" t="s">
        <v>636</v>
      </c>
      <c r="C121" s="234">
        <f t="shared" ref="C121:E123" si="25">O9</f>
        <v>6496.080152394341</v>
      </c>
      <c r="D121" s="234">
        <f t="shared" si="25"/>
        <v>36331.653461280948</v>
      </c>
      <c r="E121" s="276">
        <f t="shared" si="25"/>
        <v>6</v>
      </c>
    </row>
    <row r="122" spans="1:5" x14ac:dyDescent="0.25">
      <c r="A122" s="520"/>
      <c r="B122" s="258" t="s">
        <v>637</v>
      </c>
      <c r="C122" s="271">
        <f t="shared" si="25"/>
        <v>1670.5695165268869</v>
      </c>
      <c r="D122" s="271">
        <f t="shared" si="25"/>
        <v>4097.3014501022735</v>
      </c>
      <c r="E122" s="275">
        <f t="shared" si="25"/>
        <v>11</v>
      </c>
    </row>
    <row r="123" spans="1:5" ht="15" customHeight="1" thickBot="1" x14ac:dyDescent="0.3">
      <c r="A123" s="521"/>
      <c r="B123" s="260" t="s">
        <v>638</v>
      </c>
      <c r="C123" s="235">
        <f t="shared" si="25"/>
        <v>4079.4405997693193</v>
      </c>
      <c r="D123" s="235">
        <f t="shared" si="25"/>
        <v>20100.028884233816</v>
      </c>
      <c r="E123" s="277">
        <f t="shared" si="25"/>
        <v>24</v>
      </c>
    </row>
    <row r="124" spans="1:5" x14ac:dyDescent="0.25">
      <c r="A124" s="516" t="s">
        <v>651</v>
      </c>
      <c r="B124" s="221" t="s">
        <v>587</v>
      </c>
      <c r="C124" s="234">
        <f t="shared" ref="C124:E126" si="26">O13</f>
        <v>1689.8302128088981</v>
      </c>
      <c r="D124" s="234">
        <f t="shared" si="26"/>
        <v>23732.517733253324</v>
      </c>
      <c r="E124" s="276">
        <f t="shared" si="26"/>
        <v>22</v>
      </c>
    </row>
    <row r="125" spans="1:5" x14ac:dyDescent="0.25">
      <c r="A125" s="517"/>
      <c r="B125" s="215" t="s">
        <v>590</v>
      </c>
      <c r="C125" s="271">
        <f t="shared" si="26"/>
        <v>5285.393258426966</v>
      </c>
      <c r="D125" s="271">
        <f t="shared" si="26"/>
        <v>11652.741877938273</v>
      </c>
      <c r="E125" s="275">
        <f t="shared" si="26"/>
        <v>11</v>
      </c>
    </row>
    <row r="126" spans="1:5" ht="15" customHeight="1" thickBot="1" x14ac:dyDescent="0.3">
      <c r="A126" s="518"/>
      <c r="B126" s="222" t="s">
        <v>584</v>
      </c>
      <c r="C126" s="235">
        <f t="shared" si="26"/>
        <v>4071.6111662613157</v>
      </c>
      <c r="D126" s="235">
        <f t="shared" si="26"/>
        <v>11895.672393941024</v>
      </c>
      <c r="E126" s="277">
        <f t="shared" si="26"/>
        <v>8</v>
      </c>
    </row>
    <row r="127" spans="1:5" x14ac:dyDescent="0.25">
      <c r="A127" s="516" t="s">
        <v>564</v>
      </c>
      <c r="B127" s="221" t="s">
        <v>586</v>
      </c>
      <c r="C127" s="234">
        <f t="shared" ref="C127:E130" si="27">O17</f>
        <v>4459.0534147579474</v>
      </c>
      <c r="D127" s="234">
        <f t="shared" si="27"/>
        <v>22812.508835932505</v>
      </c>
      <c r="E127" s="276">
        <f t="shared" si="27"/>
        <v>14</v>
      </c>
    </row>
    <row r="128" spans="1:5" x14ac:dyDescent="0.25">
      <c r="A128" s="517"/>
      <c r="B128" s="215" t="s">
        <v>583</v>
      </c>
      <c r="C128" s="271">
        <f t="shared" si="27"/>
        <v>1590.8775516151345</v>
      </c>
      <c r="D128" s="271">
        <f t="shared" si="27"/>
        <v>14051.963482091023</v>
      </c>
      <c r="E128" s="275">
        <f t="shared" si="27"/>
        <v>16</v>
      </c>
    </row>
    <row r="129" spans="1:5" x14ac:dyDescent="0.25">
      <c r="A129" s="517"/>
      <c r="B129" s="215" t="s">
        <v>589</v>
      </c>
      <c r="C129" s="271">
        <f t="shared" si="27"/>
        <v>5697.0610399397137</v>
      </c>
      <c r="D129" s="271">
        <f t="shared" si="27"/>
        <v>21211.601371006032</v>
      </c>
      <c r="E129" s="275">
        <f t="shared" si="27"/>
        <v>9</v>
      </c>
    </row>
    <row r="130" spans="1:5" ht="15" customHeight="1" thickBot="1" x14ac:dyDescent="0.3">
      <c r="A130" s="518"/>
      <c r="B130" s="222" t="s">
        <v>597</v>
      </c>
      <c r="C130" s="235">
        <f t="shared" si="27"/>
        <v>5174.98909242836</v>
      </c>
      <c r="D130" s="235">
        <f t="shared" si="27"/>
        <v>5174.9890924283609</v>
      </c>
      <c r="E130" s="277">
        <f t="shared" si="27"/>
        <v>2</v>
      </c>
    </row>
    <row r="131" spans="1:5" x14ac:dyDescent="0.25">
      <c r="A131" s="516" t="s">
        <v>563</v>
      </c>
      <c r="B131" s="221" t="s">
        <v>645</v>
      </c>
      <c r="C131" s="234">
        <f t="shared" ref="C131:E133" si="28">O22</f>
        <v>2963.2653061224491</v>
      </c>
      <c r="D131" s="234">
        <f t="shared" si="28"/>
        <v>9021.0432726001363</v>
      </c>
      <c r="E131" s="276">
        <f t="shared" si="28"/>
        <v>27</v>
      </c>
    </row>
    <row r="132" spans="1:5" x14ac:dyDescent="0.25">
      <c r="A132" s="517"/>
      <c r="B132" s="215" t="s">
        <v>42</v>
      </c>
      <c r="C132" s="271">
        <f t="shared" si="28"/>
        <v>5147.9312162627266</v>
      </c>
      <c r="D132" s="271">
        <f t="shared" si="28"/>
        <v>40961.898616280167</v>
      </c>
      <c r="E132" s="275">
        <f t="shared" si="28"/>
        <v>12</v>
      </c>
    </row>
    <row r="133" spans="1:5" ht="15" customHeight="1" thickBot="1" x14ac:dyDescent="0.3">
      <c r="A133" s="518"/>
      <c r="B133" s="222" t="s">
        <v>240</v>
      </c>
      <c r="C133" s="235">
        <f t="shared" si="28"/>
        <v>5174.98909242836</v>
      </c>
      <c r="D133" s="235">
        <f t="shared" si="28"/>
        <v>5174.9890924283609</v>
      </c>
      <c r="E133" s="277">
        <f t="shared" si="28"/>
        <v>2</v>
      </c>
    </row>
    <row r="134" spans="1:5" x14ac:dyDescent="0.25">
      <c r="A134" s="516" t="s">
        <v>12</v>
      </c>
      <c r="B134" s="221" t="s">
        <v>647</v>
      </c>
      <c r="C134" s="234">
        <f t="shared" ref="C134:E136" si="29">O26</f>
        <v>2963.2653061224491</v>
      </c>
      <c r="D134" s="234">
        <f t="shared" si="29"/>
        <v>19439.379459524262</v>
      </c>
      <c r="E134" s="276">
        <f t="shared" si="29"/>
        <v>37</v>
      </c>
    </row>
    <row r="135" spans="1:5" x14ac:dyDescent="0.25">
      <c r="A135" s="517"/>
      <c r="B135" s="215" t="s">
        <v>648</v>
      </c>
      <c r="C135" s="271">
        <f t="shared" si="29"/>
        <v>3435.4514807699279</v>
      </c>
      <c r="D135" s="271">
        <f t="shared" si="29"/>
        <v>17315.660285867452</v>
      </c>
      <c r="E135" s="275">
        <f t="shared" si="29"/>
        <v>38</v>
      </c>
    </row>
    <row r="136" spans="1:5" ht="15" customHeight="1" thickBot="1" x14ac:dyDescent="0.3">
      <c r="A136" s="518"/>
      <c r="B136" s="222" t="s">
        <v>649</v>
      </c>
      <c r="C136" s="235">
        <f t="shared" si="29"/>
        <v>4245.4854943753699</v>
      </c>
      <c r="D136" s="235">
        <f t="shared" si="29"/>
        <v>16532.316168688722</v>
      </c>
      <c r="E136" s="277">
        <f t="shared" si="29"/>
        <v>28</v>
      </c>
    </row>
    <row r="137" spans="1:5" ht="15" customHeight="1" thickBot="1" x14ac:dyDescent="0.3"/>
    <row r="138" spans="1:5" ht="28.9" customHeight="1" thickBot="1" x14ac:dyDescent="0.3">
      <c r="A138" s="525" t="s">
        <v>626</v>
      </c>
      <c r="B138" s="511"/>
      <c r="C138" s="228" t="s">
        <v>628</v>
      </c>
      <c r="D138" s="273" t="s">
        <v>629</v>
      </c>
      <c r="E138" s="272" t="s">
        <v>630</v>
      </c>
    </row>
    <row r="139" spans="1:5" ht="15" customHeight="1" thickBot="1" x14ac:dyDescent="0.3">
      <c r="A139" s="524" t="s">
        <v>11</v>
      </c>
      <c r="B139" s="264" t="s">
        <v>631</v>
      </c>
      <c r="C139" s="270">
        <f>R4</f>
        <v>482.32273625495225</v>
      </c>
      <c r="D139" s="270">
        <f>S4</f>
        <v>5483.2526019687411</v>
      </c>
      <c r="E139" s="274">
        <f>T4</f>
        <v>66</v>
      </c>
    </row>
    <row r="140" spans="1:5" x14ac:dyDescent="0.25">
      <c r="A140" s="517"/>
      <c r="B140" s="215" t="s">
        <v>633</v>
      </c>
      <c r="C140" s="271">
        <f t="shared" ref="C140:E141" si="30">R6</f>
        <v>419.0232008476188</v>
      </c>
      <c r="D140" s="271">
        <f t="shared" si="30"/>
        <v>6052.5181282891399</v>
      </c>
      <c r="E140" s="275">
        <f t="shared" si="30"/>
        <v>51</v>
      </c>
    </row>
    <row r="141" spans="1:5" ht="15" customHeight="1" thickBot="1" x14ac:dyDescent="0.3">
      <c r="A141" s="517"/>
      <c r="B141" s="254" t="s">
        <v>634</v>
      </c>
      <c r="C141" s="271">
        <f t="shared" si="30"/>
        <v>1219.148089171975</v>
      </c>
      <c r="D141" s="271">
        <f t="shared" si="30"/>
        <v>3547.7498124793801</v>
      </c>
      <c r="E141" s="275">
        <f t="shared" si="30"/>
        <v>15</v>
      </c>
    </row>
    <row r="142" spans="1:5" x14ac:dyDescent="0.25">
      <c r="A142" s="516" t="s">
        <v>10</v>
      </c>
      <c r="B142" s="221" t="s">
        <v>636</v>
      </c>
      <c r="C142" s="234">
        <f t="shared" ref="C142:E144" si="31">R9</f>
        <v>574.28677287884398</v>
      </c>
      <c r="D142" s="234">
        <f t="shared" si="31"/>
        <v>2649.9803527777531</v>
      </c>
      <c r="E142" s="276">
        <f t="shared" si="31"/>
        <v>9</v>
      </c>
    </row>
    <row r="143" spans="1:5" x14ac:dyDescent="0.25">
      <c r="A143" s="517"/>
      <c r="B143" s="258" t="s">
        <v>637</v>
      </c>
      <c r="C143" s="271">
        <f t="shared" si="31"/>
        <v>456.06868773381291</v>
      </c>
      <c r="D143" s="271">
        <f t="shared" si="31"/>
        <v>1185.8191605273498</v>
      </c>
      <c r="E143" s="275">
        <f t="shared" si="31"/>
        <v>16</v>
      </c>
    </row>
    <row r="144" spans="1:5" ht="15" customHeight="1" thickBot="1" x14ac:dyDescent="0.3">
      <c r="A144" s="518"/>
      <c r="B144" s="260" t="s">
        <v>638</v>
      </c>
      <c r="C144" s="235">
        <f t="shared" si="31"/>
        <v>471.53129788989742</v>
      </c>
      <c r="D144" s="235">
        <f t="shared" si="31"/>
        <v>7782.2376094268175</v>
      </c>
      <c r="E144" s="277">
        <f t="shared" si="31"/>
        <v>41</v>
      </c>
    </row>
    <row r="145" spans="1:5" x14ac:dyDescent="0.25">
      <c r="A145" s="516" t="s">
        <v>651</v>
      </c>
      <c r="B145" s="221" t="s">
        <v>587</v>
      </c>
      <c r="C145" s="234">
        <f t="shared" ref="C145:E147" si="32">R13</f>
        <v>567.75563133738115</v>
      </c>
      <c r="D145" s="234">
        <f t="shared" si="32"/>
        <v>9854.1436361043852</v>
      </c>
      <c r="E145" s="276">
        <f t="shared" si="32"/>
        <v>32</v>
      </c>
    </row>
    <row r="146" spans="1:5" x14ac:dyDescent="0.25">
      <c r="A146" s="517"/>
      <c r="B146" s="215" t="s">
        <v>590</v>
      </c>
      <c r="C146" s="271">
        <f t="shared" si="32"/>
        <v>202.89325785704139</v>
      </c>
      <c r="D146" s="271">
        <f t="shared" si="32"/>
        <v>879.77810470284351</v>
      </c>
      <c r="E146" s="275">
        <f t="shared" si="32"/>
        <v>19</v>
      </c>
    </row>
    <row r="147" spans="1:5" ht="15" customHeight="1" thickBot="1" x14ac:dyDescent="0.3">
      <c r="A147" s="518"/>
      <c r="B147" s="222" t="s">
        <v>584</v>
      </c>
      <c r="C147" s="235">
        <f t="shared" si="32"/>
        <v>1180</v>
      </c>
      <c r="D147" s="235">
        <f t="shared" si="32"/>
        <v>1989.7527590161744</v>
      </c>
      <c r="E147" s="277">
        <f t="shared" si="32"/>
        <v>15</v>
      </c>
    </row>
    <row r="148" spans="1:5" x14ac:dyDescent="0.25">
      <c r="A148" s="516" t="s">
        <v>564</v>
      </c>
      <c r="B148" s="221" t="s">
        <v>586</v>
      </c>
      <c r="C148" s="234">
        <f t="shared" ref="C148:E151" si="33">R17</f>
        <v>419.0232008476188</v>
      </c>
      <c r="D148" s="234">
        <f t="shared" si="33"/>
        <v>2464.7761104199435</v>
      </c>
      <c r="E148" s="276">
        <f t="shared" si="33"/>
        <v>17</v>
      </c>
    </row>
    <row r="149" spans="1:5" x14ac:dyDescent="0.25">
      <c r="A149" s="517"/>
      <c r="B149" s="215" t="s">
        <v>583</v>
      </c>
      <c r="C149" s="271">
        <f t="shared" si="33"/>
        <v>313.50224254452303</v>
      </c>
      <c r="D149" s="271">
        <f t="shared" si="33"/>
        <v>8635.7672525037415</v>
      </c>
      <c r="E149" s="275">
        <f t="shared" si="33"/>
        <v>33</v>
      </c>
    </row>
    <row r="150" spans="1:5" x14ac:dyDescent="0.25">
      <c r="A150" s="517"/>
      <c r="B150" s="215" t="s">
        <v>589</v>
      </c>
      <c r="C150" s="271">
        <f t="shared" si="33"/>
        <v>786.72246616901521</v>
      </c>
      <c r="D150" s="271">
        <f t="shared" si="33"/>
        <v>1957.1059259934657</v>
      </c>
      <c r="E150" s="275">
        <f t="shared" si="33"/>
        <v>10</v>
      </c>
    </row>
    <row r="151" spans="1:5" ht="15" customHeight="1" thickBot="1" x14ac:dyDescent="0.3">
      <c r="A151" s="518"/>
      <c r="B151" s="222" t="s">
        <v>597</v>
      </c>
      <c r="C151" s="235">
        <f t="shared" si="33"/>
        <v>2064.8294297280131</v>
      </c>
      <c r="D151" s="235">
        <f t="shared" si="33"/>
        <v>2573.6832100399511</v>
      </c>
      <c r="E151" s="277">
        <f t="shared" si="33"/>
        <v>6</v>
      </c>
    </row>
    <row r="152" spans="1:5" x14ac:dyDescent="0.25">
      <c r="A152" s="516" t="s">
        <v>563</v>
      </c>
      <c r="B152" s="221" t="s">
        <v>645</v>
      </c>
      <c r="C152" s="234">
        <f t="shared" ref="C152:E154" si="34">R22</f>
        <v>387.60667008351226</v>
      </c>
      <c r="D152" s="234">
        <f t="shared" si="34"/>
        <v>6260.7405233439022</v>
      </c>
      <c r="E152" s="276">
        <f t="shared" si="34"/>
        <v>50</v>
      </c>
    </row>
    <row r="153" spans="1:5" x14ac:dyDescent="0.25">
      <c r="A153" s="517"/>
      <c r="B153" s="215" t="s">
        <v>42</v>
      </c>
      <c r="C153" s="271">
        <f t="shared" si="34"/>
        <v>674.37379576107901</v>
      </c>
      <c r="D153" s="271">
        <f t="shared" si="34"/>
        <v>2945.6207823491131</v>
      </c>
      <c r="E153" s="275">
        <f t="shared" si="34"/>
        <v>15</v>
      </c>
    </row>
    <row r="154" spans="1:5" ht="15" customHeight="1" thickBot="1" x14ac:dyDescent="0.3">
      <c r="A154" s="518"/>
      <c r="B154" s="222" t="s">
        <v>240</v>
      </c>
      <c r="C154" s="235">
        <f t="shared" si="34"/>
        <v>4673.3338275050437</v>
      </c>
      <c r="D154" s="235">
        <f t="shared" si="34"/>
        <v>4673.3338275050437</v>
      </c>
      <c r="E154" s="277">
        <f t="shared" si="34"/>
        <v>1</v>
      </c>
    </row>
    <row r="155" spans="1:5" x14ac:dyDescent="0.25">
      <c r="A155" s="516" t="s">
        <v>12</v>
      </c>
      <c r="B155" s="221" t="s">
        <v>647</v>
      </c>
      <c r="C155" s="234">
        <f t="shared" ref="C155:E157" si="35">R26</f>
        <v>658.72879464285711</v>
      </c>
      <c r="D155" s="234">
        <f t="shared" si="35"/>
        <v>10548.03757170529</v>
      </c>
      <c r="E155" s="276">
        <f t="shared" si="35"/>
        <v>31</v>
      </c>
    </row>
    <row r="156" spans="1:5" x14ac:dyDescent="0.25">
      <c r="A156" s="517"/>
      <c r="B156" s="215" t="s">
        <v>648</v>
      </c>
      <c r="C156" s="271">
        <f t="shared" si="35"/>
        <v>419.0232008476188</v>
      </c>
      <c r="D156" s="271">
        <f t="shared" si="35"/>
        <v>5619.9570356935346</v>
      </c>
      <c r="E156" s="275">
        <f t="shared" si="35"/>
        <v>61</v>
      </c>
    </row>
    <row r="157" spans="1:5" ht="15" customHeight="1" thickBot="1" x14ac:dyDescent="0.3">
      <c r="A157" s="518"/>
      <c r="B157" s="222" t="s">
        <v>649</v>
      </c>
      <c r="C157" s="235">
        <f t="shared" si="35"/>
        <v>471.53129788989742</v>
      </c>
      <c r="D157" s="235">
        <f t="shared" si="35"/>
        <v>6173.5001773304584</v>
      </c>
      <c r="E157" s="277">
        <f t="shared" si="35"/>
        <v>49</v>
      </c>
    </row>
    <row r="158" spans="1:5" ht="15" customHeight="1" thickBot="1" x14ac:dyDescent="0.3"/>
    <row r="159" spans="1:5" ht="28.9" customHeight="1" thickBot="1" x14ac:dyDescent="0.3">
      <c r="A159" s="525" t="s">
        <v>34</v>
      </c>
      <c r="B159" s="511"/>
      <c r="C159" s="228" t="s">
        <v>628</v>
      </c>
      <c r="D159" s="273" t="s">
        <v>629</v>
      </c>
      <c r="E159" s="272" t="s">
        <v>630</v>
      </c>
    </row>
    <row r="160" spans="1:5" ht="15" customHeight="1" thickBot="1" x14ac:dyDescent="0.3">
      <c r="A160" s="516" t="s">
        <v>11</v>
      </c>
      <c r="B160" s="264" t="s">
        <v>631</v>
      </c>
      <c r="C160" s="265">
        <f>U4</f>
        <v>1.1640735593775156</v>
      </c>
      <c r="D160" s="265">
        <f>V4</f>
        <v>1.5762862058440392</v>
      </c>
      <c r="E160" s="274">
        <f>W4</f>
        <v>44</v>
      </c>
    </row>
    <row r="161" spans="1:5" x14ac:dyDescent="0.25">
      <c r="A161" s="517"/>
      <c r="B161" s="215" t="s">
        <v>633</v>
      </c>
      <c r="C161" s="13">
        <f t="shared" ref="C161:E162" si="36">U6</f>
        <v>1.0993652525186981</v>
      </c>
      <c r="D161" s="13">
        <f t="shared" si="36"/>
        <v>1.632121101651127</v>
      </c>
      <c r="E161" s="275">
        <f t="shared" si="36"/>
        <v>34</v>
      </c>
    </row>
    <row r="162" spans="1:5" ht="15" customHeight="1" thickBot="1" x14ac:dyDescent="0.3">
      <c r="A162" s="518"/>
      <c r="B162" s="254" t="s">
        <v>634</v>
      </c>
      <c r="C162" s="13">
        <f t="shared" si="36"/>
        <v>1.6198021143968986</v>
      </c>
      <c r="D162" s="13">
        <f t="shared" si="36"/>
        <v>1.3864475600999397</v>
      </c>
      <c r="E162" s="275">
        <f t="shared" si="36"/>
        <v>10</v>
      </c>
    </row>
    <row r="163" spans="1:5" x14ac:dyDescent="0.25">
      <c r="A163" s="519" t="s">
        <v>10</v>
      </c>
      <c r="B163" s="268" t="s">
        <v>636</v>
      </c>
      <c r="C163" s="223">
        <f t="shared" ref="C163:E165" si="37">U9</f>
        <v>1.8974408061747736</v>
      </c>
      <c r="D163" s="223">
        <f t="shared" si="37"/>
        <v>1.8253717206874531</v>
      </c>
      <c r="E163" s="276">
        <f t="shared" si="37"/>
        <v>6</v>
      </c>
    </row>
    <row r="164" spans="1:5" x14ac:dyDescent="0.25">
      <c r="A164" s="520"/>
      <c r="B164" s="289" t="s">
        <v>637</v>
      </c>
      <c r="C164" s="13">
        <f t="shared" si="37"/>
        <v>0.80423280423280419</v>
      </c>
      <c r="D164" s="13">
        <f t="shared" si="37"/>
        <v>1.4988028891908434</v>
      </c>
      <c r="E164" s="275">
        <f t="shared" si="37"/>
        <v>13</v>
      </c>
    </row>
    <row r="165" spans="1:5" ht="15" customHeight="1" thickBot="1" x14ac:dyDescent="0.3">
      <c r="A165" s="521"/>
      <c r="B165" s="290" t="s">
        <v>638</v>
      </c>
      <c r="C165" s="196">
        <f t="shared" si="37"/>
        <v>0.97210451516634055</v>
      </c>
      <c r="D165" s="196">
        <f t="shared" si="37"/>
        <v>1.5567970069412818</v>
      </c>
      <c r="E165" s="277">
        <f t="shared" si="37"/>
        <v>25</v>
      </c>
    </row>
    <row r="166" spans="1:5" x14ac:dyDescent="0.25">
      <c r="A166" s="527" t="s">
        <v>651</v>
      </c>
      <c r="B166" s="268" t="s">
        <v>587</v>
      </c>
      <c r="C166" s="223">
        <f t="shared" ref="C166:E168" si="38">U13</f>
        <v>1.197129437050968</v>
      </c>
      <c r="D166" s="223">
        <f t="shared" si="38"/>
        <v>1.3758171858235466</v>
      </c>
      <c r="E166" s="276">
        <f t="shared" si="38"/>
        <v>21</v>
      </c>
    </row>
    <row r="167" spans="1:5" x14ac:dyDescent="0.25">
      <c r="A167" s="520"/>
      <c r="B167" s="291" t="s">
        <v>590</v>
      </c>
      <c r="C167" s="13">
        <f t="shared" si="38"/>
        <v>1.832535885167464</v>
      </c>
      <c r="D167" s="13">
        <f t="shared" si="38"/>
        <v>2.274460981990631</v>
      </c>
      <c r="E167" s="275">
        <f t="shared" si="38"/>
        <v>15</v>
      </c>
    </row>
    <row r="168" spans="1:5" ht="15" customHeight="1" thickBot="1" x14ac:dyDescent="0.3">
      <c r="A168" s="521"/>
      <c r="B168" s="269" t="s">
        <v>584</v>
      </c>
      <c r="C168" s="196">
        <f t="shared" si="38"/>
        <v>0.573667402700202</v>
      </c>
      <c r="D168" s="196">
        <f t="shared" si="38"/>
        <v>0.79343967812297111</v>
      </c>
      <c r="E168" s="277">
        <f t="shared" si="38"/>
        <v>8</v>
      </c>
    </row>
    <row r="169" spans="1:5" x14ac:dyDescent="0.25">
      <c r="A169" s="516" t="s">
        <v>564</v>
      </c>
      <c r="B169" s="221" t="s">
        <v>586</v>
      </c>
      <c r="C169" s="223">
        <f t="shared" ref="C169:E172" si="39">U17</f>
        <v>0.82986517142857141</v>
      </c>
      <c r="D169" s="223">
        <f t="shared" si="39"/>
        <v>1.0781688199705626</v>
      </c>
      <c r="E169" s="276">
        <f t="shared" si="39"/>
        <v>12</v>
      </c>
    </row>
    <row r="170" spans="1:5" x14ac:dyDescent="0.25">
      <c r="A170" s="517"/>
      <c r="B170" s="215" t="s">
        <v>583</v>
      </c>
      <c r="C170" s="13">
        <f t="shared" si="39"/>
        <v>1.832535885167464</v>
      </c>
      <c r="D170" s="13">
        <f t="shared" si="39"/>
        <v>2.0983228796146616</v>
      </c>
      <c r="E170" s="275">
        <f t="shared" si="39"/>
        <v>21</v>
      </c>
    </row>
    <row r="171" spans="1:5" x14ac:dyDescent="0.25">
      <c r="A171" s="517"/>
      <c r="B171" s="215" t="s">
        <v>589</v>
      </c>
      <c r="C171" s="13">
        <f t="shared" si="39"/>
        <v>0.80423280423280419</v>
      </c>
      <c r="D171" s="13">
        <f t="shared" si="39"/>
        <v>1.2437037868737502</v>
      </c>
      <c r="E171" s="275">
        <f t="shared" si="39"/>
        <v>7</v>
      </c>
    </row>
    <row r="172" spans="1:5" ht="15" customHeight="1" thickBot="1" x14ac:dyDescent="0.3">
      <c r="A172" s="518"/>
      <c r="B172" s="222" t="s">
        <v>597</v>
      </c>
      <c r="C172" s="196">
        <f t="shared" si="39"/>
        <v>0.5791622575831703</v>
      </c>
      <c r="D172" s="196">
        <f t="shared" si="39"/>
        <v>0.91196505936670491</v>
      </c>
      <c r="E172" s="277">
        <f t="shared" si="39"/>
        <v>4</v>
      </c>
    </row>
    <row r="173" spans="1:5" x14ac:dyDescent="0.25">
      <c r="A173" s="516" t="s">
        <v>563</v>
      </c>
      <c r="B173" s="221" t="s">
        <v>645</v>
      </c>
      <c r="C173" s="223">
        <f t="shared" ref="C173:E175" si="40">U22</f>
        <v>1.197129437050968</v>
      </c>
      <c r="D173" s="223">
        <f t="shared" si="40"/>
        <v>1.7380400165845433</v>
      </c>
      <c r="E173" s="276">
        <f t="shared" si="40"/>
        <v>27</v>
      </c>
    </row>
    <row r="174" spans="1:5" x14ac:dyDescent="0.25">
      <c r="A174" s="517"/>
      <c r="B174" s="215" t="s">
        <v>42</v>
      </c>
      <c r="C174" s="13">
        <f t="shared" si="40"/>
        <v>0.96</v>
      </c>
      <c r="D174" s="13">
        <f t="shared" si="40"/>
        <v>1.2652241777337254</v>
      </c>
      <c r="E174" s="275">
        <f t="shared" si="40"/>
        <v>15</v>
      </c>
    </row>
    <row r="175" spans="1:5" ht="15" customHeight="1" thickBot="1" x14ac:dyDescent="0.3">
      <c r="A175" s="518"/>
      <c r="B175" s="222" t="s">
        <v>240</v>
      </c>
      <c r="C175" s="196">
        <f t="shared" si="40"/>
        <v>1.7255749716745863</v>
      </c>
      <c r="D175" s="196">
        <f t="shared" si="40"/>
        <v>1.7255749716745863</v>
      </c>
      <c r="E175" s="277">
        <f t="shared" si="40"/>
        <v>2</v>
      </c>
    </row>
    <row r="176" spans="1:5" x14ac:dyDescent="0.25">
      <c r="A176" s="516" t="s">
        <v>12</v>
      </c>
      <c r="B176" s="221" t="s">
        <v>647</v>
      </c>
      <c r="C176" s="223">
        <f t="shared" ref="C176:E178" si="41">U26</f>
        <v>1.0677128233333331</v>
      </c>
      <c r="D176" s="223">
        <f t="shared" si="41"/>
        <v>1.3478918076797697</v>
      </c>
      <c r="E176" s="276">
        <f t="shared" si="41"/>
        <v>21</v>
      </c>
    </row>
    <row r="177" spans="1:5" x14ac:dyDescent="0.25">
      <c r="A177" s="517"/>
      <c r="B177" s="215" t="s">
        <v>648</v>
      </c>
      <c r="C177" s="13">
        <f t="shared" si="41"/>
        <v>1.1640735593775156</v>
      </c>
      <c r="D177" s="13">
        <f t="shared" si="41"/>
        <v>1.5762862058440392</v>
      </c>
      <c r="E177" s="275">
        <f t="shared" si="41"/>
        <v>44</v>
      </c>
    </row>
    <row r="178" spans="1:5" ht="15" customHeight="1" thickBot="1" x14ac:dyDescent="0.3">
      <c r="A178" s="518"/>
      <c r="B178" s="222" t="s">
        <v>649</v>
      </c>
      <c r="C178" s="196">
        <f t="shared" si="41"/>
        <v>0.96</v>
      </c>
      <c r="D178" s="196">
        <f t="shared" si="41"/>
        <v>1.4270826937688308</v>
      </c>
      <c r="E178" s="277">
        <f t="shared" si="41"/>
        <v>31</v>
      </c>
    </row>
  </sheetData>
  <mergeCells count="56">
    <mergeCell ref="A160:A162"/>
    <mergeCell ref="A145:A147"/>
    <mergeCell ref="A163:A165"/>
    <mergeCell ref="A55:A57"/>
    <mergeCell ref="A46:A48"/>
    <mergeCell ref="A113:A115"/>
    <mergeCell ref="A71:A73"/>
    <mergeCell ref="A89:A91"/>
    <mergeCell ref="A173:A175"/>
    <mergeCell ref="A85:A88"/>
    <mergeCell ref="A36:A38"/>
    <mergeCell ref="A176:A178"/>
    <mergeCell ref="A39:A41"/>
    <mergeCell ref="A110:A112"/>
    <mergeCell ref="A166:A168"/>
    <mergeCell ref="A82:A84"/>
    <mergeCell ref="A42:A45"/>
    <mergeCell ref="A103:A105"/>
    <mergeCell ref="A61:A63"/>
    <mergeCell ref="A159:B159"/>
    <mergeCell ref="A124:A126"/>
    <mergeCell ref="A106:A109"/>
    <mergeCell ref="A118:A120"/>
    <mergeCell ref="A96:B96"/>
    <mergeCell ref="A169:A172"/>
    <mergeCell ref="A134:A136"/>
    <mergeCell ref="F2:H2"/>
    <mergeCell ref="A138:B138"/>
    <mergeCell ref="A121:A123"/>
    <mergeCell ref="A97:A99"/>
    <mergeCell ref="A131:A133"/>
    <mergeCell ref="A68:A70"/>
    <mergeCell ref="C2:E2"/>
    <mergeCell ref="A54:B54"/>
    <mergeCell ref="A58:A60"/>
    <mergeCell ref="A92:A94"/>
    <mergeCell ref="A75:B75"/>
    <mergeCell ref="A152:A154"/>
    <mergeCell ref="A79:A81"/>
    <mergeCell ref="A155:A157"/>
    <mergeCell ref="U2:W2"/>
    <mergeCell ref="A148:A151"/>
    <mergeCell ref="A100:A102"/>
    <mergeCell ref="A64:A67"/>
    <mergeCell ref="A76:A78"/>
    <mergeCell ref="A33:A35"/>
    <mergeCell ref="A142:A144"/>
    <mergeCell ref="A49:A51"/>
    <mergeCell ref="O2:Q2"/>
    <mergeCell ref="R2:T2"/>
    <mergeCell ref="A32:B32"/>
    <mergeCell ref="L2:N2"/>
    <mergeCell ref="I2:K2"/>
    <mergeCell ref="A127:A130"/>
    <mergeCell ref="A139:A141"/>
    <mergeCell ref="A117:B1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5A87CD"/>
  </sheetPr>
  <dimension ref="A2:BE185"/>
  <sheetViews>
    <sheetView topLeftCell="A3" zoomScale="80" zoomScaleNormal="80" workbookViewId="0">
      <selection activeCell="Q3" sqref="Q3:Q88"/>
    </sheetView>
  </sheetViews>
  <sheetFormatPr defaultRowHeight="15" x14ac:dyDescent="0.25"/>
  <cols>
    <col min="1" max="1" width="48.7109375" customWidth="1"/>
    <col min="2" max="2" width="17.7109375" customWidth="1"/>
    <col min="3" max="6" width="14.7109375" customWidth="1"/>
    <col min="7" max="7" width="17.7109375" customWidth="1"/>
    <col min="8" max="8" width="17.42578125" customWidth="1"/>
    <col min="9" max="9" width="8" customWidth="1"/>
    <col min="10" max="10" width="8.7109375" customWidth="1"/>
    <col min="11" max="11" width="18.42578125" customWidth="1"/>
    <col min="12" max="12" width="15" customWidth="1"/>
    <col min="13" max="15" width="19.28515625" customWidth="1"/>
    <col min="16" max="16" width="27.140625" customWidth="1"/>
    <col min="17" max="17" width="19.28515625" customWidth="1"/>
    <col min="18" max="18" width="16.5703125" customWidth="1"/>
    <col min="19" max="24" width="19.28515625" customWidth="1"/>
    <col min="25" max="25" width="20" customWidth="1"/>
    <col min="26" max="27" width="19.28515625" customWidth="1"/>
    <col min="28" max="28" width="19.5703125" customWidth="1"/>
    <col min="29" max="29" width="13.28515625" customWidth="1"/>
    <col min="30" max="30" width="14.140625" customWidth="1"/>
    <col min="31" max="31" width="18.140625" customWidth="1"/>
    <col min="32" max="32" width="13.5703125" customWidth="1"/>
    <col min="33" max="33" width="17.28515625" customWidth="1"/>
    <col min="34" max="34" width="22.140625" customWidth="1"/>
    <col min="35" max="35" width="26.28515625" hidden="1" customWidth="1"/>
    <col min="36" max="36" width="18.140625" hidden="1" customWidth="1"/>
    <col min="37" max="37" width="20.28515625" hidden="1" customWidth="1"/>
    <col min="38" max="52" width="18.140625" hidden="1" customWidth="1"/>
    <col min="53" max="53" width="18.140625" customWidth="1"/>
    <col min="54" max="54" width="26" customWidth="1"/>
    <col min="55" max="55" width="17.7109375" customWidth="1"/>
    <col min="56" max="56" width="17.140625" customWidth="1"/>
    <col min="57" max="57" width="24.28515625" customWidth="1"/>
    <col min="58" max="58" width="16.140625" customWidth="1"/>
  </cols>
  <sheetData>
    <row r="2" spans="1:57" ht="52.15" customHeight="1" x14ac:dyDescent="0.25">
      <c r="A2" s="207" t="s">
        <v>0</v>
      </c>
      <c r="B2" s="207" t="s">
        <v>1</v>
      </c>
      <c r="C2" s="207" t="s">
        <v>2</v>
      </c>
      <c r="D2" s="207" t="s">
        <v>3</v>
      </c>
      <c r="E2" s="207" t="s">
        <v>4</v>
      </c>
      <c r="F2" s="207" t="s">
        <v>5</v>
      </c>
      <c r="G2" s="207" t="s">
        <v>6</v>
      </c>
      <c r="H2" s="207" t="s">
        <v>7</v>
      </c>
      <c r="I2" s="207" t="s">
        <v>8</v>
      </c>
      <c r="J2" s="207" t="s">
        <v>9</v>
      </c>
      <c r="K2" s="207" t="s">
        <v>10</v>
      </c>
      <c r="L2" s="207" t="s">
        <v>11</v>
      </c>
      <c r="M2" s="207" t="s">
        <v>12</v>
      </c>
      <c r="N2" s="351" t="s">
        <v>19</v>
      </c>
      <c r="O2" s="351" t="s">
        <v>652</v>
      </c>
      <c r="P2" s="351" t="s">
        <v>653</v>
      </c>
      <c r="Q2" s="351" t="s">
        <v>26</v>
      </c>
      <c r="R2" s="351" t="s">
        <v>654</v>
      </c>
      <c r="S2" s="207" t="s">
        <v>27</v>
      </c>
      <c r="T2" s="207" t="s">
        <v>28</v>
      </c>
      <c r="U2" s="462" t="s">
        <v>562</v>
      </c>
      <c r="V2" s="207" t="s">
        <v>30</v>
      </c>
      <c r="W2" s="351" t="s">
        <v>31</v>
      </c>
      <c r="X2" s="351" t="s">
        <v>32</v>
      </c>
      <c r="Y2" s="351" t="s">
        <v>33</v>
      </c>
      <c r="Z2" s="207" t="s">
        <v>34</v>
      </c>
      <c r="AA2" s="207" t="s">
        <v>563</v>
      </c>
      <c r="AB2" s="207" t="s">
        <v>564</v>
      </c>
      <c r="AC2" s="207" t="s">
        <v>655</v>
      </c>
      <c r="AD2" s="207" t="s">
        <v>14</v>
      </c>
      <c r="AE2" s="207" t="s">
        <v>656</v>
      </c>
      <c r="AF2" s="207" t="s">
        <v>15</v>
      </c>
      <c r="AG2" s="207" t="s">
        <v>657</v>
      </c>
      <c r="AH2" s="207" t="s">
        <v>567</v>
      </c>
      <c r="AI2" s="211" t="s">
        <v>568</v>
      </c>
      <c r="AJ2" s="211" t="s">
        <v>569</v>
      </c>
      <c r="AK2" s="211" t="s">
        <v>658</v>
      </c>
      <c r="AL2" s="211" t="s">
        <v>659</v>
      </c>
      <c r="AM2" s="211" t="s">
        <v>571</v>
      </c>
      <c r="AN2" s="325" t="s">
        <v>572</v>
      </c>
      <c r="AO2" s="326" t="s">
        <v>660</v>
      </c>
      <c r="AP2" s="326" t="s">
        <v>661</v>
      </c>
      <c r="AQ2" s="326" t="s">
        <v>574</v>
      </c>
      <c r="AR2" s="327" t="s">
        <v>662</v>
      </c>
      <c r="AS2" s="327" t="s">
        <v>663</v>
      </c>
      <c r="AT2" s="327" t="s">
        <v>664</v>
      </c>
      <c r="AU2" s="328" t="s">
        <v>665</v>
      </c>
      <c r="AV2" s="328" t="s">
        <v>666</v>
      </c>
      <c r="AW2" s="328" t="s">
        <v>667</v>
      </c>
      <c r="AX2" s="325" t="s">
        <v>668</v>
      </c>
      <c r="AY2" s="325" t="s">
        <v>669</v>
      </c>
      <c r="AZ2" s="325" t="s">
        <v>670</v>
      </c>
      <c r="BA2" s="44"/>
      <c r="BC2" s="42" t="s">
        <v>671</v>
      </c>
      <c r="BD2" s="42" t="s">
        <v>580</v>
      </c>
      <c r="BE2" s="42" t="s">
        <v>672</v>
      </c>
    </row>
    <row r="3" spans="1:57" ht="30" x14ac:dyDescent="0.25">
      <c r="A3" s="45" t="s">
        <v>35</v>
      </c>
      <c r="B3" t="s">
        <v>36</v>
      </c>
      <c r="C3" s="30" t="s">
        <v>37</v>
      </c>
      <c r="G3" t="s">
        <v>38</v>
      </c>
      <c r="H3" s="455" t="e" vm="1">
        <v>#VALUE!</v>
      </c>
      <c r="I3">
        <v>2023</v>
      </c>
      <c r="J3">
        <v>2023</v>
      </c>
      <c r="K3">
        <f>J3-I3+1</f>
        <v>1</v>
      </c>
      <c r="L3" t="s">
        <v>39</v>
      </c>
      <c r="M3" t="s">
        <v>602</v>
      </c>
      <c r="N3" s="448">
        <v>588000</v>
      </c>
      <c r="O3" s="448">
        <f>Table9[[#This Row],[Cost (USD)]]/Table9[[#This Row],[Programme Length]]</f>
        <v>588000</v>
      </c>
      <c r="P3" s="46" t="str" cm="1">
        <f t="array" ref="P3">IF(N3=0,"N/A",
_xlfn.IFS(
N3&lt;=$BC$6,"1st Quartile (Lowest 25%)",
N3&lt;=$BD$6,"2nd Quartile (25–50%)",
N3&lt;=$BE$6,"3rd Quartile (50–75%)",
TRUE,"4th Quartile (Highest 25%)"
))</f>
        <v>1st Quartile (Lowest 25%)</v>
      </c>
      <c r="Q3" s="13">
        <v>191.32203389830511</v>
      </c>
      <c r="R3" s="13">
        <f>IFERROR(Q3/AC3,"")</f>
        <v>3.8264406779661024E-2</v>
      </c>
      <c r="S3" s="13"/>
      <c r="T3" s="13">
        <v>8.6875821515046692E-2</v>
      </c>
      <c r="U3" s="13"/>
      <c r="V3" s="130">
        <v>5285.393258426966</v>
      </c>
      <c r="W3" s="130">
        <v>189.20068027210891</v>
      </c>
      <c r="X3" s="130">
        <v>3775.280898876405</v>
      </c>
      <c r="Y3" s="130">
        <v>264.88095238095241</v>
      </c>
      <c r="Z3" s="13">
        <v>8.6875821515046692E-2</v>
      </c>
      <c r="AA3" s="62" t="s">
        <v>42</v>
      </c>
      <c r="AB3" s="17" t="s">
        <v>583</v>
      </c>
      <c r="AC3" s="448">
        <v>5000</v>
      </c>
      <c r="AD3" s="28">
        <f>'VfM MSD Mastersheet'!$O95</f>
        <v>-1.4600944966077798</v>
      </c>
      <c r="AE3" s="318" t="str">
        <f t="array" ref="AE3">_xlfn.IFS(
AD3&lt;=$BC$3,"1st Quartile (Lowest 25%)",
AD3&lt;=$BD$3,"2nd Quartile (25–50%)",
AD3&lt;=$BE$3,"3rd Quartile (50–75%)",
TRUE,"4th Quartile (Highest 25%)"
)</f>
        <v>1st Quartile (Lowest 25%)</v>
      </c>
      <c r="AF3" s="13">
        <f>'VfM MSD Mastersheet'!$P95</f>
        <v>11.810159364219249</v>
      </c>
      <c r="AG3" s="318" t="str" cm="1">
        <f t="array" ref="AG3">_xlfn.IFS(
AF3&lt;=$BC$4,"1st Quartile (Lowest 25%)",
AF3&lt;=$BD$4,"2nd Quartile (25–50%)",
AF3&lt;=$BE$4,"3rd Quartile (50–75%)",
TRUE,"4th Quartile (Highest 25%)"
)</f>
        <v>4th Quartile (Highest 25%)</v>
      </c>
      <c r="AH3" s="46" t="s">
        <v>673</v>
      </c>
      <c r="AI3" s="193" t="str">
        <f t="array" ref="AI3">_xlfn.IFS(
AND(AE3="1st Quartile (Lowest 25%)",AG3="4th Quartile (Highest 25%)"),"Group 1",
AND(AE3="4th Quartile (Highest 25%)",AG3="1st Quartile (Lowest 25%)"),"Group 3",
OR(AE3="1st Quartile (Lowest 25%)",AE3="2nd Quartile (25–50%)"),"Group 2A (Low Stability)",
TRUE,"Group 2B (High Inflation)"
)</f>
        <v>Group 1</v>
      </c>
      <c r="AJ3" t="str">
        <f t="array" ref="AJ3:AJ14">_xlfn._xlws.FILTER(B3:B88, AI3:AI88="Group 1")</f>
        <v>AIMS</v>
      </c>
      <c r="AK3" t="str">
        <f t="array" ref="AK3:AK32">_xlfn._xlws.FILTER(B3:B88,AI3:AI88="Group 2A (Low Stability)")</f>
        <v>PDR</v>
      </c>
      <c r="AL3" t="str">
        <f t="array" ref="AL3:AL37">_xlfn._xlws.FILTER(B3:B88,AI3:AI88="Group 2B (High Inflation)")</f>
        <v>PAVE-Pakistan-PH1</v>
      </c>
      <c r="AM3" t="str">
        <f t="array" ref="AM3:AM8">_xlfn._xlws.FILTER(B3:B88, AI3:AI88="Group 3")</f>
        <v>NAMDP-PH1-2</v>
      </c>
      <c r="AN3" t="str">
        <f t="array" ref="AN3">_xlfn.IFS(
AND(AE3="1st Quartile (Lowest 25%)",AG3="4th Quartile (Highest 25%)",K3&lt;=5),"Group 1 - Short",
AND(AE3="1st Quartile (Lowest 25%)",AG3="4th Quartile (Highest 25%)",K3&lt;10),"Group 1 - Medium",
AND(AE3="1st Quartile (Lowest 25%)",AG3="4th Quartile (Highest 25%)",TRUE),"Group 1 - Long",
AND(AE3="4th Quartile (Highest 25%)",AG3="1st Quartile (Lowest 25%)",K3&lt;=5),"Group 3 - Short",
AND(AE3="4th Quartile (Highest 25%)",AG3="1st Quartile (Lowest 25%)",K3&lt;10),"Group 3 - Medium",
AND(AE3="4th Quartile (Highest 25%)",AG3="1st Quartile (Lowest 25%)",TRUE),"Group 3 - Long",
AND(OR(AE3="1st Quartile (Lowest 25%)",AE3="2nd Quartile (25–50%)"),K3&lt;=5),"Group 2A - Short",
AND(OR(AE3="1st Quartile (Lowest 25%)",AE3="2nd Quartile (25–50%)"),K3&lt;10),"Group 2A - Medium",
AND(OR(AE3="1st Quartile (Lowest 25%)",AE3="2nd Quartile (25–50%)"),TRUE),"Group 2A - Long",
K3&lt;=5,"Group 2B - Short",
K3&lt;10,"Group 2B - Medium",
TRUE,"Group 2B - Long"
)</f>
        <v>Group 1 - Short</v>
      </c>
      <c r="AO3" t="str">
        <f t="array" ref="AO3">_xlfn._xlws.FILTER(B3:B88, AN3:AN88="Group 1 - Long")</f>
        <v>MarketMakers-PH1-3</v>
      </c>
      <c r="AP3" t="str">
        <f t="array" ref="AP3:AP8">_xlfn._xlws.FILTER(B3:B88, AN3:AN88="Group 1 - Medium")</f>
        <v>IAM</v>
      </c>
      <c r="AQ3" t="str">
        <f t="array" ref="AQ3:AQ8">_xlfn._xlws.FILTER(B3:B88, AN3:AN88="Group 1 - Short")</f>
        <v>AIMS</v>
      </c>
      <c r="AR3" t="str">
        <f t="array" ref="AR3:AR4">_xlfn._xlws.FILTER(B3:B88, AN3:AN88="Group 2A - Long")</f>
        <v>MDF-PH1-2</v>
      </c>
      <c r="AS3" t="str">
        <f t="array" ref="AS3:AS9">_xlfn._xlws.FILTER(B3:B88, AN3:AN88="Group 2A - Medium")</f>
        <v>LPINA</v>
      </c>
      <c r="AT3" t="str">
        <f t="array" ref="AT3:AT24">_xlfn._xlws.FILTER(B3:B88, AN3:AN88="Group 2A - Short")</f>
        <v>PDR</v>
      </c>
      <c r="AU3" t="str">
        <f t="array" ref="AU3:AU10">_xlfn._xlws.FILTER(B3:B88, AN3:AN88="Group 2B - Long")</f>
        <v>LEED-PH1&amp;2</v>
      </c>
      <c r="AV3" t="str">
        <f t="array" ref="AV3:AV9">_xlfn._xlws.FILTER(B3:B88, AN3:AN88="Group 2B - Medium")</f>
        <v>MOLI-PH2</v>
      </c>
      <c r="AW3" t="str">
        <f t="array" ref="AW3:AW22">_xlfn._xlws.FILTER(B3:B88, AN3:AN88="Group 2B - Short")</f>
        <v>PAVE-Pakistan-PH1</v>
      </c>
      <c r="AX3" t="str">
        <f t="array" ref="AX3">_xlfn._xlws.FILTER(B3:B88, AN3:AN88="Group 3 - Long")</f>
        <v>InovAgro</v>
      </c>
      <c r="AY3" t="str">
        <f t="array" ref="AY3">_xlfn._xlws.FILTER(B3:B88, AN3:AN88="Group 3 - Medium")</f>
        <v>NAMDP-PH1-2</v>
      </c>
      <c r="AZ3" t="str">
        <f t="array" ref="AZ3:AZ7">_xlfn._xlws.FILTER(B3:B88, AN3:AN88="Group 3 - Short")</f>
        <v>KUZA</v>
      </c>
      <c r="BB3" s="15" t="s">
        <v>585</v>
      </c>
      <c r="BC3" s="48" cm="1">
        <f t="array" ref="BC3">_xlfn.PERCENTILE.INC(_xlfn._xlws.FILTER(AD3:AD88, AD3:AD88&lt;&gt;0), 0.25)</f>
        <v>-1.1143357393642277</v>
      </c>
      <c r="BD3" s="49" cm="1">
        <f t="array" ref="BD3">_xlfn.PERCENTILE.INC(_xlfn._xlws.FILTER(AD3:AD88, AD3:AD88&lt;&gt;0), 0.5)</f>
        <v>-0.542229488911107</v>
      </c>
      <c r="BE3" s="50" cm="1">
        <f t="array" ref="BE3">_xlfn.PERCENTILE.INC(_xlfn._xlws.FILTER(AD3:AD88, AD3:AD88&lt;&gt;0), 0.75)</f>
        <v>-0.35998315042392776</v>
      </c>
    </row>
    <row r="4" spans="1:57" ht="14.45" customHeight="1" x14ac:dyDescent="0.25">
      <c r="A4" s="17" t="s">
        <v>43</v>
      </c>
      <c r="B4" s="17" t="s">
        <v>44</v>
      </c>
      <c r="C4" t="s">
        <v>45</v>
      </c>
      <c r="G4" s="17" t="s">
        <v>46</v>
      </c>
      <c r="H4" s="354" t="e" vm="2">
        <v>#VALUE!</v>
      </c>
      <c r="I4" s="17">
        <v>2017</v>
      </c>
      <c r="J4" s="17">
        <v>2020</v>
      </c>
      <c r="K4">
        <f t="shared" ref="K4:K37" si="0">J4-I4</f>
        <v>3</v>
      </c>
      <c r="L4" t="s">
        <v>39</v>
      </c>
      <c r="M4" t="s">
        <v>603</v>
      </c>
      <c r="N4" s="448">
        <v>700000</v>
      </c>
      <c r="O4" s="448">
        <f>Table9[[#This Row],[Cost (USD)]]/Table9[[#This Row],[Programme Length]]</f>
        <v>233333.33333333334</v>
      </c>
      <c r="P4" s="46" t="str">
        <f t="array" ref="P4">IF(N4=0,"N/A",
_xlfn.IFS(
N4&lt;=$BC$6,"1st Quartile (Lowest 25%)",
N4&lt;=$BD$6,"2nd Quartile (25–50%)",
N4&lt;=$BE$6,"3rd Quartile (50–75%)",
TRUE,"4th Quartile (Highest 25%)"
))</f>
        <v>1st Quartile (Lowest 25%)</v>
      </c>
      <c r="Q4" s="130"/>
      <c r="R4" s="13"/>
      <c r="S4" s="13"/>
      <c r="T4" s="13"/>
      <c r="U4" s="13"/>
      <c r="V4" s="130"/>
      <c r="W4" s="130"/>
      <c r="X4" s="130">
        <v>1100.6289308176099</v>
      </c>
      <c r="Y4" s="130">
        <v>908.57142857142867</v>
      </c>
      <c r="Z4" s="13"/>
      <c r="AA4" s="63" t="s">
        <v>49</v>
      </c>
      <c r="AB4" s="17" t="s">
        <v>583</v>
      </c>
      <c r="AC4" s="448">
        <v>7200</v>
      </c>
      <c r="AD4" s="28">
        <f>'VfM MSD Mastersheet'!$O24</f>
        <v>7.029367517679927E-2</v>
      </c>
      <c r="AE4" s="317" t="str">
        <f t="array" ref="AE4">_xlfn.IFS(
AD4&lt;=$BC$3,"1st Quartile (Lowest 25%)",
AD4&lt;=$BD$3,"2nd Quartile (25–50%)",
AD4&lt;=$BE$3,"3rd Quartile (50–75%)",
TRUE,"4th Quartile (Highest 25%)"
)</f>
        <v>4th Quartile (Highest 25%)</v>
      </c>
      <c r="AF4" s="28">
        <f>'VfM MSD Mastersheet'!$P24</f>
        <v>7.624034595908272</v>
      </c>
      <c r="AG4" s="317" t="str">
        <f t="array" ref="AG4">_xlfn.IFS(
AF4&lt;=$BC$4,"1st Quartile (Lowest 25%)",
AF4&lt;=$BD$4,"2nd Quartile (25–50%)",
AF4&lt;=$BE$4,"3rd Quartile (50–75%)",
TRUE,"4th Quartile (Highest 25%)"
)</f>
        <v>3rd Quartile (50–75%)</v>
      </c>
      <c r="AH4" s="46" t="s">
        <v>674</v>
      </c>
      <c r="AI4" s="193" t="str">
        <f t="array" ref="AI4">_xlfn.IFS(
AND(AE4="1st Quartile (Lowest 25%)",AG4="4th Quartile (Highest 25%)"),"Group 1",
AND(AE4="4th Quartile (Highest 25%)",AG4="1st Quartile (Lowest 25%)"),"Group 3",
OR(AE4="1st Quartile (Lowest 25%)",AE4="2nd Quartile (25–50%)"),"Group 2A (Low Stability)",
TRUE,"Group 2B (High Inflation)"
)</f>
        <v>Group 2B (High Inflation)</v>
      </c>
      <c r="AJ4" t="str">
        <v>PROSPECT IV</v>
      </c>
      <c r="AK4" t="str">
        <v>Hilando Culturas</v>
      </c>
      <c r="AL4" t="str">
        <v>MORINGA</v>
      </c>
      <c r="AM4" t="str">
        <v>PEPZ</v>
      </c>
      <c r="AN4" t="str">
        <f t="array" ref="AN4">_xlfn.IFS(
AND(AE4="1st Quartile (Lowest 25%)",AG4="4th Quartile (Highest 25%)",K4&lt;=5),"Group 1 - Short",
AND(AE4="1st Quartile (Lowest 25%)",AG4="4th Quartile (Highest 25%)",K4&lt;10),"Group 1 - Medium",
AND(AE4="1st Quartile (Lowest 25%)",AG4="4th Quartile (Highest 25%)",TRUE),"Group 1 - Long",
AND(AE4="4th Quartile (Highest 25%)",AG4="1st Quartile (Lowest 25%)",K4&lt;=5),"Group 3 - Short",
AND(AE4="4th Quartile (Highest 25%)",AG4="1st Quartile (Lowest 25%)",K4&lt;10),"Group 3 - Medium",
AND(AE4="4th Quartile (Highest 25%)",AG4="1st Quartile (Lowest 25%)",TRUE),"Group 3 - Long",
AND(OR(AE4="1st Quartile (Lowest 25%)",AE4="2nd Quartile (25–50%)"),K4&lt;=5),"Group 2A - Short",
AND(OR(AE4="1st Quartile (Lowest 25%)",AE4="2nd Quartile (25–50%)"),K4&lt;10),"Group 2A - Medium",
AND(OR(AE4="1st Quartile (Lowest 25%)",AE4="2nd Quartile (25–50%)"),TRUE),"Group 2A - Long",
K4&lt;=5,"Group 2B - Short",
K4&lt;10,"Group 2B - Medium",
TRUE,"Group 2B - Long"
)</f>
        <v>Group 2B - Short</v>
      </c>
      <c r="AO4" s="238" t="s">
        <v>310</v>
      </c>
      <c r="AP4" t="str">
        <v>IAM</v>
      </c>
      <c r="AQ4" t="str">
        <v>PROSPECT IV</v>
      </c>
      <c r="AR4" t="str">
        <v>MDF-PH1-2</v>
      </c>
      <c r="AS4" t="str">
        <v>Horti-Sempre</v>
      </c>
      <c r="AT4" t="str">
        <v>Hilando Culturas</v>
      </c>
      <c r="AU4" t="str">
        <v>EYE-PH1-3</v>
      </c>
      <c r="AV4" t="str">
        <v>Yapasa</v>
      </c>
      <c r="AW4" t="str">
        <v>MORINGA</v>
      </c>
      <c r="AZ4" t="str">
        <v>KUZA</v>
      </c>
      <c r="BB4" s="15" t="s">
        <v>588</v>
      </c>
      <c r="BC4" s="50" cm="1">
        <f t="array" ref="BC4">_xlfn.PERCENTILE.INC(_xlfn._xlws.FILTER(AF3:AF88, AF3:AF88&lt;&gt;0), 0.25)</f>
        <v>4.8787127134674577</v>
      </c>
      <c r="BD4" s="49" cm="1">
        <f t="array" ref="BD4">_xlfn.PERCENTILE.INC(_xlfn._xlws.FILTER(AF3:AF88, AF3:AF88&lt;&gt;0), 0.5)</f>
        <v>6.2888342030959716</v>
      </c>
      <c r="BE4" s="48" cm="1">
        <f t="array" ref="BE4">_xlfn.PERCENTILE.INC(_xlfn._xlws.FILTER(AF3:AF88, AF3:AF88&lt;&gt;0), 0.75)</f>
        <v>8.6201485759004601</v>
      </c>
    </row>
    <row r="5" spans="1:57" ht="14.45" customHeight="1" x14ac:dyDescent="0.25">
      <c r="A5" t="s">
        <v>50</v>
      </c>
      <c r="B5" t="s">
        <v>51</v>
      </c>
      <c r="C5" t="s">
        <v>52</v>
      </c>
      <c r="G5" t="s">
        <v>53</v>
      </c>
      <c r="H5" s="46" t="e" vm="3">
        <v>#VALUE!</v>
      </c>
      <c r="I5">
        <v>2017</v>
      </c>
      <c r="J5">
        <v>2020</v>
      </c>
      <c r="K5">
        <f t="shared" si="0"/>
        <v>3</v>
      </c>
      <c r="L5" t="s">
        <v>39</v>
      </c>
      <c r="M5" t="s">
        <v>602</v>
      </c>
      <c r="N5" s="448">
        <v>1400000</v>
      </c>
      <c r="O5" s="448">
        <f>Table9[[#This Row],[Cost (USD)]]/Table9[[#This Row],[Programme Length]]</f>
        <v>466666.66666666669</v>
      </c>
      <c r="P5" s="46" t="str">
        <f t="array" ref="P5">IF(N5=0,"N/A",
_xlfn.IFS(
N5&lt;=$BC$6,"1st Quartile (Lowest 25%)",
N5&lt;=$BD$6,"2nd Quartile (25–50%)",
N5&lt;=$BE$6,"3rd Quartile (50–75%)",
TRUE,"4th Quartile (Highest 25%)"
))</f>
        <v>1st Quartile (Lowest 25%)</v>
      </c>
      <c r="Q5" s="13"/>
      <c r="R5" s="13"/>
      <c r="S5" s="13"/>
      <c r="T5" s="13">
        <v>1.779428571428571E-2</v>
      </c>
      <c r="U5" s="13"/>
      <c r="V5" s="130"/>
      <c r="W5" s="130"/>
      <c r="X5" s="130">
        <v>674.37379576107901</v>
      </c>
      <c r="Y5" s="130">
        <v>1482.8571428571429</v>
      </c>
      <c r="Z5" s="13"/>
      <c r="AA5" s="63" t="s">
        <v>42</v>
      </c>
      <c r="AB5" s="17" t="s">
        <v>583</v>
      </c>
      <c r="AC5" s="448">
        <v>6300</v>
      </c>
      <c r="AD5" s="28">
        <f>'VfM MSD Mastersheet'!$O85</f>
        <v>-1.4820961554845169</v>
      </c>
      <c r="AE5" s="318" t="str">
        <f t="array" ref="AE5">_xlfn.IFS(
AD5&lt;=$BC$3,"1st Quartile (Lowest 25%)",
AD5&lt;=$BD$3,"2nd Quartile (25–50%)",
AD5&lt;=$BE$3,"3rd Quartile (50–75%)",
TRUE,"4th Quartile (Highest 25%)"
)</f>
        <v>1st Quartile (Lowest 25%)</v>
      </c>
      <c r="AF5" s="13">
        <f>'VfM MSD Mastersheet'!$P85</f>
        <v>7.9325282388603311</v>
      </c>
      <c r="AG5" s="318" t="str">
        <f t="array" ref="AG5">_xlfn.IFS(
AF5&lt;=$BC$4,"1st Quartile (Lowest 25%)",
AF5&lt;=$BD$4,"2nd Quartile (25–50%)",
AF5&lt;=$BE$4,"3rd Quartile (50–75%)",
TRUE,"4th Quartile (Highest 25%)"
)</f>
        <v>3rd Quartile (50–75%)</v>
      </c>
      <c r="AH5" s="46" t="s">
        <v>587</v>
      </c>
      <c r="AI5" s="193" t="str">
        <f t="array" ref="AI5">_xlfn.IFS(
AND(AE5="1st Quartile (Lowest 25%)",AG5="4th Quartile (Highest 25%)"),"Group 1",
AND(AE5="4th Quartile (Highest 25%)",AG5="1st Quartile (Lowest 25%)"),"Group 3",
OR(AE5="1st Quartile (Lowest 25%)",AE5="2nd Quartile (25–50%)"),"Group 2A (Low Stability)",
TRUE,"Group 2B (High Inflation)"
)</f>
        <v>Group 2A (Low Stability)</v>
      </c>
      <c r="AJ5" t="str">
        <v>EMPODDERA</v>
      </c>
      <c r="AK5" t="str">
        <v>PAVE-SriLanka</v>
      </c>
      <c r="AL5" t="str">
        <v>CIDC</v>
      </c>
      <c r="AM5" t="str">
        <v>InovAgro</v>
      </c>
      <c r="AN5" t="str">
        <f t="array" ref="AN5">_xlfn.IFS(
AND(AE5="1st Quartile (Lowest 25%)",AG5="4th Quartile (Highest 25%)",K5&lt;=5),"Group 1 - Short",
AND(AE5="1st Quartile (Lowest 25%)",AG5="4th Quartile (Highest 25%)",K5&lt;10),"Group 1 - Medium",
AND(AE5="1st Quartile (Lowest 25%)",AG5="4th Quartile (Highest 25%)",TRUE),"Group 1 - Long",
AND(AE5="4th Quartile (Highest 25%)",AG5="1st Quartile (Lowest 25%)",K5&lt;=5),"Group 3 - Short",
AND(AE5="4th Quartile (Highest 25%)",AG5="1st Quartile (Lowest 25%)",K5&lt;10),"Group 3 - Medium",
AND(AE5="4th Quartile (Highest 25%)",AG5="1st Quartile (Lowest 25%)",TRUE),"Group 3 - Long",
AND(OR(AE5="1st Quartile (Lowest 25%)",AE5="2nd Quartile (25–50%)"),K5&lt;=5),"Group 2A - Short",
AND(OR(AE5="1st Quartile (Lowest 25%)",AE5="2nd Quartile (25–50%)"),K5&lt;10),"Group 2A - Medium",
AND(OR(AE5="1st Quartile (Lowest 25%)",AE5="2nd Quartile (25–50%)"),TRUE),"Group 2A - Long",
K5&lt;=5,"Group 2B - Short",
K5&lt;10,"Group 2B - Medium",
TRUE,"Group 2B - Long"
)</f>
        <v>Group 2A - Short</v>
      </c>
      <c r="AP5" t="str">
        <v>IAM</v>
      </c>
      <c r="AQ5" t="str">
        <v>EMPODDERA</v>
      </c>
      <c r="AS5" t="str">
        <v>LIWAY</v>
      </c>
      <c r="AT5" t="str">
        <v>PAVE-SriLanka</v>
      </c>
      <c r="AU5" t="str">
        <v>M4C</v>
      </c>
      <c r="AV5" t="str">
        <v>CHAIN</v>
      </c>
      <c r="AW5" t="str">
        <v>CIDC</v>
      </c>
      <c r="AZ5" t="str">
        <v>KUZA</v>
      </c>
      <c r="BC5" cm="1">
        <f t="array" ref="BC5">COUNT(_xlfn._xlws.FILTER(AF3:AF88,ISNUMBER(AF3:AF88)*(AF3:AF88&lt;&gt;0)))</f>
        <v>80</v>
      </c>
    </row>
    <row r="6" spans="1:57" ht="14.45" customHeight="1" x14ac:dyDescent="0.25">
      <c r="A6" t="s">
        <v>55</v>
      </c>
      <c r="B6" t="s">
        <v>56</v>
      </c>
      <c r="C6" s="17" t="s">
        <v>57</v>
      </c>
      <c r="G6" t="s">
        <v>58</v>
      </c>
      <c r="H6" s="46" t="s">
        <v>59</v>
      </c>
      <c r="I6">
        <v>2014</v>
      </c>
      <c r="J6">
        <v>2017</v>
      </c>
      <c r="K6">
        <f t="shared" si="0"/>
        <v>3</v>
      </c>
      <c r="L6" t="s">
        <v>39</v>
      </c>
      <c r="M6" t="s">
        <v>602</v>
      </c>
      <c r="N6" s="448">
        <v>1700000</v>
      </c>
      <c r="O6" s="448">
        <f>Table9[[#This Row],[Cost (USD)]]/Table9[[#This Row],[Programme Length]]</f>
        <v>566666.66666666663</v>
      </c>
      <c r="P6" s="46" t="str">
        <f t="array" ref="P6">IF(N6=0,"N/A",
_xlfn.IFS(
N6&lt;=$BC$6,"1st Quartile (Lowest 25%)",
N6&lt;=$BD$6,"2nd Quartile (25–50%)",
N6&lt;=$BE$6,"3rd Quartile (50–75%)",
TRUE,"4th Quartile (Highest 25%)"
))</f>
        <v>1st Quartile (Lowest 25%)</v>
      </c>
      <c r="Q6" s="130">
        <v>13.5</v>
      </c>
      <c r="R6" s="13">
        <f>IFERROR(Q6/AC6,"")</f>
        <v>9.7826086956521747E-4</v>
      </c>
      <c r="S6" s="13"/>
      <c r="T6" s="13"/>
      <c r="U6" s="13"/>
      <c r="V6" s="130"/>
      <c r="W6" s="130"/>
      <c r="X6" s="130">
        <v>1286.903860711582</v>
      </c>
      <c r="Y6" s="130">
        <v>777.05882352941182</v>
      </c>
      <c r="Z6" s="13">
        <v>1.0490294117647059E-2</v>
      </c>
      <c r="AA6" s="63" t="s">
        <v>49</v>
      </c>
      <c r="AB6" t="s">
        <v>597</v>
      </c>
      <c r="AC6" s="448">
        <v>13800</v>
      </c>
      <c r="AD6" s="28">
        <f>'VfM MSD Mastersheet'!$O46</f>
        <v>-0.67747198417782784</v>
      </c>
      <c r="AE6" s="317" t="str">
        <f t="array" ref="AE6">_xlfn.IFS(
AD6&lt;=$BC$3,"1st Quartile (Lowest 25%)",
AD6&lt;=$BD$3,"2nd Quartile (25–50%)",
AD6&lt;=$BE$3,"3rd Quartile (50–75%)",
TRUE,"4th Quartile (Highest 25%)"
)</f>
        <v>2nd Quartile (25–50%)</v>
      </c>
      <c r="AF6" s="13">
        <f>'VfM MSD Mastersheet'!$P46</f>
        <v>5.4825869586466647</v>
      </c>
      <c r="AG6" s="317" t="str">
        <f t="array" ref="AG6">_xlfn.IFS(
AF6&lt;=$BC$4,"1st Quartile (Lowest 25%)",
AF6&lt;=$BD$4,"2nd Quartile (25–50%)",
AF6&lt;=$BE$4,"3rd Quartile (50–75%)",
TRUE,"4th Quartile (Highest 25%)"
)</f>
        <v>2nd Quartile (25–50%)</v>
      </c>
      <c r="AH6" s="46" t="s">
        <v>584</v>
      </c>
      <c r="AI6" s="193" t="str">
        <f t="array" ref="AI6">_xlfn.IFS(
AND(AE6="1st Quartile (Lowest 25%)",AG6="4th Quartile (Highest 25%)"),"Group 1",
AND(AE6="4th Quartile (Highest 25%)",AG6="1st Quartile (Lowest 25%)"),"Group 3",
OR(AE6="1st Quartile (Lowest 25%)",AE6="2nd Quartile (25–50%)"),"Group 2A (Low Stability)",
TRUE,"Group 2B (High Inflation)"
)</f>
        <v>Group 2A (Low Stability)</v>
      </c>
      <c r="AJ6" t="str">
        <v>WIN</v>
      </c>
      <c r="AK6" t="str">
        <v>BOZOUR</v>
      </c>
      <c r="AL6" t="str">
        <v>Google-Labs</v>
      </c>
      <c r="AM6" t="str">
        <v>NU-TEC-1</v>
      </c>
      <c r="AN6" t="str">
        <f t="array" ref="AN6">_xlfn.IFS(
AND(AE6="1st Quartile (Lowest 25%)",AG6="4th Quartile (Highest 25%)",K6&lt;=5),"Group 1 - Short",
AND(AE6="1st Quartile (Lowest 25%)",AG6="4th Quartile (Highest 25%)",K6&lt;10),"Group 1 - Medium",
AND(AE6="1st Quartile (Lowest 25%)",AG6="4th Quartile (Highest 25%)",TRUE),"Group 1 - Long",
AND(AE6="4th Quartile (Highest 25%)",AG6="1st Quartile (Lowest 25%)",K6&lt;=5),"Group 3 - Short",
AND(AE6="4th Quartile (Highest 25%)",AG6="1st Quartile (Lowest 25%)",K6&lt;10),"Group 3 - Medium",
AND(AE6="4th Quartile (Highest 25%)",AG6="1st Quartile (Lowest 25%)",TRUE),"Group 3 - Long",
AND(OR(AE6="1st Quartile (Lowest 25%)",AE6="2nd Quartile (25–50%)"),K6&lt;=5),"Group 2A - Short",
AND(OR(AE6="1st Quartile (Lowest 25%)",AE6="2nd Quartile (25–50%)"),K6&lt;10),"Group 2A - Medium",
AND(OR(AE6="1st Quartile (Lowest 25%)",AE6="2nd Quartile (25–50%)"),TRUE),"Group 2A - Long",
K6&lt;=5,"Group 2B - Short",
K6&lt;10,"Group 2B - Medium",
TRUE,"Group 2B - Long"
)</f>
        <v>Group 2A - Short</v>
      </c>
      <c r="AP6" t="str">
        <v>IAM</v>
      </c>
      <c r="AQ6" t="str">
        <v>WIN</v>
      </c>
      <c r="AS6" t="str">
        <v>AVC</v>
      </c>
      <c r="AT6" t="str">
        <v>BOZOUR</v>
      </c>
      <c r="AU6" t="str">
        <v>ACLP</v>
      </c>
      <c r="AV6" t="str">
        <v>M-Sawa</v>
      </c>
      <c r="AW6" t="str">
        <v>Google-Labs</v>
      </c>
      <c r="AX6" s="150"/>
      <c r="AY6" s="150"/>
      <c r="AZ6" t="str">
        <v>KUZA</v>
      </c>
      <c r="BB6" s="15" t="s">
        <v>675</v>
      </c>
      <c r="BC6" s="427">
        <f t="array" ref="BC6">_xlfn.PERCENTILE.INC(_xlfn._xlws.FILTER(N3:N88,N3:N88&gt;0),0.25)</f>
        <v>7975000</v>
      </c>
      <c r="BD6" s="427">
        <f t="array" ref="BD6">_xlfn.PERCENTILE.INC(_xlfn._xlws.FILTER(N3:N88,N3:N88&gt;0),0.5)</f>
        <v>18060669.5</v>
      </c>
      <c r="BE6" s="427">
        <f t="array" ref="BE6">_xlfn.PERCENTILE.INC(_xlfn._xlws.FILTER(N3:N88,N3:N88&gt;0),0.75)</f>
        <v>30635737.5</v>
      </c>
    </row>
    <row r="7" spans="1:57" ht="14.45" customHeight="1" x14ac:dyDescent="0.25">
      <c r="A7" s="4" t="s">
        <v>61</v>
      </c>
      <c r="B7" t="s">
        <v>62</v>
      </c>
      <c r="C7" t="s">
        <v>63</v>
      </c>
      <c r="G7" t="s">
        <v>38</v>
      </c>
      <c r="H7" s="46" t="e" vm="4">
        <v>#VALUE!</v>
      </c>
      <c r="I7">
        <v>2022</v>
      </c>
      <c r="J7">
        <v>2026</v>
      </c>
      <c r="K7">
        <f t="shared" si="0"/>
        <v>4</v>
      </c>
      <c r="L7" t="s">
        <v>39</v>
      </c>
      <c r="M7" t="s">
        <v>617</v>
      </c>
      <c r="N7" s="448">
        <v>2070800</v>
      </c>
      <c r="O7" s="448">
        <f>Table9[[#This Row],[Cost (USD)]]/Table9[[#This Row],[Programme Length]]</f>
        <v>517700</v>
      </c>
      <c r="P7" s="46" t="str">
        <f t="array" ref="P7">IF(N7=0,"N/A",
_xlfn.IFS(
N7&lt;=$BC$6,"1st Quartile (Lowest 25%)",
N7&lt;=$BD$6,"2nd Quartile (25–50%)",
N7&lt;=$BE$6,"3rd Quartile (50–75%)",
TRUE,"4th Quartile (Highest 25%)"
))</f>
        <v>1st Quartile (Lowest 25%)</v>
      </c>
      <c r="Q7" s="13">
        <v>379.44</v>
      </c>
      <c r="R7" s="13">
        <f>IFERROR(Q7/AC7,"")</f>
        <v>2.5295999999999999E-2</v>
      </c>
      <c r="S7" s="13"/>
      <c r="T7" s="13"/>
      <c r="U7" s="13"/>
      <c r="V7" s="130">
        <v>1840.711111111111</v>
      </c>
      <c r="W7" s="130">
        <v>543.26830210546655</v>
      </c>
      <c r="X7" s="130">
        <v>749.74656046343216</v>
      </c>
      <c r="Y7" s="130">
        <v>1333.7840448135989</v>
      </c>
      <c r="Z7" s="13">
        <v>0.50645748502994015</v>
      </c>
      <c r="AA7" s="63" t="s">
        <v>42</v>
      </c>
      <c r="AB7" s="17" t="s">
        <v>583</v>
      </c>
      <c r="AC7" s="448">
        <v>15000</v>
      </c>
      <c r="AD7" s="13">
        <f>'VfM MSD Mastersheet'!$O99</f>
        <v>-0.55032919431105254</v>
      </c>
      <c r="AE7" s="318" t="str">
        <f t="array" ref="AE7">_xlfn.IFS(
AD7&lt;=$BC$3,"1st Quartile (Lowest 25%)",
AD7&lt;=$BD$3,"2nd Quartile (25–50%)",
AD7&lt;=$BE$3,"3rd Quartile (50–75%)",
TRUE,"4th Quartile (Highest 25%)"
)</f>
        <v>2nd Quartile (25–50%)</v>
      </c>
      <c r="AF7" s="13">
        <f>'VfM MSD Mastersheet'!$P99</f>
        <v>5.8709018070206724</v>
      </c>
      <c r="AG7" s="318" t="str">
        <f t="array" ref="AG7">_xlfn.IFS(
AF7&lt;=$BC$4,"1st Quartile (Lowest 25%)",
AF7&lt;=$BD$4,"2nd Quartile (25–50%)",
AF7&lt;=$BE$4,"3rd Quartile (50–75%)",
TRUE,"4th Quartile (Highest 25%)"
)</f>
        <v>2nd Quartile (25–50%)</v>
      </c>
      <c r="AH7" s="46" t="s">
        <v>674</v>
      </c>
      <c r="AI7" s="193" t="str">
        <f t="array" ref="AI7">_xlfn.IFS(
AND(AE7="1st Quartile (Lowest 25%)",AG7="4th Quartile (Highest 25%)"),"Group 1",
AND(AE7="4th Quartile (Highest 25%)",AG7="1st Quartile (Lowest 25%)"),"Group 3",
OR(AE7="1st Quartile (Lowest 25%)",AE7="2nd Quartile (25–50%)"),"Group 2A (Low Stability)",
TRUE,"Group 2B (High Inflation)"
)</f>
        <v>Group 2A (Low Stability)</v>
      </c>
      <c r="AJ7" t="str">
        <v>IMSAR</v>
      </c>
      <c r="AK7" t="str">
        <v>SDVC</v>
      </c>
      <c r="AL7" t="str">
        <v>MOLI-PH2</v>
      </c>
      <c r="AM7" t="str">
        <v>KUZA</v>
      </c>
      <c r="AN7" t="str">
        <f t="array" ref="AN7">_xlfn.IFS(
AND(AE7="1st Quartile (Lowest 25%)",AG7="4th Quartile (Highest 25%)",K7&lt;=5),"Group 1 - Short",
AND(AE7="1st Quartile (Lowest 25%)",AG7="4th Quartile (Highest 25%)",K7&lt;10),"Group 1 - Medium",
AND(AE7="1st Quartile (Lowest 25%)",AG7="4th Quartile (Highest 25%)",TRUE),"Group 1 - Long",
AND(AE7="4th Quartile (Highest 25%)",AG7="1st Quartile (Lowest 25%)",K7&lt;=5),"Group 3 - Short",
AND(AE7="4th Quartile (Highest 25%)",AG7="1st Quartile (Lowest 25%)",K7&lt;10),"Group 3 - Medium",
AND(AE7="4th Quartile (Highest 25%)",AG7="1st Quartile (Lowest 25%)",TRUE),"Group 3 - Long",
AND(OR(AE7="1st Quartile (Lowest 25%)",AE7="2nd Quartile (25–50%)"),K7&lt;=5),"Group 2A - Short",
AND(OR(AE7="1st Quartile (Lowest 25%)",AE7="2nd Quartile (25–50%)"),K7&lt;10),"Group 2A - Medium",
AND(OR(AE7="1st Quartile (Lowest 25%)",AE7="2nd Quartile (25–50%)"),TRUE),"Group 2A - Long",
K7&lt;=5,"Group 2B - Short",
K7&lt;10,"Group 2B - Medium",
TRUE,"Group 2B - Long"
)</f>
        <v>Group 2A - Short</v>
      </c>
      <c r="AP7" t="str">
        <v>IAM</v>
      </c>
      <c r="AQ7" t="str">
        <v>IMSAR</v>
      </c>
      <c r="AS7" t="str">
        <v>TMS</v>
      </c>
      <c r="AT7" t="str">
        <v>SDVC</v>
      </c>
      <c r="AU7" t="str">
        <v>CTDP</v>
      </c>
      <c r="AV7" t="str">
        <v>MADE-Ghana</v>
      </c>
      <c r="AW7" t="str">
        <v>RCP</v>
      </c>
      <c r="AZ7" t="str">
        <v>KUZA</v>
      </c>
      <c r="BB7" s="15" t="s">
        <v>676</v>
      </c>
      <c r="BC7" s="427">
        <f t="array" ref="BC7">_xlfn.PERCENTILE.INC(_xlfn._xlws.FILTER(O3:O88,O3:O88&gt;0),0.25)</f>
        <v>1565104.1666666667</v>
      </c>
      <c r="BD7" s="427">
        <f t="array" ref="BD7">_xlfn.PERCENTILE.INC(_xlfn._xlws.FILTER(O3:O88,O3:O88&gt;0),0.5)</f>
        <v>2817500</v>
      </c>
      <c r="BE7" s="427">
        <f t="array" ref="BE7">_xlfn.PERCENTILE.INC(_xlfn._xlws.FILTER(O3:O88,O3:O88&gt;0),0.75)</f>
        <v>5953300</v>
      </c>
    </row>
    <row r="8" spans="1:57" ht="14.45" customHeight="1" x14ac:dyDescent="0.25">
      <c r="A8" t="s">
        <v>65</v>
      </c>
      <c r="B8" t="s">
        <v>66</v>
      </c>
      <c r="C8" s="17" t="s">
        <v>45</v>
      </c>
      <c r="D8" s="230" t="s">
        <v>67</v>
      </c>
      <c r="E8" s="17" t="s">
        <v>68</v>
      </c>
      <c r="G8" s="17" t="s">
        <v>69</v>
      </c>
      <c r="H8" s="354" t="e" vm="5">
        <v>#VALUE!</v>
      </c>
      <c r="I8">
        <v>2017</v>
      </c>
      <c r="J8">
        <v>2022</v>
      </c>
      <c r="K8">
        <f t="shared" si="0"/>
        <v>5</v>
      </c>
      <c r="L8" t="s">
        <v>39</v>
      </c>
      <c r="M8" t="s">
        <v>602</v>
      </c>
      <c r="N8" s="448">
        <v>2800000</v>
      </c>
      <c r="O8" s="448">
        <f>Table9[[#This Row],[Cost (USD)]]/Table9[[#This Row],[Programme Length]]</f>
        <v>560000</v>
      </c>
      <c r="P8" s="46" t="str">
        <f t="array" ref="P8">IF(N8=0,"N/A",
_xlfn.IFS(
N8&lt;=$BC$6,"1st Quartile (Lowest 25%)",
N8&lt;=$BD$6,"2nd Quartile (25–50%)",
N8&lt;=$BE$6,"3rd Quartile (50–75%)",
TRUE,"4th Quartile (Highest 25%)"
))</f>
        <v>1st Quartile (Lowest 25%)</v>
      </c>
      <c r="Q8" s="130">
        <v>116.634423977346</v>
      </c>
      <c r="R8" s="13">
        <f>IFERROR(Q8/AC8,"")</f>
        <v>7.0687529683240002E-3</v>
      </c>
      <c r="S8" s="13">
        <v>1.3678571428571431</v>
      </c>
      <c r="T8" s="13">
        <v>0.31157142857142861</v>
      </c>
      <c r="U8" s="13"/>
      <c r="V8" s="130"/>
      <c r="W8" s="130"/>
      <c r="X8" s="130">
        <v>78.503939215521356</v>
      </c>
      <c r="Y8" s="130">
        <v>12738.21428571429</v>
      </c>
      <c r="Z8" s="13">
        <v>1.485714285714286</v>
      </c>
      <c r="AA8" s="63" t="s">
        <v>49</v>
      </c>
      <c r="AB8" s="17" t="s">
        <v>589</v>
      </c>
      <c r="AC8" s="448">
        <v>16500</v>
      </c>
      <c r="AD8" s="28">
        <f>'VfM MSD Mastersheet'!$O23</f>
        <v>-0.46518776645617821</v>
      </c>
      <c r="AE8" s="317" t="str">
        <f t="array" ref="AE8">_xlfn.IFS(
AD8&lt;=$BC$3,"1st Quartile (Lowest 25%)",
AD8&lt;=$BD$3,"2nd Quartile (25–50%)",
AD8&lt;=$BE$3,"3rd Quartile (50–75%)",
TRUE,"4th Quartile (Highest 25%)"
)</f>
        <v>3rd Quartile (50–75%)</v>
      </c>
      <c r="AF8" s="28">
        <f>'VfM MSD Mastersheet'!$P23</f>
        <v>5.4702914269318219</v>
      </c>
      <c r="AG8" s="317" t="str">
        <f t="array" ref="AG8">_xlfn.IFS(
AF8&lt;=$BC$4,"1st Quartile (Lowest 25%)",
AF8&lt;=$BD$4,"2nd Quartile (25–50%)",
AF8&lt;=$BE$4,"3rd Quartile (50–75%)",
TRUE,"4th Quartile (Highest 25%)"
)</f>
        <v>2nd Quartile (25–50%)</v>
      </c>
      <c r="AH8" s="46" t="s">
        <v>673</v>
      </c>
      <c r="AI8" s="193" t="str">
        <f t="array" ref="AI8">_xlfn.IFS(
AND(AE8="1st Quartile (Lowest 25%)",AG8="4th Quartile (Highest 25%)"),"Group 1",
AND(AE8="4th Quartile (Highest 25%)",AG8="1st Quartile (Lowest 25%)"),"Group 3",
OR(AE8="1st Quartile (Lowest 25%)",AE8="2nd Quartile (25–50%)"),"Group 2A (Low Stability)",
TRUE,"Group 2B (High Inflation)"
)</f>
        <v>Group 2B (High Inflation)</v>
      </c>
      <c r="AJ8" t="str">
        <v>MarketMakers-PH1-3</v>
      </c>
      <c r="AK8" t="str">
        <v>MVMW</v>
      </c>
      <c r="AL8" t="str">
        <v>Yapasa</v>
      </c>
      <c r="AM8" s="150" t="str">
        <v>Propcom Mai-karfi</v>
      </c>
      <c r="AN8" t="str">
        <f t="array" ref="AN8">_xlfn.IFS(
AND(AE8="1st Quartile (Lowest 25%)",AG8="4th Quartile (Highest 25%)",K8&lt;=5),"Group 1 - Short",
AND(AE8="1st Quartile (Lowest 25%)",AG8="4th Quartile (Highest 25%)",K8&lt;10),"Group 1 - Medium",
AND(AE8="1st Quartile (Lowest 25%)",AG8="4th Quartile (Highest 25%)",TRUE),"Group 1 - Long",
AND(AE8="4th Quartile (Highest 25%)",AG8="1st Quartile (Lowest 25%)",K8&lt;=5),"Group 3 - Short",
AND(AE8="4th Quartile (Highest 25%)",AG8="1st Quartile (Lowest 25%)",K8&lt;10),"Group 3 - Medium",
AND(AE8="4th Quartile (Highest 25%)",AG8="1st Quartile (Lowest 25%)",TRUE),"Group 3 - Long",
AND(OR(AE8="1st Quartile (Lowest 25%)",AE8="2nd Quartile (25–50%)"),K8&lt;=5),"Group 2A - Short",
AND(OR(AE8="1st Quartile (Lowest 25%)",AE8="2nd Quartile (25–50%)"),K8&lt;10),"Group 2A - Medium",
AND(OR(AE8="1st Quartile (Lowest 25%)",AE8="2nd Quartile (25–50%)"),TRUE),"Group 2A - Long",
K8&lt;=5,"Group 2B - Short",
K8&lt;10,"Group 2B - Medium",
TRUE,"Group 2B - Long"
)</f>
        <v>Group 2B - Short</v>
      </c>
      <c r="AP8" t="str">
        <v>IAM</v>
      </c>
      <c r="AQ8" t="str">
        <v>MSR</v>
      </c>
      <c r="AS8" t="str">
        <v>GEMS-PH1,3,4</v>
      </c>
      <c r="AT8" t="str">
        <v>MVMW</v>
      </c>
      <c r="AU8" t="str">
        <v>MUSIKA</v>
      </c>
      <c r="AV8" t="str">
        <v>GROW</v>
      </c>
      <c r="AW8" t="str">
        <v>NU-TEC-FS</v>
      </c>
    </row>
    <row r="9" spans="1:57" ht="14.45" customHeight="1" x14ac:dyDescent="0.25">
      <c r="A9" s="17" t="s">
        <v>71</v>
      </c>
      <c r="B9" s="17" t="s">
        <v>72</v>
      </c>
      <c r="C9" t="s">
        <v>73</v>
      </c>
      <c r="G9" s="17" t="s">
        <v>74</v>
      </c>
      <c r="H9" s="354" t="e" vm="6">
        <v>#VALUE!</v>
      </c>
      <c r="I9" s="17">
        <v>2019</v>
      </c>
      <c r="J9" s="17">
        <v>2023</v>
      </c>
      <c r="K9">
        <f t="shared" si="0"/>
        <v>4</v>
      </c>
      <c r="L9" t="s">
        <v>75</v>
      </c>
      <c r="M9" t="s">
        <v>76</v>
      </c>
      <c r="N9" s="448">
        <v>3500000</v>
      </c>
      <c r="O9" s="448">
        <f>Table9[[#This Row],[Cost (USD)]]/Table9[[#This Row],[Programme Length]]</f>
        <v>875000</v>
      </c>
      <c r="P9" s="46" t="str">
        <f t="array" ref="P9">IF(N9=0,"N/A",
_xlfn.IFS(
N9&lt;=$BC$6,"1st Quartile (Lowest 25%)",
N9&lt;=$BD$6,"2nd Quartile (25–50%)",
N9&lt;=$BE$6,"3rd Quartile (50–75%)",
TRUE,"4th Quartile (Highest 25%)"
))</f>
        <v>1st Quartile (Lowest 25%)</v>
      </c>
      <c r="Q9" s="130"/>
      <c r="R9" s="13"/>
      <c r="S9" s="13"/>
      <c r="T9" s="13"/>
      <c r="U9" s="13"/>
      <c r="V9" s="13"/>
      <c r="W9" s="130"/>
      <c r="X9" s="130">
        <v>538.46153846153845</v>
      </c>
      <c r="Y9" s="130">
        <v>1857.1428571428571</v>
      </c>
      <c r="Z9" s="13"/>
      <c r="AA9" s="66" t="s">
        <v>49</v>
      </c>
      <c r="AB9" s="17" t="s">
        <v>589</v>
      </c>
      <c r="AC9" s="448">
        <v>17800</v>
      </c>
      <c r="AD9" s="28">
        <f>'VfM MSD Mastersheet'!$O5</f>
        <v>-1.9798536002635951</v>
      </c>
      <c r="AE9" s="317" t="str">
        <f t="array" ref="AE9">_xlfn.IFS(
AD9&lt;=$BC$3,"1st Quartile (Lowest 25%)",
AD9&lt;=$BD$3,"2nd Quartile (25–50%)",
AD9&lt;=$BE$3,"3rd Quartile (50–75%)",
TRUE,"4th Quartile (Highest 25%)"
)</f>
        <v>1st Quartile (Lowest 25%)</v>
      </c>
      <c r="AF9" s="28">
        <f>'VfM MSD Mastersheet'!$P5</f>
        <v>13.309954624194646</v>
      </c>
      <c r="AG9" s="317" t="str">
        <f t="array" ref="AG9">_xlfn.IFS(
AF9&lt;=$BC$4,"1st Quartile (Lowest 25%)",
AF9&lt;=$BD$4,"2nd Quartile (25–50%)",
AF9&lt;=$BE$4,"3rd Quartile (50–75%)",
TRUE,"4th Quartile (Highest 25%)"
)</f>
        <v>4th Quartile (Highest 25%)</v>
      </c>
      <c r="AH9" s="46" t="s">
        <v>673</v>
      </c>
      <c r="AI9" s="324"/>
      <c r="AJ9" t="str">
        <v>IAM</v>
      </c>
      <c r="AK9" t="str">
        <v>IME</v>
      </c>
      <c r="AL9" t="str">
        <v>RCP</v>
      </c>
      <c r="AN9" s="310"/>
      <c r="AS9" t="str">
        <v>PEPE</v>
      </c>
      <c r="AT9" t="str">
        <v>IME</v>
      </c>
      <c r="AU9" t="str">
        <v>Katalyst-PH1-2</v>
      </c>
      <c r="AV9" t="str">
        <v>MADE Nigeria-PH1&amp;2</v>
      </c>
      <c r="AW9" t="str">
        <v>SOBA</v>
      </c>
    </row>
    <row r="10" spans="1:57" ht="14.45" customHeight="1" x14ac:dyDescent="0.25">
      <c r="A10" t="s">
        <v>78</v>
      </c>
      <c r="B10" t="s">
        <v>79</v>
      </c>
      <c r="C10" t="s">
        <v>80</v>
      </c>
      <c r="G10" t="s">
        <v>38</v>
      </c>
      <c r="H10" s="46" t="e" vm="7">
        <v>#VALUE!</v>
      </c>
      <c r="I10">
        <v>2023</v>
      </c>
      <c r="J10">
        <v>2026</v>
      </c>
      <c r="K10">
        <f t="shared" si="0"/>
        <v>3</v>
      </c>
      <c r="L10" t="s">
        <v>39</v>
      </c>
      <c r="M10" t="s">
        <v>617</v>
      </c>
      <c r="N10" s="448">
        <v>3541326</v>
      </c>
      <c r="O10" s="448">
        <f>Table9[[#This Row],[Cost (USD)]]/Table9[[#This Row],[Programme Length]]</f>
        <v>1180442</v>
      </c>
      <c r="P10" s="46" t="str">
        <f t="array" ref="P10">IF(N10=0,"N/A",
_xlfn.IFS(
N10&lt;=$BC$6,"1st Quartile (Lowest 25%)",
N10&lt;=$BD$6,"2nd Quartile (25–50%)",
N10&lt;=$BE$6,"3rd Quartile (50–75%)",
TRUE,"4th Quartile (Highest 25%)"
))</f>
        <v>1st Quartile (Lowest 25%)</v>
      </c>
      <c r="Q10" s="13">
        <v>330.73987568280279</v>
      </c>
      <c r="R10" s="13">
        <f>IFERROR(Q10/AC10,"")</f>
        <v>2.7561656306900231E-2</v>
      </c>
      <c r="S10" s="13">
        <v>0.15087964225829531</v>
      </c>
      <c r="T10" s="13">
        <v>0.19994262036310689</v>
      </c>
      <c r="U10" s="13">
        <v>3.6333847829880667E-2</v>
      </c>
      <c r="V10" s="130">
        <v>20831.329411764709</v>
      </c>
      <c r="W10" s="130">
        <v>48.004617479441308</v>
      </c>
      <c r="X10" s="130">
        <v>658.72879464285711</v>
      </c>
      <c r="Y10" s="130">
        <v>1518.075432761626</v>
      </c>
      <c r="Z10" s="13">
        <v>0.49583065778185909</v>
      </c>
      <c r="AA10" s="63" t="s">
        <v>42</v>
      </c>
      <c r="AB10" s="17" t="s">
        <v>583</v>
      </c>
      <c r="AC10" s="448">
        <v>12000</v>
      </c>
      <c r="AD10" s="13">
        <f>'VfM MSD Mastersheet'!$O100</f>
        <v>-1.4802402583035545</v>
      </c>
      <c r="AE10" s="318" t="str">
        <f t="array" ref="AE10">_xlfn.IFS(
AD10&lt;=$BC$3,"1st Quartile (Lowest 25%)",
AD10&lt;=$BD$3,"2nd Quartile (25–50%)",
AD10&lt;=$BE$3,"3rd Quartile (50–75%)",
TRUE,"4th Quartile (Highest 25%)"
)</f>
        <v>1st Quartile (Lowest 25%)</v>
      </c>
      <c r="AF10" s="13">
        <f>'VfM MSD Mastersheet'!$P100</f>
        <v>7.6154798049495867</v>
      </c>
      <c r="AG10" s="318" t="str">
        <f t="array" ref="AG10">_xlfn.IFS(
AF10&lt;=$BC$4,"1st Quartile (Lowest 25%)",
AF10&lt;=$BD$4,"2nd Quartile (25–50%)",
AF10&lt;=$BE$4,"3rd Quartile (50–75%)",
TRUE,"4th Quartile (Highest 25%)"
)</f>
        <v>3rd Quartile (50–75%)</v>
      </c>
      <c r="AH10" s="46" t="s">
        <v>587</v>
      </c>
      <c r="AI10" s="193" t="str">
        <f t="array" ref="AI10">_xlfn.IFS(
AND(AE10="1st Quartile (Lowest 25%)",AG10="4th Quartile (Highest 25%)"),"Group 1",
AND(AE10="4th Quartile (Highest 25%)",AG10="1st Quartile (Lowest 25%)"),"Group 3",
OR(AE10="1st Quartile (Lowest 25%)",AE10="2nd Quartile (25–50%)"),"Group 2A (Low Stability)",
TRUE,"Group 2B (High Inflation)"
)</f>
        <v>Group 2A (Low Stability)</v>
      </c>
      <c r="AJ10" t="str">
        <v>MSR</v>
      </c>
      <c r="AK10" t="str">
        <v>RAIN</v>
      </c>
      <c r="AL10" t="str">
        <v>CHAIN</v>
      </c>
      <c r="AN10" t="str">
        <f t="array" ref="AN10">_xlfn.IFS(
AND(AE10="1st Quartile (Lowest 25%)",AG10="4th Quartile (Highest 25%)",K10&lt;=5),"Group 1 - Short",
AND(AE10="1st Quartile (Lowest 25%)",AG10="4th Quartile (Highest 25%)",K10&lt;10),"Group 1 - Medium",
AND(AE10="1st Quartile (Lowest 25%)",AG10="4th Quartile (Highest 25%)",TRUE),"Group 1 - Long",
AND(AE10="4th Quartile (Highest 25%)",AG10="1st Quartile (Lowest 25%)",K10&lt;=5),"Group 3 - Short",
AND(AE10="4th Quartile (Highest 25%)",AG10="1st Quartile (Lowest 25%)",K10&lt;10),"Group 3 - Medium",
AND(AE10="4th Quartile (Highest 25%)",AG10="1st Quartile (Lowest 25%)",TRUE),"Group 3 - Long",
AND(OR(AE10="1st Quartile (Lowest 25%)",AE10="2nd Quartile (25–50%)"),K10&lt;=5),"Group 2A - Short",
AND(OR(AE10="1st Quartile (Lowest 25%)",AE10="2nd Quartile (25–50%)"),K10&lt;10),"Group 2A - Medium",
AND(OR(AE10="1st Quartile (Lowest 25%)",AE10="2nd Quartile (25–50%)"),TRUE),"Group 2A - Long",
K10&lt;=5,"Group 2B - Short",
K10&lt;10,"Group 2B - Medium",
TRUE,"Group 2B - Long"
)</f>
        <v>Group 2A - Short</v>
      </c>
      <c r="AT10" t="str">
        <v>RAIN</v>
      </c>
      <c r="AU10" t="e">
        <v>#N/A</v>
      </c>
      <c r="AW10" t="str">
        <v>ZGJP</v>
      </c>
    </row>
    <row r="11" spans="1:57" ht="14.45" customHeight="1" x14ac:dyDescent="0.25">
      <c r="A11" s="29" t="s">
        <v>81</v>
      </c>
      <c r="B11" s="17" t="s">
        <v>82</v>
      </c>
      <c r="C11" t="s">
        <v>52</v>
      </c>
      <c r="G11" s="17" t="s">
        <v>83</v>
      </c>
      <c r="H11" s="354" t="e" vm="8">
        <v>#VALUE!</v>
      </c>
      <c r="I11" s="17">
        <v>2013</v>
      </c>
      <c r="J11" s="17">
        <v>2016</v>
      </c>
      <c r="K11">
        <f t="shared" si="0"/>
        <v>3</v>
      </c>
      <c r="L11" t="s">
        <v>39</v>
      </c>
      <c r="M11" t="s">
        <v>84</v>
      </c>
      <c r="N11" s="448">
        <v>3900000</v>
      </c>
      <c r="O11" s="448">
        <f>Table9[[#This Row],[Cost (USD)]]/Table9[[#This Row],[Programme Length]]</f>
        <v>1300000</v>
      </c>
      <c r="P11" s="46" t="str">
        <f t="array" ref="P11">IF(N11=0,"N/A",
_xlfn.IFS(
N11&lt;=$BC$6,"1st Quartile (Lowest 25%)",
N11&lt;=$BD$6,"2nd Quartile (25–50%)",
N11&lt;=$BE$6,"3rd Quartile (50–75%)",
TRUE,"4th Quartile (Highest 25%)"
))</f>
        <v>1st Quartile (Lowest 25%)</v>
      </c>
      <c r="Q11" s="130">
        <v>528</v>
      </c>
      <c r="R11" s="13">
        <f>IFERROR(Q11/AC11,"")</f>
        <v>5.67741935483871E-2</v>
      </c>
      <c r="S11" s="13"/>
      <c r="T11" s="13"/>
      <c r="U11" s="13"/>
      <c r="V11" s="130"/>
      <c r="W11" s="130"/>
      <c r="X11" s="130">
        <v>130</v>
      </c>
      <c r="Y11" s="130">
        <v>7692.3076923076924</v>
      </c>
      <c r="Z11" s="13">
        <v>4.0615384615384613</v>
      </c>
      <c r="AA11" s="66" t="s">
        <v>49</v>
      </c>
      <c r="AB11" s="17" t="s">
        <v>583</v>
      </c>
      <c r="AC11" s="448">
        <v>9300</v>
      </c>
      <c r="AD11" s="28">
        <f>'VfM MSD Mastersheet'!$O11</f>
        <v>-1.2482322007417688</v>
      </c>
      <c r="AE11" s="317" t="str">
        <f t="array" ref="AE11">_xlfn.IFS(
AD11&lt;=$BC$3,"1st Quartile (Lowest 25%)",
AD11&lt;=$BD$3,"2nd Quartile (25–50%)",
AD11&lt;=$BE$3,"3rd Quartile (50–75%)",
TRUE,"4th Quartile (Highest 25%)"
)</f>
        <v>1st Quartile (Lowest 25%)</v>
      </c>
      <c r="AF11" s="28">
        <f>'VfM MSD Mastersheet'!$P11</f>
        <v>6.5574628145299991</v>
      </c>
      <c r="AG11" s="317" t="str">
        <f t="array" ref="AG11">_xlfn.IFS(
AF11&lt;=$BC$4,"1st Quartile (Lowest 25%)",
AF11&lt;=$BD$4,"2nd Quartile (25–50%)",
AF11&lt;=$BE$4,"3rd Quartile (50–75%)",
TRUE,"4th Quartile (Highest 25%)"
)</f>
        <v>3rd Quartile (50–75%)</v>
      </c>
      <c r="AH11" s="46" t="s">
        <v>674</v>
      </c>
      <c r="AI11" s="193" t="str">
        <f t="array" ref="AI11">_xlfn.IFS(
AND(AE11="1st Quartile (Lowest 25%)",AG11="4th Quartile (Highest 25%)"),"Group 1",
AND(AE11="4th Quartile (Highest 25%)",AG11="1st Quartile (Lowest 25%)"),"Group 3",
OR(AE11="1st Quartile (Lowest 25%)",AE11="2nd Quartile (25–50%)"),"Group 2A (Low Stability)",
TRUE,"Group 2B (High Inflation)"
)</f>
        <v>Group 2A (Low Stability)</v>
      </c>
      <c r="AJ11" t="str">
        <v>AVC-HVC</v>
      </c>
      <c r="AK11" t="str">
        <v>SHOMOSHTI-PH2</v>
      </c>
      <c r="AL11" t="str">
        <v>NU-TEC-FS</v>
      </c>
      <c r="AN11" t="str">
        <f t="array" ref="AN11">_xlfn.IFS(
AND(AE11="1st Quartile (Lowest 25%)",AG11="4th Quartile (Highest 25%)",K11&lt;=5),"Group 1 - Short",
AND(AE11="1st Quartile (Lowest 25%)",AG11="4th Quartile (Highest 25%)",K11&lt;10),"Group 1 - Medium",
AND(AE11="1st Quartile (Lowest 25%)",AG11="4th Quartile (Highest 25%)",TRUE),"Group 1 - Long",
AND(AE11="4th Quartile (Highest 25%)",AG11="1st Quartile (Lowest 25%)",K11&lt;=5),"Group 3 - Short",
AND(AE11="4th Quartile (Highest 25%)",AG11="1st Quartile (Lowest 25%)",K11&lt;10),"Group 3 - Medium",
AND(AE11="4th Quartile (Highest 25%)",AG11="1st Quartile (Lowest 25%)",TRUE),"Group 3 - Long",
AND(OR(AE11="1st Quartile (Lowest 25%)",AE11="2nd Quartile (25–50%)"),K11&lt;=5),"Group 2A - Short",
AND(OR(AE11="1st Quartile (Lowest 25%)",AE11="2nd Quartile (25–50%)"),K11&lt;10),"Group 2A - Medium",
AND(OR(AE11="1st Quartile (Lowest 25%)",AE11="2nd Quartile (25–50%)"),TRUE),"Group 2A - Long",
K11&lt;=5,"Group 2B - Short",
K11&lt;10,"Group 2B - Medium",
TRUE,"Group 2B - Long"
)</f>
        <v>Group 2A - Short</v>
      </c>
      <c r="AT11" t="str">
        <v>SHOMOSHTI-PH2</v>
      </c>
      <c r="AW11" t="str">
        <v>Orora Wihaze</v>
      </c>
    </row>
    <row r="12" spans="1:57" ht="14.45" customHeight="1" x14ac:dyDescent="0.25">
      <c r="A12" s="4" t="s">
        <v>86</v>
      </c>
      <c r="B12" t="s">
        <v>87</v>
      </c>
      <c r="C12" t="s">
        <v>88</v>
      </c>
      <c r="G12" t="s">
        <v>53</v>
      </c>
      <c r="H12" s="46" t="e" vm="9">
        <v>#VALUE!</v>
      </c>
      <c r="I12">
        <v>2014</v>
      </c>
      <c r="J12">
        <v>2018</v>
      </c>
      <c r="K12">
        <f t="shared" si="0"/>
        <v>4</v>
      </c>
      <c r="L12" t="s">
        <v>39</v>
      </c>
      <c r="M12" t="s">
        <v>602</v>
      </c>
      <c r="N12" s="448">
        <v>4000000</v>
      </c>
      <c r="O12" s="448">
        <f>Table9[[#This Row],[Cost (USD)]]/Table9[[#This Row],[Programme Length]]</f>
        <v>1000000</v>
      </c>
      <c r="P12" s="46" t="str">
        <f t="array" ref="P12">IF(N12=0,"N/A",
_xlfn.IFS(
N12&lt;=$BC$6,"1st Quartile (Lowest 25%)",
N12&lt;=$BD$6,"2nd Quartile (25–50%)",
N12&lt;=$BE$6,"3rd Quartile (50–75%)",
TRUE,"4th Quartile (Highest 25%)"
))</f>
        <v>1st Quartile (Lowest 25%)</v>
      </c>
      <c r="Q12" s="13">
        <v>583.21552429567862</v>
      </c>
      <c r="R12" s="13">
        <f>IFERROR(Q12/AC12,"")</f>
        <v>0.10055440074063425</v>
      </c>
      <c r="S12" s="13">
        <v>0.29726449999999999</v>
      </c>
      <c r="T12" s="13"/>
      <c r="U12" s="13">
        <v>6.9074999999999996E-4</v>
      </c>
      <c r="V12" s="130"/>
      <c r="W12" s="130"/>
      <c r="X12" s="130">
        <v>471.53129788989742</v>
      </c>
      <c r="Y12" s="130">
        <v>2120.75</v>
      </c>
      <c r="Z12" s="13">
        <v>3.741765</v>
      </c>
      <c r="AA12" s="63" t="s">
        <v>42</v>
      </c>
      <c r="AB12" s="17" t="s">
        <v>583</v>
      </c>
      <c r="AC12" s="448">
        <v>5800</v>
      </c>
      <c r="AD12" s="28">
        <f>'VfM MSD Mastersheet'!$O87</f>
        <v>-0.95616787982095608</v>
      </c>
      <c r="AE12" s="318" t="str">
        <f t="array" ref="AE12">_xlfn.IFS(
AD12&lt;=$BC$3,"1st Quartile (Lowest 25%)",
AD12&lt;=$BD$3,"2nd Quartile (25–50%)",
AD12&lt;=$BE$3,"3rd Quartile (50–75%)",
TRUE,"4th Quartile (Highest 25%)"
)</f>
        <v>2nd Quartile (25–50%)</v>
      </c>
      <c r="AF12" s="13">
        <f>'VfM MSD Mastersheet'!$P87</f>
        <v>8.3061189633890571</v>
      </c>
      <c r="AG12" s="318" t="str">
        <f t="array" ref="AG12">_xlfn.IFS(
AF12&lt;=$BC$4,"1st Quartile (Lowest 25%)",
AF12&lt;=$BD$4,"2nd Quartile (25–50%)",
AF12&lt;=$BE$4,"3rd Quartile (50–75%)",
TRUE,"4th Quartile (Highest 25%)"
)</f>
        <v>3rd Quartile (50–75%)</v>
      </c>
      <c r="AH12" s="46" t="s">
        <v>674</v>
      </c>
      <c r="AI12" s="193" t="str">
        <f t="array" ref="AI12">_xlfn.IFS(
AND(AE12="1st Quartile (Lowest 25%)",AG12="4th Quartile (Highest 25%)"),"Group 1",
AND(AE12="4th Quartile (Highest 25%)",AG12="1st Quartile (Lowest 25%)"),"Group 3",
OR(AE12="1st Quartile (Lowest 25%)",AE12="2nd Quartile (25–50%)"),"Group 2A (Low Stability)",
TRUE,"Group 2B (High Inflation)"
)</f>
        <v>Group 2A (Low Stability)</v>
      </c>
      <c r="AJ12" t="e">
        <v>#N/A</v>
      </c>
      <c r="AK12" t="str">
        <v>FORESITE</v>
      </c>
      <c r="AL12" t="str">
        <v>SOBA</v>
      </c>
      <c r="AN12" t="str">
        <f t="array" ref="AN12">_xlfn.IFS(
AND(AE12="1st Quartile (Lowest 25%)",AG12="4th Quartile (Highest 25%)",K12&lt;=5),"Group 1 - Short",
AND(AE12="1st Quartile (Lowest 25%)",AG12="4th Quartile (Highest 25%)",K12&lt;10),"Group 1 - Medium",
AND(AE12="1st Quartile (Lowest 25%)",AG12="4th Quartile (Highest 25%)",TRUE),"Group 1 - Long",
AND(AE12="4th Quartile (Highest 25%)",AG12="1st Quartile (Lowest 25%)",K12&lt;=5),"Group 3 - Short",
AND(AE12="4th Quartile (Highest 25%)",AG12="1st Quartile (Lowest 25%)",K12&lt;10),"Group 3 - Medium",
AND(AE12="4th Quartile (Highest 25%)",AG12="1st Quartile (Lowest 25%)",TRUE),"Group 3 - Long",
AND(OR(AE12="1st Quartile (Lowest 25%)",AE12="2nd Quartile (25–50%)"),K12&lt;=5),"Group 2A - Short",
AND(OR(AE12="1st Quartile (Lowest 25%)",AE12="2nd Quartile (25–50%)"),K12&lt;10),"Group 2A - Medium",
AND(OR(AE12="1st Quartile (Lowest 25%)",AE12="2nd Quartile (25–50%)"),TRUE),"Group 2A - Long",
K12&lt;=5,"Group 2B - Short",
K12&lt;10,"Group 2B - Medium",
TRUE,"Group 2B - Long"
)</f>
        <v>Group 2A - Short</v>
      </c>
      <c r="AT12" t="str">
        <v>FORESITE</v>
      </c>
      <c r="AW12" t="str">
        <v>GRAISEA-PH2</v>
      </c>
    </row>
    <row r="13" spans="1:57" ht="14.45" customHeight="1" x14ac:dyDescent="0.25">
      <c r="A13" t="s">
        <v>89</v>
      </c>
      <c r="B13" t="s">
        <v>90</v>
      </c>
      <c r="C13" t="s">
        <v>57</v>
      </c>
      <c r="G13" s="17" t="s">
        <v>91</v>
      </c>
      <c r="H13" s="354" t="s">
        <v>92</v>
      </c>
      <c r="I13">
        <v>2015</v>
      </c>
      <c r="J13">
        <v>2018</v>
      </c>
      <c r="K13">
        <f t="shared" si="0"/>
        <v>3</v>
      </c>
      <c r="L13" t="s">
        <v>39</v>
      </c>
      <c r="M13" t="s">
        <v>594</v>
      </c>
      <c r="N13" s="448">
        <v>4490000</v>
      </c>
      <c r="O13" s="448">
        <f>Table9[[#This Row],[Cost (USD)]]/Table9[[#This Row],[Programme Length]]</f>
        <v>1496666.6666666667</v>
      </c>
      <c r="P13" s="46" t="str">
        <f t="array" ref="P13">IF(N13=0,"N/A",
_xlfn.IFS(
N13&lt;=$BC$6,"1st Quartile (Lowest 25%)",
N13&lt;=$BD$6,"2nd Quartile (25–50%)",
N13&lt;=$BE$6,"3rd Quartile (50–75%)",
TRUE,"4th Quartile (Highest 25%)"
))</f>
        <v>1st Quartile (Lowest 25%)</v>
      </c>
      <c r="Q13" s="130"/>
      <c r="R13" s="13"/>
      <c r="S13" s="13">
        <v>8.908685968819599</v>
      </c>
      <c r="T13" s="13"/>
      <c r="U13" s="13"/>
      <c r="V13" s="130"/>
      <c r="W13" s="130"/>
      <c r="X13" s="130">
        <v>2199.902008819206</v>
      </c>
      <c r="Y13" s="130">
        <v>454.56570155902</v>
      </c>
      <c r="Z13" s="13"/>
      <c r="AA13" s="63" t="s">
        <v>49</v>
      </c>
      <c r="AB13" t="s">
        <v>597</v>
      </c>
      <c r="AC13" s="448">
        <v>22000</v>
      </c>
      <c r="AD13" s="28">
        <f>'VfM MSD Mastersheet'!$O34</f>
        <v>0.73502775430679335</v>
      </c>
      <c r="AE13" s="317" t="str">
        <f t="array" ref="AE13">_xlfn.IFS(
AD13&lt;=$BC$3,"1st Quartile (Lowest 25%)",
AD13&lt;=$BD$3,"2nd Quartile (25–50%)",
AD13&lt;=$BE$3,"3rd Quartile (50–75%)",
TRUE,"4th Quartile (Highest 25%)"
)</f>
        <v>4th Quartile (Highest 25%)</v>
      </c>
      <c r="AF13" s="28">
        <f>'VfM MSD Mastersheet'!$P34</f>
        <v>5.9018836260540146</v>
      </c>
      <c r="AG13" s="317" t="str">
        <f t="array" ref="AG13">_xlfn.IFS(
AF13&lt;=$BC$4,"1st Quartile (Lowest 25%)",
AF13&lt;=$BD$4,"2nd Quartile (25–50%)",
AF13&lt;=$BE$4,"3rd Quartile (50–75%)",
TRUE,"4th Quartile (Highest 25%)"
)</f>
        <v>2nd Quartile (25–50%)</v>
      </c>
      <c r="AH13" s="46" t="s">
        <v>584</v>
      </c>
      <c r="AI13" s="193" t="str">
        <f t="array" ref="AI13">_xlfn.IFS(
AND(AE13="1st Quartile (Lowest 25%)",AG13="4th Quartile (Highest 25%)"),"Group 1",
AND(AE13="4th Quartile (Highest 25%)",AG13="1st Quartile (Lowest 25%)"),"Group 3",
OR(AE13="1st Quartile (Lowest 25%)",AE13="2nd Quartile (25–50%)"),"Group 2A (Low Stability)",
TRUE,"Group 2B (High Inflation)"
)</f>
        <v>Group 2B (High Inflation)</v>
      </c>
      <c r="AJ13" t="e">
        <v>#N/A</v>
      </c>
      <c r="AK13" t="str">
        <v>Mercados Rurales</v>
      </c>
      <c r="AL13" t="str">
        <v>ZGJP</v>
      </c>
      <c r="AN13" t="str">
        <f t="array" ref="AN13">_xlfn.IFS(
AND(AE13="1st Quartile (Lowest 25%)",AG13="4th Quartile (Highest 25%)",K13&lt;=5),"Group 1 - Short",
AND(AE13="1st Quartile (Lowest 25%)",AG13="4th Quartile (Highest 25%)",K13&lt;10),"Group 1 - Medium",
AND(AE13="1st Quartile (Lowest 25%)",AG13="4th Quartile (Highest 25%)",TRUE),"Group 1 - Long",
AND(AE13="4th Quartile (Highest 25%)",AG13="1st Quartile (Lowest 25%)",K13&lt;=5),"Group 3 - Short",
AND(AE13="4th Quartile (Highest 25%)",AG13="1st Quartile (Lowest 25%)",K13&lt;10),"Group 3 - Medium",
AND(AE13="4th Quartile (Highest 25%)",AG13="1st Quartile (Lowest 25%)",TRUE),"Group 3 - Long",
AND(OR(AE13="1st Quartile (Lowest 25%)",AE13="2nd Quartile (25–50%)"),K13&lt;=5),"Group 2A - Short",
AND(OR(AE13="1st Quartile (Lowest 25%)",AE13="2nd Quartile (25–50%)"),K13&lt;10),"Group 2A - Medium",
AND(OR(AE13="1st Quartile (Lowest 25%)",AE13="2nd Quartile (25–50%)"),TRUE),"Group 2A - Long",
K13&lt;=5,"Group 2B - Short",
K13&lt;10,"Group 2B - Medium",
TRUE,"Group 2B - Long"
)</f>
        <v>Group 2B - Short</v>
      </c>
      <c r="AT13" t="str">
        <v>Mercados Rurales</v>
      </c>
      <c r="AW13" t="str">
        <v>Nguriza Nshore</v>
      </c>
    </row>
    <row r="14" spans="1:57" ht="14.45" customHeight="1" x14ac:dyDescent="0.25">
      <c r="A14" t="s">
        <v>95</v>
      </c>
      <c r="B14" t="s">
        <v>96</v>
      </c>
      <c r="C14" t="s">
        <v>97</v>
      </c>
      <c r="G14" t="s">
        <v>53</v>
      </c>
      <c r="H14" s="46" t="s">
        <v>98</v>
      </c>
      <c r="I14">
        <v>2017</v>
      </c>
      <c r="J14">
        <v>2020</v>
      </c>
      <c r="K14">
        <f t="shared" si="0"/>
        <v>3</v>
      </c>
      <c r="L14" t="s">
        <v>99</v>
      </c>
      <c r="M14" t="s">
        <v>602</v>
      </c>
      <c r="N14" s="448">
        <v>5000000</v>
      </c>
      <c r="O14" s="448">
        <f>Table9[[#This Row],[Cost (USD)]]/Table9[[#This Row],[Programme Length]]</f>
        <v>1666666.6666666667</v>
      </c>
      <c r="P14" s="46" t="str">
        <f t="array" ref="P14">IF(N14=0,"N/A",
_xlfn.IFS(
N14&lt;=$BC$6,"1st Quartile (Lowest 25%)",
N14&lt;=$BD$6,"2nd Quartile (25–50%)",
N14&lt;=$BE$6,"3rd Quartile (50–75%)",
TRUE,"4th Quartile (Highest 25%)"
))</f>
        <v>1st Quartile (Lowest 25%)</v>
      </c>
      <c r="Q14" s="13">
        <v>359.35932072558859</v>
      </c>
      <c r="R14" s="13">
        <f>IFERROR(Q14/AC14,"")</f>
        <v>2.6817859755640938E-2</v>
      </c>
      <c r="S14" s="13"/>
      <c r="T14" s="13">
        <v>0.36717139999999998</v>
      </c>
      <c r="U14" s="13"/>
      <c r="V14" s="130"/>
      <c r="W14" s="130"/>
      <c r="X14" s="130">
        <v>1929.75685063682</v>
      </c>
      <c r="Y14" s="130">
        <v>518.20000000000005</v>
      </c>
      <c r="Z14" s="13">
        <v>0.18622</v>
      </c>
      <c r="AA14" s="63" t="s">
        <v>49</v>
      </c>
      <c r="AB14" t="s">
        <v>597</v>
      </c>
      <c r="AC14" s="448">
        <v>13400</v>
      </c>
      <c r="AD14" s="28">
        <f>'VfM MSD Mastersheet'!$O86</f>
        <v>-0.53412978351116158</v>
      </c>
      <c r="AE14" s="318" t="str">
        <f t="array" ref="AE14">_xlfn.IFS(
AD14&lt;=$BC$3,"1st Quartile (Lowest 25%)",
AD14&lt;=$BD$3,"2nd Quartile (25–50%)",
AD14&lt;=$BE$3,"3rd Quartile (50–75%)",
TRUE,"4th Quartile (Highest 25%)"
)</f>
        <v>3rd Quartile (50–75%)</v>
      </c>
      <c r="AF14" s="13">
        <f>'VfM MSD Mastersheet'!$P86</f>
        <v>5.2888020413728762</v>
      </c>
      <c r="AG14" s="318" t="str">
        <f t="array" ref="AG14">_xlfn.IFS(
AF14&lt;=$BC$4,"1st Quartile (Lowest 25%)",
AF14&lt;=$BD$4,"2nd Quartile (25–50%)",
AF14&lt;=$BE$4,"3rd Quartile (50–75%)",
TRUE,"4th Quartile (Highest 25%)"
)</f>
        <v>2nd Quartile (25–50%)</v>
      </c>
      <c r="AH14" s="46" t="s">
        <v>674</v>
      </c>
      <c r="AI14" s="193" t="str">
        <f t="array" ref="AI14">_xlfn.IFS(
AND(AE14="1st Quartile (Lowest 25%)",AG14="4th Quartile (Highest 25%)"),"Group 1",
AND(AE14="4th Quartile (Highest 25%)",AG14="1st Quartile (Lowest 25%)"),"Group 3",
OR(AE14="1st Quartile (Lowest 25%)",AE14="2nd Quartile (25–50%)"),"Group 2A (Low Stability)",
TRUE,"Group 2B (High Inflation)"
)</f>
        <v>Group 2B (High Inflation)</v>
      </c>
      <c r="AJ14" t="e">
        <v>#N/A</v>
      </c>
      <c r="AK14" t="str">
        <v>R2J</v>
      </c>
      <c r="AL14" t="str">
        <v>LEED-PH1&amp;2</v>
      </c>
      <c r="AN14" t="str">
        <f t="array" ref="AN14">_xlfn.IFS(
AND(AE14="1st Quartile (Lowest 25%)",AG14="4th Quartile (Highest 25%)",K14&lt;=5),"Group 1 - Short",
AND(AE14="1st Quartile (Lowest 25%)",AG14="4th Quartile (Highest 25%)",K14&lt;10),"Group 1 - Medium",
AND(AE14="1st Quartile (Lowest 25%)",AG14="4th Quartile (Highest 25%)",TRUE),"Group 1 - Long",
AND(AE14="4th Quartile (Highest 25%)",AG14="1st Quartile (Lowest 25%)",K14&lt;=5),"Group 3 - Short",
AND(AE14="4th Quartile (Highest 25%)",AG14="1st Quartile (Lowest 25%)",K14&lt;10),"Group 3 - Medium",
AND(AE14="4th Quartile (Highest 25%)",AG14="1st Quartile (Lowest 25%)",TRUE),"Group 3 - Long",
AND(OR(AE14="1st Quartile (Lowest 25%)",AE14="2nd Quartile (25–50%)"),K14&lt;=5),"Group 2A - Short",
AND(OR(AE14="1st Quartile (Lowest 25%)",AE14="2nd Quartile (25–50%)"),K14&lt;10),"Group 2A - Medium",
AND(OR(AE14="1st Quartile (Lowest 25%)",AE14="2nd Quartile (25–50%)"),TRUE),"Group 2A - Long",
K14&lt;=5,"Group 2B - Short",
K14&lt;10,"Group 2B - Medium",
TRUE,"Group 2B - Long"
)</f>
        <v>Group 2B - Short</v>
      </c>
      <c r="AT14" t="str">
        <v>R2J</v>
      </c>
      <c r="AW14" t="str">
        <v>STARS</v>
      </c>
    </row>
    <row r="15" spans="1:57" ht="14.45" customHeight="1" x14ac:dyDescent="0.25">
      <c r="A15" t="s">
        <v>100</v>
      </c>
      <c r="B15" t="s">
        <v>101</v>
      </c>
      <c r="C15" t="s">
        <v>80</v>
      </c>
      <c r="G15" t="s">
        <v>53</v>
      </c>
      <c r="H15" s="46" t="e" vm="10">
        <v>#VALUE!</v>
      </c>
      <c r="I15">
        <v>2021</v>
      </c>
      <c r="J15">
        <v>2025</v>
      </c>
      <c r="K15">
        <f t="shared" si="0"/>
        <v>4</v>
      </c>
      <c r="L15" t="s">
        <v>39</v>
      </c>
      <c r="M15" t="s">
        <v>602</v>
      </c>
      <c r="N15" s="448">
        <v>5400000</v>
      </c>
      <c r="O15" s="448">
        <f>Table9[[#This Row],[Cost (USD)]]/Table9[[#This Row],[Programme Length]]</f>
        <v>1350000</v>
      </c>
      <c r="P15" s="46" t="str">
        <f t="array" ref="P15">IF(N15=0,"N/A",
_xlfn.IFS(
N15&lt;=$BC$6,"1st Quartile (Lowest 25%)",
N15&lt;=$BD$6,"2nd Quartile (25–50%)",
N15&lt;=$BE$6,"3rd Quartile (50–75%)",
TRUE,"4th Quartile (Highest 25%)"
))</f>
        <v>1st Quartile (Lowest 25%)</v>
      </c>
      <c r="Q15" s="13">
        <v>33.162801070472803</v>
      </c>
      <c r="R15" s="13">
        <f>IFERROR(Q15/AC15,"")</f>
        <v>1.7454105826564634E-2</v>
      </c>
      <c r="S15" s="13">
        <v>0.39100000000000001</v>
      </c>
      <c r="T15" s="13">
        <v>0.23866666666666669</v>
      </c>
      <c r="U15" s="13"/>
      <c r="V15" s="130"/>
      <c r="W15" s="130"/>
      <c r="X15" s="130">
        <v>638.37333018087247</v>
      </c>
      <c r="Y15" s="130">
        <v>1566.4814814814811</v>
      </c>
      <c r="Z15" s="13">
        <v>6.8843518518518512E-2</v>
      </c>
      <c r="AA15" s="63" t="s">
        <v>49</v>
      </c>
      <c r="AB15" s="17" t="s">
        <v>586</v>
      </c>
      <c r="AC15" s="448">
        <v>1900</v>
      </c>
      <c r="AD15" s="28">
        <f>'VfM MSD Mastersheet'!$O89</f>
        <v>-2.0239191187752623</v>
      </c>
      <c r="AE15" s="318" t="str">
        <f t="array" ref="AE15">_xlfn.IFS(
AD15&lt;=$BC$3,"1st Quartile (Lowest 25%)",
AD15&lt;=$BD$3,"2nd Quartile (25–50%)",
AD15&lt;=$BE$3,"3rd Quartile (50–75%)",
TRUE,"4th Quartile (Highest 25%)"
)</f>
        <v>1st Quartile (Lowest 25%)</v>
      </c>
      <c r="AF15" s="13">
        <f>'VfM MSD Mastersheet'!$P89</f>
        <v>11.89774460578583</v>
      </c>
      <c r="AG15" s="318" t="str">
        <f t="array" ref="AG15">_xlfn.IFS(
AF15&lt;=$BC$4,"1st Quartile (Lowest 25%)",
AF15&lt;=$BD$4,"2nd Quartile (25–50%)",
AF15&lt;=$BE$4,"3rd Quartile (50–75%)",
TRUE,"4th Quartile (Highest 25%)"
)</f>
        <v>4th Quartile (Highest 25%)</v>
      </c>
      <c r="AH15" s="46" t="s">
        <v>673</v>
      </c>
      <c r="AI15" s="193" t="str">
        <f t="array" ref="AI15">_xlfn.IFS(
AND(AE15="1st Quartile (Lowest 25%)",AG15="4th Quartile (Highest 25%)"),"Group 1",
AND(AE15="4th Quartile (Highest 25%)",AG15="1st Quartile (Lowest 25%)"),"Group 3",
OR(AE15="1st Quartile (Lowest 25%)",AE15="2nd Quartile (25–50%)"),"Group 2A (Low Stability)",
TRUE,"Group 2B (High Inflation)"
)</f>
        <v>Group 1</v>
      </c>
      <c r="AJ15" s="238" t="s">
        <v>310</v>
      </c>
      <c r="AK15" t="str">
        <v>Ag Inputs</v>
      </c>
      <c r="AL15" t="str">
        <v>Orora Wihaze</v>
      </c>
      <c r="AN15" t="str">
        <f t="array" ref="AN15">_xlfn.IFS(
AND(AE15="1st Quartile (Lowest 25%)",AG15="4th Quartile (Highest 25%)",K15&lt;=5),"Group 1 - Short",
AND(AE15="1st Quartile (Lowest 25%)",AG15="4th Quartile (Highest 25%)",K15&lt;10),"Group 1 - Medium",
AND(AE15="1st Quartile (Lowest 25%)",AG15="4th Quartile (Highest 25%)",TRUE),"Group 1 - Long",
AND(AE15="4th Quartile (Highest 25%)",AG15="1st Quartile (Lowest 25%)",K15&lt;=5),"Group 3 - Short",
AND(AE15="4th Quartile (Highest 25%)",AG15="1st Quartile (Lowest 25%)",K15&lt;10),"Group 3 - Medium",
AND(AE15="4th Quartile (Highest 25%)",AG15="1st Quartile (Lowest 25%)",TRUE),"Group 3 - Long",
AND(OR(AE15="1st Quartile (Lowest 25%)",AE15="2nd Quartile (25–50%)"),K15&lt;=5),"Group 2A - Short",
AND(OR(AE15="1st Quartile (Lowest 25%)",AE15="2nd Quartile (25–50%)"),K15&lt;10),"Group 2A - Medium",
AND(OR(AE15="1st Quartile (Lowest 25%)",AE15="2nd Quartile (25–50%)"),TRUE),"Group 2A - Long",
K15&lt;=5,"Group 2B - Short",
K15&lt;10,"Group 2B - Medium",
TRUE,"Group 2B - Long"
)</f>
        <v>Group 1 - Short</v>
      </c>
      <c r="AT15" t="str">
        <v>Ag Inputs</v>
      </c>
      <c r="AW15" t="str">
        <v>PIMS</v>
      </c>
    </row>
    <row r="16" spans="1:57" ht="14.45" customHeight="1" x14ac:dyDescent="0.25">
      <c r="A16" t="s">
        <v>109</v>
      </c>
      <c r="B16" t="s">
        <v>110</v>
      </c>
      <c r="C16" t="s">
        <v>80</v>
      </c>
      <c r="G16" t="s">
        <v>74</v>
      </c>
      <c r="H16" s="46" t="e" vm="12">
        <v>#VALUE!</v>
      </c>
      <c r="I16">
        <v>2018</v>
      </c>
      <c r="J16">
        <v>2022</v>
      </c>
      <c r="K16">
        <f t="shared" si="0"/>
        <v>4</v>
      </c>
      <c r="L16" t="s">
        <v>39</v>
      </c>
      <c r="M16" t="s">
        <v>617</v>
      </c>
      <c r="N16" s="448">
        <v>5983239</v>
      </c>
      <c r="O16" s="448">
        <f>Table9[[#This Row],[Cost (USD)]]/Table9[[#This Row],[Programme Length]]</f>
        <v>1495809.75</v>
      </c>
      <c r="P16" s="46" t="str">
        <f t="array" ref="P16">IF(N16=0,"N/A",
_xlfn.IFS(
N16&lt;=$BC$6,"1st Quartile (Lowest 25%)",
N16&lt;=$BD$6,"2nd Quartile (25–50%)",
N16&lt;=$BE$6,"3rd Quartile (50–75%)",
TRUE,"4th Quartile (Highest 25%)"
))</f>
        <v>1st Quartile (Lowest 25%)</v>
      </c>
      <c r="Q16" s="13">
        <v>92.085213200348079</v>
      </c>
      <c r="R16" s="13">
        <f>IFERROR(Q16/AC16,"")</f>
        <v>8.0074098435085287E-3</v>
      </c>
      <c r="S16" s="13"/>
      <c r="T16" s="13"/>
      <c r="U16" s="13"/>
      <c r="V16" s="130"/>
      <c r="W16" s="130"/>
      <c r="X16" s="130">
        <v>1034.9833938764921</v>
      </c>
      <c r="Y16" s="130">
        <v>966.19907712194015</v>
      </c>
      <c r="Z16" s="13">
        <v>0.4598382247474988</v>
      </c>
      <c r="AA16" s="63" t="s">
        <v>49</v>
      </c>
      <c r="AB16" s="17" t="s">
        <v>589</v>
      </c>
      <c r="AC16" s="448">
        <v>11500</v>
      </c>
      <c r="AD16" s="28">
        <f>'VfM MSD Mastersheet'!$O93</f>
        <v>-1.4837734550237649</v>
      </c>
      <c r="AE16" s="318" t="str">
        <f t="array" ref="AE16">_xlfn.IFS(
AD16&lt;=$BC$3,"1st Quartile (Lowest 25%)",
AD16&lt;=$BD$3,"2nd Quartile (25–50%)",
AD16&lt;=$BE$3,"3rd Quartile (50–75%)",
TRUE,"4th Quartile (Highest 25%)"
)</f>
        <v>1st Quartile (Lowest 25%)</v>
      </c>
      <c r="AF16" s="13">
        <f>'VfM MSD Mastersheet'!$P93</f>
        <v>11.404650511542888</v>
      </c>
      <c r="AG16" s="318" t="str">
        <f t="array" ref="AG16">_xlfn.IFS(
AF16&lt;=$BC$4,"1st Quartile (Lowest 25%)",
AF16&lt;=$BD$4,"2nd Quartile (25–50%)",
AF16&lt;=$BE$4,"3rd Quartile (50–75%)",
TRUE,"4th Quartile (Highest 25%)"
)</f>
        <v>4th Quartile (Highest 25%)</v>
      </c>
      <c r="AH16" s="46" t="s">
        <v>673</v>
      </c>
      <c r="AI16" s="193" t="str">
        <f t="array" ref="AI16">_xlfn.IFS(
AND(AE16="1st Quartile (Lowest 25%)",AG16="4th Quartile (Highest 25%)"),"Group 1",
AND(AE16="4th Quartile (Highest 25%)",AG16="1st Quartile (Lowest 25%)"),"Group 3",
OR(AE16="1st Quartile (Lowest 25%)",AE16="2nd Quartile (25–50%)"),"Group 2A (Low Stability)",
TRUE,"Group 2B (High Inflation)"
)</f>
        <v>Group 1</v>
      </c>
      <c r="AK16" t="str">
        <v>Horti-Sempre</v>
      </c>
      <c r="AL16" t="str">
        <v>M-Sawa</v>
      </c>
      <c r="AN16" t="str">
        <f t="array" ref="AN16">_xlfn.IFS(
AND(AE16="1st Quartile (Lowest 25%)",AG16="4th Quartile (Highest 25%)",K16&lt;=5),"Group 1 - Short",
AND(AE16="1st Quartile (Lowest 25%)",AG16="4th Quartile (Highest 25%)",K16&lt;10),"Group 1 - Medium",
AND(AE16="1st Quartile (Lowest 25%)",AG16="4th Quartile (Highest 25%)",TRUE),"Group 1 - Long",
AND(AE16="4th Quartile (Highest 25%)",AG16="1st Quartile (Lowest 25%)",K16&lt;=5),"Group 3 - Short",
AND(AE16="4th Quartile (Highest 25%)",AG16="1st Quartile (Lowest 25%)",K16&lt;10),"Group 3 - Medium",
AND(AE16="4th Quartile (Highest 25%)",AG16="1st Quartile (Lowest 25%)",TRUE),"Group 3 - Long",
AND(OR(AE16="1st Quartile (Lowest 25%)",AE16="2nd Quartile (25–50%)"),K16&lt;=5),"Group 2A - Short",
AND(OR(AE16="1st Quartile (Lowest 25%)",AE16="2nd Quartile (25–50%)"),K16&lt;10),"Group 2A - Medium",
AND(OR(AE16="1st Quartile (Lowest 25%)",AE16="2nd Quartile (25–50%)"),TRUE),"Group 2A - Long",
K16&lt;=5,"Group 2B - Short",
K16&lt;10,"Group 2B - Medium",
TRUE,"Group 2B - Long"
)</f>
        <v>Group 1 - Short</v>
      </c>
      <c r="AT16" t="str">
        <v>LEAD</v>
      </c>
      <c r="AW16" t="str">
        <v>MDRD</v>
      </c>
    </row>
    <row r="17" spans="1:49" ht="14.45" customHeight="1" x14ac:dyDescent="0.25">
      <c r="A17" t="s">
        <v>112</v>
      </c>
      <c r="B17" t="s">
        <v>113</v>
      </c>
      <c r="C17" s="17" t="s">
        <v>104</v>
      </c>
      <c r="G17" t="s">
        <v>74</v>
      </c>
      <c r="H17" s="46" t="e" vm="13">
        <v>#VALUE!</v>
      </c>
      <c r="I17">
        <v>2015</v>
      </c>
      <c r="J17">
        <v>2019</v>
      </c>
      <c r="K17">
        <f t="shared" si="0"/>
        <v>4</v>
      </c>
      <c r="L17" t="s">
        <v>677</v>
      </c>
      <c r="M17" t="s">
        <v>611</v>
      </c>
      <c r="N17" s="448">
        <v>6125000</v>
      </c>
      <c r="O17" s="448">
        <f>Table9[[#This Row],[Cost (USD)]]/Table9[[#This Row],[Programme Length]]</f>
        <v>1531250</v>
      </c>
      <c r="P17" s="46" t="str">
        <f t="array" ref="P17">IF(N17=0,"N/A",
_xlfn.IFS(
N17&lt;=$BC$6,"1st Quartile (Lowest 25%)",
N17&lt;=$BD$6,"2nd Quartile (25–50%)",
N17&lt;=$BE$6,"3rd Quartile (50–75%)",
TRUE,"4th Quartile (Highest 25%)"
))</f>
        <v>1st Quartile (Lowest 25%)</v>
      </c>
      <c r="Q17" s="130">
        <v>524.57566534914361</v>
      </c>
      <c r="R17" s="13">
        <f>IFERROR(Q17/AC17,"")</f>
        <v>2.1857319389547651E-2</v>
      </c>
      <c r="S17" s="13">
        <v>0.15381600000000001</v>
      </c>
      <c r="T17" s="13">
        <v>1.0723423999999999</v>
      </c>
      <c r="U17" s="13"/>
      <c r="V17" s="130">
        <v>2084.0421912215038</v>
      </c>
      <c r="W17" s="130">
        <v>479.83673469387747</v>
      </c>
      <c r="X17" s="130">
        <v>1219.148089171975</v>
      </c>
      <c r="Y17" s="130">
        <v>820.24489795918362</v>
      </c>
      <c r="Z17" s="13">
        <v>0.26001824000000001</v>
      </c>
      <c r="AA17" s="63" t="s">
        <v>49</v>
      </c>
      <c r="AB17" s="17" t="s">
        <v>589</v>
      </c>
      <c r="AC17" s="448">
        <v>24000</v>
      </c>
      <c r="AD17" s="28">
        <f>'VfM MSD Mastersheet'!$O57</f>
        <v>-0.76238568623860659</v>
      </c>
      <c r="AE17" s="317" t="str">
        <f t="array" ref="AE17">_xlfn.IFS(
AD17&lt;=$BC$3,"1st Quartile (Lowest 25%)",
AD17&lt;=$BD$3,"2nd Quartile (25–50%)",
AD17&lt;=$BE$3,"3rd Quartile (50–75%)",
TRUE,"4th Quartile (Highest 25%)"
)</f>
        <v>2nd Quartile (25–50%)</v>
      </c>
      <c r="AF17" s="13">
        <f>'VfM MSD Mastersheet'!$P57</f>
        <v>4.5171175873126987</v>
      </c>
      <c r="AG17" s="317" t="str">
        <f t="array" ref="AG17">_xlfn.IFS(
AF17&lt;=$BC$4,"1st Quartile (Lowest 25%)",
AF17&lt;=$BD$4,"2nd Quartile (25–50%)",
AF17&lt;=$BE$4,"3rd Quartile (50–75%)",
TRUE,"4th Quartile (Highest 25%)"
)</f>
        <v>1st Quartile (Lowest 25%)</v>
      </c>
      <c r="AH17" s="46" t="s">
        <v>584</v>
      </c>
      <c r="AI17" s="193" t="str">
        <f t="array" ref="AI17">_xlfn.IFS(
AND(AE17="1st Quartile (Lowest 25%)",AG17="4th Quartile (Highest 25%)"),"Group 1",
AND(AE17="4th Quartile (Highest 25%)",AG17="1st Quartile (Lowest 25%)"),"Group 3",
OR(AE17="1st Quartile (Lowest 25%)",AE17="2nd Quartile (25–50%)"),"Group 2A (Low Stability)",
TRUE,"Group 2B (High Inflation)"
)</f>
        <v>Group 2A (Low Stability)</v>
      </c>
      <c r="AK17" t="str">
        <v>LEAD</v>
      </c>
      <c r="AL17" t="str">
        <v>GRAISEA-PH2</v>
      </c>
      <c r="AN17" t="str">
        <f t="array" ref="AN17">_xlfn.IFS(
AND(AE17="1st Quartile (Lowest 25%)",AG17="4th Quartile (Highest 25%)",K17&lt;=5),"Group 1 - Short",
AND(AE17="1st Quartile (Lowest 25%)",AG17="4th Quartile (Highest 25%)",K17&lt;10),"Group 1 - Medium",
AND(AE17="1st Quartile (Lowest 25%)",AG17="4th Quartile (Highest 25%)",TRUE),"Group 1 - Long",
AND(AE17="4th Quartile (Highest 25%)",AG17="1st Quartile (Lowest 25%)",K17&lt;=5),"Group 3 - Short",
AND(AE17="4th Quartile (Highest 25%)",AG17="1st Quartile (Lowest 25%)",K17&lt;10),"Group 3 - Medium",
AND(AE17="4th Quartile (Highest 25%)",AG17="1st Quartile (Lowest 25%)",TRUE),"Group 3 - Long",
AND(OR(AE17="1st Quartile (Lowest 25%)",AE17="2nd Quartile (25–50%)"),K17&lt;=5),"Group 2A - Short",
AND(OR(AE17="1st Quartile (Lowest 25%)",AE17="2nd Quartile (25–50%)"),K17&lt;10),"Group 2A - Medium",
AND(OR(AE17="1st Quartile (Lowest 25%)",AE17="2nd Quartile (25–50%)"),TRUE),"Group 2A - Long",
K17&lt;=5,"Group 2B - Short",
K17&lt;10,"Group 2B - Medium",
TRUE,"Group 2B - Long"
)</f>
        <v>Group 2A - Short</v>
      </c>
      <c r="AT17" t="str">
        <v>HFNFC</v>
      </c>
      <c r="AW17" t="str">
        <v>NAFAKA</v>
      </c>
    </row>
    <row r="18" spans="1:49" ht="14.45" customHeight="1" x14ac:dyDescent="0.25">
      <c r="A18" t="s">
        <v>117</v>
      </c>
      <c r="B18" t="s">
        <v>118</v>
      </c>
      <c r="C18" s="17" t="s">
        <v>104</v>
      </c>
      <c r="G18" t="s">
        <v>119</v>
      </c>
      <c r="H18" s="46" t="e" vm="14">
        <v>#VALUE!</v>
      </c>
      <c r="I18">
        <v>2011</v>
      </c>
      <c r="J18">
        <v>2018</v>
      </c>
      <c r="K18">
        <f t="shared" si="0"/>
        <v>7</v>
      </c>
      <c r="L18" t="s">
        <v>39</v>
      </c>
      <c r="M18" t="s">
        <v>602</v>
      </c>
      <c r="N18" s="448">
        <v>6200000</v>
      </c>
      <c r="O18" s="448">
        <f>Table9[[#This Row],[Cost (USD)]]/Table9[[#This Row],[Programme Length]]</f>
        <v>885714.28571428568</v>
      </c>
      <c r="P18" s="46" t="str">
        <f t="array" ref="P18">IF(N18=0,"N/A",
_xlfn.IFS(
N18&lt;=$BC$6,"1st Quartile (Lowest 25%)",
N18&lt;=$BD$6,"2nd Quartile (25–50%)",
N18&lt;=$BE$6,"3rd Quartile (50–75%)",
TRUE,"4th Quartile (Highest 25%)"
))</f>
        <v>1st Quartile (Lowest 25%)</v>
      </c>
      <c r="Q18" s="130">
        <v>93.054412500000012</v>
      </c>
      <c r="R18" s="13">
        <f>IFERROR(Q18/AC18,"")</f>
        <v>3.8772671875000005E-3</v>
      </c>
      <c r="S18" s="13"/>
      <c r="T18" s="13"/>
      <c r="U18" s="13"/>
      <c r="V18" s="130"/>
      <c r="W18" s="130"/>
      <c r="X18" s="130">
        <v>5854.5797922568463</v>
      </c>
      <c r="Y18" s="130">
        <v>170.8064516129032</v>
      </c>
      <c r="Z18" s="13">
        <v>3.0017552419354838E-2</v>
      </c>
      <c r="AA18" s="63" t="s">
        <v>49</v>
      </c>
      <c r="AB18" s="17" t="s">
        <v>589</v>
      </c>
      <c r="AC18" s="448">
        <v>24000</v>
      </c>
      <c r="AD18" s="28">
        <f>'VfM MSD Mastersheet'!$O48</f>
        <v>8.1836365784208026E-2</v>
      </c>
      <c r="AE18" s="317" t="str">
        <f t="array" ref="AE18">_xlfn.IFS(
AD18&lt;=$BC$3,"1st Quartile (Lowest 25%)",
AD18&lt;=$BD$3,"2nd Quartile (25–50%)",
AD18&lt;=$BE$3,"3rd Quartile (50–75%)",
TRUE,"4th Quartile (Highest 25%)"
)</f>
        <v>4th Quartile (Highest 25%)</v>
      </c>
      <c r="AF18" s="13">
        <f>'VfM MSD Mastersheet'!$P48</f>
        <v>8.32907916161823</v>
      </c>
      <c r="AG18" s="317" t="str">
        <f t="array" ref="AG18">_xlfn.IFS(
AF18&lt;=$BC$4,"1st Quartile (Lowest 25%)",
AF18&lt;=$BD$4,"2nd Quartile (25–50%)",
AF18&lt;=$BE$4,"3rd Quartile (50–75%)",
TRUE,"4th Quartile (Highest 25%)"
)</f>
        <v>3rd Quartile (50–75%)</v>
      </c>
      <c r="AH18" s="46" t="s">
        <v>673</v>
      </c>
      <c r="AI18" s="193" t="str">
        <f t="array" ref="AI18">_xlfn.IFS(
AND(AE18="1st Quartile (Lowest 25%)",AG18="4th Quartile (Highest 25%)"),"Group 1",
AND(AE18="4th Quartile (Highest 25%)",AG18="1st Quartile (Lowest 25%)"),"Group 3",
OR(AE18="1st Quartile (Lowest 25%)",AE18="2nd Quartile (25–50%)"),"Group 2A (Low Stability)",
TRUE,"Group 2B (High Inflation)"
)</f>
        <v>Group 2B (High Inflation)</v>
      </c>
      <c r="AK18" t="str">
        <v>HFNFC</v>
      </c>
      <c r="AL18" t="str">
        <v>Nguriza Nshore</v>
      </c>
      <c r="AN18" t="str">
        <f t="array" ref="AN18">_xlfn.IFS(
AND(AE18="1st Quartile (Lowest 25%)",AG18="4th Quartile (Highest 25%)",K18&lt;=5),"Group 1 - Short",
AND(AE18="1st Quartile (Lowest 25%)",AG18="4th Quartile (Highest 25%)",K18&lt;10),"Group 1 - Medium",
AND(AE18="1st Quartile (Lowest 25%)",AG18="4th Quartile (Highest 25%)",TRUE),"Group 1 - Long",
AND(AE18="4th Quartile (Highest 25%)",AG18="1st Quartile (Lowest 25%)",K18&lt;=5),"Group 3 - Short",
AND(AE18="4th Quartile (Highest 25%)",AG18="1st Quartile (Lowest 25%)",K18&lt;10),"Group 3 - Medium",
AND(AE18="4th Quartile (Highest 25%)",AG18="1st Quartile (Lowest 25%)",TRUE),"Group 3 - Long",
AND(OR(AE18="1st Quartile (Lowest 25%)",AE18="2nd Quartile (25–50%)"),K18&lt;=5),"Group 2A - Short",
AND(OR(AE18="1st Quartile (Lowest 25%)",AE18="2nd Quartile (25–50%)"),K18&lt;10),"Group 2A - Medium",
AND(OR(AE18="1st Quartile (Lowest 25%)",AE18="2nd Quartile (25–50%)"),TRUE),"Group 2A - Long",
K18&lt;=5,"Group 2B - Short",
K18&lt;10,"Group 2B - Medium",
TRUE,"Group 2B - Long"
)</f>
        <v>Group 2B - Medium</v>
      </c>
      <c r="AT18" t="str">
        <v>BSB-Serbia</v>
      </c>
      <c r="AW18" t="str">
        <v>ECP</v>
      </c>
    </row>
    <row r="19" spans="1:49" ht="14.45" customHeight="1" x14ac:dyDescent="0.25">
      <c r="A19" t="s">
        <v>121</v>
      </c>
      <c r="B19" t="s">
        <v>122</v>
      </c>
      <c r="C19" t="s">
        <v>80</v>
      </c>
      <c r="G19" t="s">
        <v>123</v>
      </c>
      <c r="H19" s="46" t="e" vm="15">
        <v>#VALUE!</v>
      </c>
      <c r="I19">
        <v>2018</v>
      </c>
      <c r="J19">
        <v>2023</v>
      </c>
      <c r="K19">
        <f t="shared" si="0"/>
        <v>5</v>
      </c>
      <c r="L19" t="s">
        <v>678</v>
      </c>
      <c r="M19" t="s">
        <v>618</v>
      </c>
      <c r="N19" s="448">
        <v>6200000</v>
      </c>
      <c r="O19" s="448">
        <f>Table9[[#This Row],[Cost (USD)]]/Table9[[#This Row],[Programme Length]]</f>
        <v>1240000</v>
      </c>
      <c r="P19" s="46" t="str">
        <f t="array" ref="P19">IF(N19=0,"N/A",
_xlfn.IFS(
N19&lt;=$BC$6,"1st Quartile (Lowest 25%)",
N19&lt;=$BD$6,"2nd Quartile (25–50%)",
N19&lt;=$BE$6,"3rd Quartile (50–75%)",
TRUE,"4th Quartile (Highest 25%)"
))</f>
        <v>1st Quartile (Lowest 25%)</v>
      </c>
      <c r="Q19" s="13"/>
      <c r="R19" s="13"/>
      <c r="S19" s="13"/>
      <c r="T19" s="13"/>
      <c r="U19" s="13"/>
      <c r="V19" s="130">
        <v>3575.547866205306</v>
      </c>
      <c r="W19" s="130">
        <v>279.67741935483872</v>
      </c>
      <c r="X19" s="130"/>
      <c r="Y19" s="130"/>
      <c r="Z19" s="13"/>
      <c r="AA19" s="63" t="s">
        <v>42</v>
      </c>
      <c r="AB19" s="17" t="s">
        <v>586</v>
      </c>
      <c r="AC19" s="448">
        <v>1700</v>
      </c>
      <c r="AD19" s="28">
        <f>'VfM MSD Mastersheet'!$O82</f>
        <v>-1.9944270551204699</v>
      </c>
      <c r="AE19" s="317" t="str">
        <f t="array" ref="AE19">_xlfn.IFS(
AD19&lt;=$BC$3,"1st Quartile (Lowest 25%)",
AD19&lt;=$BD$3,"2nd Quartile (25–50%)",
AD19&lt;=$BE$3,"3rd Quartile (50–75%)",
TRUE,"4th Quartile (Highest 25%)"
)</f>
        <v>1st Quartile (Lowest 25%)</v>
      </c>
      <c r="AF19" s="13">
        <f>'VfM MSD Mastersheet'!$P82</f>
        <v>26.468464518613423</v>
      </c>
      <c r="AG19" s="318" t="str">
        <f t="array" ref="AG19">_xlfn.IFS(
AF19&lt;=$BC$4,"1st Quartile (Lowest 25%)",
AF19&lt;=$BD$4,"2nd Quartile (25–50%)",
AF19&lt;=$BE$4,"3rd Quartile (50–75%)",
TRUE,"4th Quartile (Highest 25%)"
)</f>
        <v>4th Quartile (Highest 25%)</v>
      </c>
      <c r="AH19" s="46" t="s">
        <v>674</v>
      </c>
      <c r="AI19" s="193" t="str">
        <f t="array" ref="AI19">_xlfn.IFS(
AND(AE19="1st Quartile (Lowest 25%)",AG19="4th Quartile (Highest 25%)"),"Group 1",
AND(AE19="4th Quartile (Highest 25%)",AG19="1st Quartile (Lowest 25%)"),"Group 3",
OR(AE19="1st Quartile (Lowest 25%)",AE19="2nd Quartile (25–50%)"),"Group 2A (Low Stability)",
TRUE,"Group 2B (High Inflation)"
)</f>
        <v>Group 1</v>
      </c>
      <c r="AK19" t="str">
        <v>BSB-Serbia</v>
      </c>
      <c r="AL19" t="str">
        <v>STARS</v>
      </c>
      <c r="AN19" t="str">
        <f t="array" ref="AN19">_xlfn.IFS(
AND(AE19="1st Quartile (Lowest 25%)",AG19="4th Quartile (Highest 25%)",K19&lt;=5),"Group 1 - Short",
AND(AE19="1st Quartile (Lowest 25%)",AG19="4th Quartile (Highest 25%)",K19&lt;10),"Group 1 - Medium",
AND(AE19="1st Quartile (Lowest 25%)",AG19="4th Quartile (Highest 25%)",TRUE),"Group 1 - Long",
AND(AE19="4th Quartile (Highest 25%)",AG19="1st Quartile (Lowest 25%)",K19&lt;=5),"Group 3 - Short",
AND(AE19="4th Quartile (Highest 25%)",AG19="1st Quartile (Lowest 25%)",K19&lt;10),"Group 3 - Medium",
AND(AE19="4th Quartile (Highest 25%)",AG19="1st Quartile (Lowest 25%)",TRUE),"Group 3 - Long",
AND(OR(AE19="1st Quartile (Lowest 25%)",AE19="2nd Quartile (25–50%)"),K19&lt;=5),"Group 2A - Short",
AND(OR(AE19="1st Quartile (Lowest 25%)",AE19="2nd Quartile (25–50%)"),K19&lt;10),"Group 2A - Medium",
AND(OR(AE19="1st Quartile (Lowest 25%)",AE19="2nd Quartile (25–50%)"),TRUE),"Group 2A - Long",
K19&lt;=5,"Group 2B - Short",
K19&lt;10,"Group 2B - Medium",
TRUE,"Group 2B - Long"
)</f>
        <v>Group 1 - Short</v>
      </c>
      <c r="AT19" t="str">
        <v>CPM</v>
      </c>
      <c r="AW19" t="str">
        <v>PMDP</v>
      </c>
    </row>
    <row r="20" spans="1:49" ht="14.45" customHeight="1" x14ac:dyDescent="0.25">
      <c r="A20" s="4" t="s">
        <v>130</v>
      </c>
      <c r="B20" t="s">
        <v>131</v>
      </c>
      <c r="C20" t="s">
        <v>132</v>
      </c>
      <c r="G20" t="s">
        <v>53</v>
      </c>
      <c r="H20" s="46" t="e" vm="16">
        <v>#VALUE!</v>
      </c>
      <c r="I20">
        <v>2011</v>
      </c>
      <c r="J20">
        <v>2016</v>
      </c>
      <c r="K20">
        <f t="shared" si="0"/>
        <v>5</v>
      </c>
      <c r="L20" t="s">
        <v>39</v>
      </c>
      <c r="M20" t="s">
        <v>602</v>
      </c>
      <c r="N20" s="448">
        <v>6620000</v>
      </c>
      <c r="O20" s="448">
        <f>Table9[[#This Row],[Cost (USD)]]/Table9[[#This Row],[Programme Length]]</f>
        <v>1324000</v>
      </c>
      <c r="P20" s="46" t="str">
        <f t="array" ref="P20">IF(N20=0,"N/A",
_xlfn.IFS(
N20&lt;=$BC$6,"1st Quartile (Lowest 25%)",
N20&lt;=$BD$6,"2nd Quartile (25–50%)",
N20&lt;=$BE$6,"3rd Quartile (50–75%)",
TRUE,"4th Quartile (Highest 25%)"
))</f>
        <v>1st Quartile (Lowest 25%)</v>
      </c>
      <c r="Q20" s="13"/>
      <c r="R20" s="13"/>
      <c r="S20" s="13">
        <v>1.376601208459215E-2</v>
      </c>
      <c r="T20" s="13">
        <v>1.5105740181268881</v>
      </c>
      <c r="U20" s="13"/>
      <c r="V20" s="130"/>
      <c r="W20" s="130"/>
      <c r="X20" s="130">
        <v>126.3358778625954</v>
      </c>
      <c r="Y20" s="130">
        <v>7915.4078549848946</v>
      </c>
      <c r="Z20" s="13"/>
      <c r="AA20" s="63" t="s">
        <v>49</v>
      </c>
      <c r="AB20" s="17" t="s">
        <v>586</v>
      </c>
      <c r="AC20" s="448">
        <v>3200</v>
      </c>
      <c r="AD20" s="28">
        <f>'VfM MSD Mastersheet'!$O90</f>
        <v>-2.58059468269348</v>
      </c>
      <c r="AE20" s="318" t="str">
        <f t="array" ref="AE20">_xlfn.IFS(
AD20&lt;=$BC$3,"1st Quartile (Lowest 25%)",
AD20&lt;=$BD$3,"2nd Quartile (25–50%)",
AD20&lt;=$BE$3,"3rd Quartile (50–75%)",
TRUE,"4th Quartile (Highest 25%)"
)</f>
        <v>1st Quartile (Lowest 25%)</v>
      </c>
      <c r="AF20" s="13">
        <f>'VfM MSD Mastersheet'!$P90</f>
        <v>4.4209715004537866</v>
      </c>
      <c r="AG20" s="318" t="str">
        <f t="array" ref="AG20">_xlfn.IFS(
AF20&lt;=$BC$4,"1st Quartile (Lowest 25%)",
AF20&lt;=$BD$4,"2nd Quartile (25–50%)",
AF20&lt;=$BE$4,"3rd Quartile (50–75%)",
TRUE,"4th Quartile (Highest 25%)"
)</f>
        <v>1st Quartile (Lowest 25%)</v>
      </c>
      <c r="AH20" s="46" t="s">
        <v>674</v>
      </c>
      <c r="AI20" s="193" t="str">
        <f t="array" ref="AI20">_xlfn.IFS(
AND(AE20="1st Quartile (Lowest 25%)",AG20="4th Quartile (Highest 25%)"),"Group 1",
AND(AE20="4th Quartile (Highest 25%)",AG20="1st Quartile (Lowest 25%)"),"Group 3",
OR(AE20="1st Quartile (Lowest 25%)",AE20="2nd Quartile (25–50%)"),"Group 2A (Low Stability)",
TRUE,"Group 2B (High Inflation)"
)</f>
        <v>Group 2A (Low Stability)</v>
      </c>
      <c r="AK20" t="str">
        <v>LIWAY</v>
      </c>
      <c r="AL20" t="str">
        <v>PIMS</v>
      </c>
      <c r="AN20" t="str">
        <f t="array" ref="AN20">_xlfn.IFS(
AND(AE20="1st Quartile (Lowest 25%)",AG20="4th Quartile (Highest 25%)",K20&lt;=5),"Group 1 - Short",
AND(AE20="1st Quartile (Lowest 25%)",AG20="4th Quartile (Highest 25%)",K20&lt;10),"Group 1 - Medium",
AND(AE20="1st Quartile (Lowest 25%)",AG20="4th Quartile (Highest 25%)",TRUE),"Group 1 - Long",
AND(AE20="4th Quartile (Highest 25%)",AG20="1st Quartile (Lowest 25%)",K20&lt;=5),"Group 3 - Short",
AND(AE20="4th Quartile (Highest 25%)",AG20="1st Quartile (Lowest 25%)",K20&lt;10),"Group 3 - Medium",
AND(AE20="4th Quartile (Highest 25%)",AG20="1st Quartile (Lowest 25%)",TRUE),"Group 3 - Long",
AND(OR(AE20="1st Quartile (Lowest 25%)",AE20="2nd Quartile (25–50%)"),K20&lt;=5),"Group 2A - Short",
AND(OR(AE20="1st Quartile (Lowest 25%)",AE20="2nd Quartile (25–50%)"),K20&lt;10),"Group 2A - Medium",
AND(OR(AE20="1st Quartile (Lowest 25%)",AE20="2nd Quartile (25–50%)"),TRUE),"Group 2A - Long",
K20&lt;=5,"Group 2B - Short",
K20&lt;10,"Group 2B - Medium",
TRUE,"Group 2B - Long"
)</f>
        <v>Group 2A - Short</v>
      </c>
      <c r="AT20" t="str">
        <v>FTF Inova</v>
      </c>
      <c r="AW20" t="str">
        <v>KMAP</v>
      </c>
    </row>
    <row r="21" spans="1:49" ht="14.45" customHeight="1" x14ac:dyDescent="0.25">
      <c r="A21" s="4" t="s">
        <v>135</v>
      </c>
      <c r="B21" s="191" t="s">
        <v>136</v>
      </c>
      <c r="C21" t="s">
        <v>137</v>
      </c>
      <c r="G21" t="s">
        <v>138</v>
      </c>
      <c r="H21" s="46" t="e" vm="17">
        <v>#VALUE!</v>
      </c>
      <c r="I21">
        <v>2019</v>
      </c>
      <c r="J21">
        <v>2022</v>
      </c>
      <c r="K21">
        <f t="shared" si="0"/>
        <v>3</v>
      </c>
      <c r="L21" t="s">
        <v>39</v>
      </c>
      <c r="M21" t="s">
        <v>582</v>
      </c>
      <c r="N21" s="448">
        <v>6908192</v>
      </c>
      <c r="O21" s="448">
        <f>Table9[[#This Row],[Cost (USD)]]/Table9[[#This Row],[Programme Length]]</f>
        <v>2302730.6666666665</v>
      </c>
      <c r="P21" s="46" t="str">
        <f t="array" ref="P21">IF(N21=0,"N/A",
_xlfn.IFS(
N21&lt;=$BC$6,"1st Quartile (Lowest 25%)",
N21&lt;=$BD$6,"2nd Quartile (25–50%)",
N21&lt;=$BE$6,"3rd Quartile (50–75%)",
TRUE,"4th Quartile (Highest 25%)"
))</f>
        <v>1st Quartile (Lowest 25%)</v>
      </c>
      <c r="Q21" s="130">
        <v>74.023683998532064</v>
      </c>
      <c r="R21" s="13">
        <f>IFERROR(Q21/AC21,"")</f>
        <v>2.1149623999580591E-2</v>
      </c>
      <c r="S21" s="13">
        <v>0.86853405348316892</v>
      </c>
      <c r="T21" s="13">
        <v>1.6212635665019151</v>
      </c>
      <c r="U21" s="13">
        <v>0.34741362139326759</v>
      </c>
      <c r="V21" s="130">
        <v>5027.7962154294028</v>
      </c>
      <c r="W21" s="130">
        <v>198.89429824764571</v>
      </c>
      <c r="X21" s="13"/>
      <c r="Y21" s="13"/>
      <c r="Z21" s="13">
        <v>1.197129437050968</v>
      </c>
      <c r="AA21" s="66" t="s">
        <v>49</v>
      </c>
      <c r="AB21" s="17" t="s">
        <v>586</v>
      </c>
      <c r="AC21" s="448">
        <v>3500</v>
      </c>
      <c r="AD21" s="28">
        <f>'VfM MSD Mastersheet'!$O10</f>
        <v>-1.5190391540527299</v>
      </c>
      <c r="AE21" s="317" t="str">
        <f t="array" ref="AE21">_xlfn.IFS(
AD21&lt;=$BC$3,"1st Quartile (Lowest 25%)",
AD21&lt;=$BD$3,"2nd Quartile (25–50%)",
AD21&lt;=$BE$3,"3rd Quartile (50–75%)",
TRUE,"4th Quartile (Highest 25%)"
)</f>
        <v>1st Quartile (Lowest 25%)</v>
      </c>
      <c r="AF21" s="28">
        <f>'VfM MSD Mastersheet'!$P10</f>
        <v>133.29234314751841</v>
      </c>
      <c r="AG21" s="317" t="str">
        <f t="array" ref="AG21">_xlfn.IFS(
AF21&lt;=$BC$4,"1st Quartile (Lowest 25%)",
AF21&lt;=$BD$4,"2nd Quartile (25–50%)",
AF21&lt;=$BE$4,"3rd Quartile (50–75%)",
TRUE,"4th Quartile (Highest 25%)"
)</f>
        <v>4th Quartile (Highest 25%)</v>
      </c>
      <c r="AH21" s="46" t="s">
        <v>673</v>
      </c>
      <c r="AI21" s="193" t="str">
        <f t="array" ref="AI21">_xlfn.IFS(
AND(AE21="1st Quartile (Lowest 25%)",AG21="4th Quartile (Highest 25%)"),"Group 1",
AND(AE21="4th Quartile (Highest 25%)",AG21="1st Quartile (Lowest 25%)"),"Group 3",
OR(AE21="1st Quartile (Lowest 25%)",AE21="2nd Quartile (25–50%)"),"Group 2A (Low Stability)",
TRUE,"Group 2B (High Inflation)"
)</f>
        <v>Group 1</v>
      </c>
      <c r="AK21" t="str">
        <v>CPM</v>
      </c>
      <c r="AL21" t="str">
        <v>MADE-Ghana</v>
      </c>
      <c r="AN21" t="str">
        <f t="array" ref="AN21">_xlfn.IFS(
AND(AE21="1st Quartile (Lowest 25%)",AG21="4th Quartile (Highest 25%)",K21&lt;=5),"Group 1 - Short",
AND(AE21="1st Quartile (Lowest 25%)",AG21="4th Quartile (Highest 25%)",K21&lt;10),"Group 1 - Medium",
AND(AE21="1st Quartile (Lowest 25%)",AG21="4th Quartile (Highest 25%)",TRUE),"Group 1 - Long",
AND(AE21="4th Quartile (Highest 25%)",AG21="1st Quartile (Lowest 25%)",K21&lt;=5),"Group 3 - Short",
AND(AE21="4th Quartile (Highest 25%)",AG21="1st Quartile (Lowest 25%)",K21&lt;10),"Group 3 - Medium",
AND(AE21="4th Quartile (Highest 25%)",AG21="1st Quartile (Lowest 25%)",TRUE),"Group 3 - Long",
AND(OR(AE21="1st Quartile (Lowest 25%)",AE21="2nd Quartile (25–50%)"),K21&lt;=5),"Group 2A - Short",
AND(OR(AE21="1st Quartile (Lowest 25%)",AE21="2nd Quartile (25–50%)"),K21&lt;10),"Group 2A - Medium",
AND(OR(AE21="1st Quartile (Lowest 25%)",AE21="2nd Quartile (25–50%)"),TRUE),"Group 2A - Long",
K21&lt;=5,"Group 2B - Short",
K21&lt;10,"Group 2B - Medium",
TRUE,"Group 2B - Long"
)</f>
        <v>Group 1 - Short</v>
      </c>
      <c r="AT21" t="str">
        <v>Naatal Mbay</v>
      </c>
      <c r="AW21" t="str">
        <v>3AG</v>
      </c>
    </row>
    <row r="22" spans="1:49" ht="14.45" customHeight="1" x14ac:dyDescent="0.25">
      <c r="A22" s="17" t="s">
        <v>144</v>
      </c>
      <c r="B22" t="s">
        <v>145</v>
      </c>
      <c r="C22" t="s">
        <v>104</v>
      </c>
      <c r="G22" s="17" t="s">
        <v>146</v>
      </c>
      <c r="H22" s="354" t="e" vm="8">
        <v>#VALUE!</v>
      </c>
      <c r="I22">
        <v>2016</v>
      </c>
      <c r="J22">
        <v>2020</v>
      </c>
      <c r="K22">
        <f t="shared" si="0"/>
        <v>4</v>
      </c>
      <c r="L22" t="s">
        <v>39</v>
      </c>
      <c r="M22" t="s">
        <v>582</v>
      </c>
      <c r="N22" s="448">
        <v>7400000</v>
      </c>
      <c r="O22" s="448">
        <f>Table9[[#This Row],[Cost (USD)]]/Table9[[#This Row],[Programme Length]]</f>
        <v>1850000</v>
      </c>
      <c r="P22" s="46" t="str">
        <f t="array" ref="P22">IF(N22=0,"N/A",
_xlfn.IFS(
N22&lt;=$BC$6,"1st Quartile (Lowest 25%)",
N22&lt;=$BD$6,"2nd Quartile (25–50%)",
N22&lt;=$BE$6,"3rd Quartile (50–75%)",
TRUE,"4th Quartile (Highest 25%)"
))</f>
        <v>1st Quartile (Lowest 25%)</v>
      </c>
      <c r="Q22" s="130">
        <v>674.14298974167343</v>
      </c>
      <c r="R22" s="13">
        <f>IFERROR(Q22/AC22,"")</f>
        <v>7.2488493520610042E-2</v>
      </c>
      <c r="S22" s="13"/>
      <c r="T22" s="13">
        <v>5.4702702702702705E-4</v>
      </c>
      <c r="U22" s="13"/>
      <c r="V22" s="130"/>
      <c r="W22" s="130"/>
      <c r="X22" s="130">
        <v>89.202840025555403</v>
      </c>
      <c r="Y22" s="130">
        <v>11210.4054054054</v>
      </c>
      <c r="Z22" s="13">
        <v>7.5574162162162164</v>
      </c>
      <c r="AA22" s="63" t="s">
        <v>49</v>
      </c>
      <c r="AB22" s="17" t="s">
        <v>583</v>
      </c>
      <c r="AC22" s="448">
        <v>9300</v>
      </c>
      <c r="AD22" s="28">
        <f>'VfM MSD Mastersheet'!$O26</f>
        <v>-1.0686749696731559</v>
      </c>
      <c r="AE22" s="317" t="str">
        <f t="array" ref="AE22">_xlfn.IFS(
AD22&lt;=$BC$3,"1st Quartile (Lowest 25%)",
AD22&lt;=$BD$3,"2nd Quartile (25–50%)",
AD22&lt;=$BE$3,"3rd Quartile (50–75%)",
TRUE,"4th Quartile (Highest 25%)"
)</f>
        <v>2nd Quartile (25–50%)</v>
      </c>
      <c r="AF22" s="28">
        <f>'VfM MSD Mastersheet'!$P26</f>
        <v>5.6084576851471022</v>
      </c>
      <c r="AG22" s="317" t="str">
        <f t="array" ref="AG22">_xlfn.IFS(
AF22&lt;=$BC$4,"1st Quartile (Lowest 25%)",
AF22&lt;=$BD$4,"2nd Quartile (25–50%)",
AF22&lt;=$BE$4,"3rd Quartile (50–75%)",
TRUE,"4th Quartile (Highest 25%)"
)</f>
        <v>2nd Quartile (25–50%)</v>
      </c>
      <c r="AH22" s="46" t="s">
        <v>674</v>
      </c>
      <c r="AI22" s="193" t="str">
        <f t="array" ref="AI22">_xlfn.IFS(
AND(AE22="1st Quartile (Lowest 25%)",AG22="4th Quartile (Highest 25%)"),"Group 1",
AND(AE22="4th Quartile (Highest 25%)",AG22="1st Quartile (Lowest 25%)"),"Group 3",
OR(AE22="1st Quartile (Lowest 25%)",AE22="2nd Quartile (25–50%)"),"Group 2A (Low Stability)",
TRUE,"Group 2B (High Inflation)"
)</f>
        <v>Group 2A (Low Stability)</v>
      </c>
      <c r="AK22" t="str">
        <v>FTF Inova</v>
      </c>
      <c r="AL22" t="str">
        <v>MDRD</v>
      </c>
      <c r="AN22" t="str">
        <f t="array" ref="AN22">_xlfn.IFS(
AND(AE22="1st Quartile (Lowest 25%)",AG22="4th Quartile (Highest 25%)",K22&lt;=5),"Group 1 - Short",
AND(AE22="1st Quartile (Lowest 25%)",AG22="4th Quartile (Highest 25%)",K22&lt;10),"Group 1 - Medium",
AND(AE22="1st Quartile (Lowest 25%)",AG22="4th Quartile (Highest 25%)",TRUE),"Group 1 - Long",
AND(AE22="4th Quartile (Highest 25%)",AG22="1st Quartile (Lowest 25%)",K22&lt;=5),"Group 3 - Short",
AND(AE22="4th Quartile (Highest 25%)",AG22="1st Quartile (Lowest 25%)",K22&lt;10),"Group 3 - Medium",
AND(AE22="4th Quartile (Highest 25%)",AG22="1st Quartile (Lowest 25%)",TRUE),"Group 3 - Long",
AND(OR(AE22="1st Quartile (Lowest 25%)",AE22="2nd Quartile (25–50%)"),K22&lt;=5),"Group 2A - Short",
AND(OR(AE22="1st Quartile (Lowest 25%)",AE22="2nd Quartile (25–50%)"),K22&lt;10),"Group 2A - Medium",
AND(OR(AE22="1st Quartile (Lowest 25%)",AE22="2nd Quartile (25–50%)"),TRUE),"Group 2A - Long",
K22&lt;=5,"Group 2B - Short",
K22&lt;10,"Group 2B - Medium",
TRUE,"Group 2B - Long"
)</f>
        <v>Group 2A - Short</v>
      </c>
      <c r="AT22" t="str">
        <v>RDC</v>
      </c>
      <c r="AW22" t="str">
        <v>RIPA-North</v>
      </c>
    </row>
    <row r="23" spans="1:49" ht="14.45" customHeight="1" x14ac:dyDescent="0.25">
      <c r="A23" s="17" t="s">
        <v>151</v>
      </c>
      <c r="B23" s="17" t="s">
        <v>152</v>
      </c>
      <c r="C23" s="17" t="s">
        <v>57</v>
      </c>
      <c r="D23" s="17" t="s">
        <v>68</v>
      </c>
      <c r="E23" s="17"/>
      <c r="F23" s="17"/>
      <c r="G23" s="17" t="s">
        <v>154</v>
      </c>
      <c r="H23" s="354" t="e" vm="18">
        <v>#VALUE!</v>
      </c>
      <c r="I23" s="17">
        <v>2019</v>
      </c>
      <c r="J23" s="17">
        <v>2023</v>
      </c>
      <c r="K23">
        <f t="shared" si="0"/>
        <v>4</v>
      </c>
      <c r="L23" t="s">
        <v>39</v>
      </c>
      <c r="M23" t="s">
        <v>582</v>
      </c>
      <c r="N23" s="448">
        <v>7650000</v>
      </c>
      <c r="O23" s="448">
        <f>Table9[[#This Row],[Cost (USD)]]/Table9[[#This Row],[Programme Length]]</f>
        <v>1912500</v>
      </c>
      <c r="P23" s="46" t="str">
        <f t="array" ref="P23">IF(N23=0,"N/A",
_xlfn.IFS(
N23&lt;=$BC$6,"1st Quartile (Lowest 25%)",
N23&lt;=$BD$6,"2nd Quartile (25–50%)",
N23&lt;=$BE$6,"3rd Quartile (50–75%)",
TRUE,"4th Quartile (Highest 25%)"
))</f>
        <v>1st Quartile (Lowest 25%)</v>
      </c>
      <c r="Q23" s="130">
        <v>336</v>
      </c>
      <c r="R23" s="13" t="str">
        <f>IFERROR(Q23/AC23,"")</f>
        <v/>
      </c>
      <c r="S23" s="13">
        <v>1.398692810457516E-2</v>
      </c>
      <c r="T23" s="13"/>
      <c r="U23" s="13"/>
      <c r="V23" s="13"/>
      <c r="W23" s="130"/>
      <c r="X23" s="130"/>
      <c r="Y23" s="130"/>
      <c r="Z23" s="13">
        <v>0.96</v>
      </c>
      <c r="AA23" s="63" t="s">
        <v>42</v>
      </c>
      <c r="AB23" s="17" t="s">
        <v>586</v>
      </c>
      <c r="AC23" s="448"/>
      <c r="AD23" s="28">
        <f>'VfM MSD Mastersheet'!$O4</f>
        <v>-2.17384085059166</v>
      </c>
      <c r="AE23" s="317" t="str">
        <f t="array" ref="AE23">_xlfn.IFS(
AD23&lt;=$BC$3,"1st Quartile (Lowest 25%)",
AD23&lt;=$BD$3,"2nd Quartile (25–50%)",
AD23&lt;=$BE$3,"3rd Quartile (50–75%)",
TRUE,"4th Quartile (Highest 25%)"
)</f>
        <v>1st Quartile (Lowest 25%)</v>
      </c>
      <c r="AF23" s="28">
        <f>'VfM MSD Mastersheet'!$P4</f>
        <v>7.3704464696130687</v>
      </c>
      <c r="AG23" s="317" t="str">
        <f t="array" ref="AG23">_xlfn.IFS(
AF23&lt;=$BC$4,"1st Quartile (Lowest 25%)",
AF23&lt;=$BD$4,"2nd Quartile (25–50%)",
AF23&lt;=$BE$4,"3rd Quartile (50–75%)",
TRUE,"4th Quartile (Highest 25%)"
)</f>
        <v>3rd Quartile (50–75%)</v>
      </c>
      <c r="AH23" s="46" t="s">
        <v>587</v>
      </c>
      <c r="AI23" s="193" t="str">
        <f t="array" ref="AI23">_xlfn.IFS(
AND(AE23="1st Quartile (Lowest 25%)",AG23="4th Quartile (Highest 25%)"),"Group 1",
AND(AE23="4th Quartile (Highest 25%)",AG23="1st Quartile (Lowest 25%)"),"Group 3",
OR(AE23="1st Quartile (Lowest 25%)",AE23="2nd Quartile (25–50%)"),"Group 2A (Low Stability)",
TRUE,"Group 2B (High Inflation)"
)</f>
        <v>Group 2A (Low Stability)</v>
      </c>
      <c r="AK23" t="str">
        <v>Naatal Mbay</v>
      </c>
      <c r="AL23" t="str">
        <v>EYE-PH1-3</v>
      </c>
      <c r="AN23" t="str">
        <f t="array" ref="AN23">_xlfn.IFS(
AND(AE23="1st Quartile (Lowest 25%)",AG23="4th Quartile (Highest 25%)",K23&lt;=5),"Group 1 - Short",
AND(AE23="1st Quartile (Lowest 25%)",AG23="4th Quartile (Highest 25%)",K23&lt;10),"Group 1 - Medium",
AND(AE23="1st Quartile (Lowest 25%)",AG23="4th Quartile (Highest 25%)",TRUE),"Group 1 - Long",
AND(AE23="4th Quartile (Highest 25%)",AG23="1st Quartile (Lowest 25%)",K23&lt;=5),"Group 3 - Short",
AND(AE23="4th Quartile (Highest 25%)",AG23="1st Quartile (Lowest 25%)",K23&lt;10),"Group 3 - Medium",
AND(AE23="4th Quartile (Highest 25%)",AG23="1st Quartile (Lowest 25%)",TRUE),"Group 3 - Long",
AND(OR(AE23="1st Quartile (Lowest 25%)",AE23="2nd Quartile (25–50%)"),K23&lt;=5),"Group 2A - Short",
AND(OR(AE23="1st Quartile (Lowest 25%)",AE23="2nd Quartile (25–50%)"),K23&lt;10),"Group 2A - Medium",
AND(OR(AE23="1st Quartile (Lowest 25%)",AE23="2nd Quartile (25–50%)"),TRUE),"Group 2A - Long",
K23&lt;=5,"Group 2B - Short",
K23&lt;10,"Group 2B - Medium",
TRUE,"Group 2B - Long"
)</f>
        <v>Group 2A - Short</v>
      </c>
      <c r="AT23" t="str">
        <v>ESP</v>
      </c>
    </row>
    <row r="24" spans="1:49" ht="14.45" customHeight="1" x14ac:dyDescent="0.25">
      <c r="A24" t="s">
        <v>159</v>
      </c>
      <c r="B24" t="s">
        <v>159</v>
      </c>
      <c r="C24" s="17" t="s">
        <v>104</v>
      </c>
      <c r="G24" t="s">
        <v>160</v>
      </c>
      <c r="H24" s="46" t="e" vm="19">
        <v>#VALUE!</v>
      </c>
      <c r="I24">
        <v>2014</v>
      </c>
      <c r="J24">
        <v>2017</v>
      </c>
      <c r="K24">
        <f t="shared" si="0"/>
        <v>3</v>
      </c>
      <c r="L24" t="s">
        <v>39</v>
      </c>
      <c r="M24" t="s">
        <v>602</v>
      </c>
      <c r="N24" s="448">
        <v>7900000</v>
      </c>
      <c r="O24" s="448">
        <f>Table9[[#This Row],[Cost (USD)]]/Table9[[#This Row],[Programme Length]]</f>
        <v>2633333.3333333335</v>
      </c>
      <c r="P24" s="46" t="str">
        <f t="array" ref="P24">IF(N24=0,"N/A",
_xlfn.IFS(
N24&lt;=$BC$6,"1st Quartile (Lowest 25%)",
N24&lt;=$BD$6,"2nd Quartile (25–50%)",
N24&lt;=$BE$6,"3rd Quartile (50–75%)",
TRUE,"4th Quartile (Highest 25%)"
))</f>
        <v>1st Quartile (Lowest 25%)</v>
      </c>
      <c r="Q24" s="130">
        <v>96.060311284046691</v>
      </c>
      <c r="R24" s="13">
        <f>IFERROR(Q24/AC24,"")</f>
        <v>8.7327555712769719E-3</v>
      </c>
      <c r="S24" s="13"/>
      <c r="T24" s="13"/>
      <c r="U24" s="13"/>
      <c r="V24" s="130"/>
      <c r="W24" s="130"/>
      <c r="X24" s="130">
        <v>464.70588235294122</v>
      </c>
      <c r="Y24" s="130">
        <v>2151.8987341772149</v>
      </c>
      <c r="Z24" s="13">
        <v>2.57</v>
      </c>
      <c r="AA24" s="63" t="s">
        <v>49</v>
      </c>
      <c r="AB24" s="17" t="s">
        <v>583</v>
      </c>
      <c r="AC24" s="448">
        <v>11000</v>
      </c>
      <c r="AD24" s="28">
        <f>'VfM MSD Mastersheet'!$O50</f>
        <v>-0.97695460915565491</v>
      </c>
      <c r="AE24" s="317" t="str">
        <f t="array" ref="AE24">_xlfn.IFS(
AD24&lt;=$BC$3,"1st Quartile (Lowest 25%)",
AD24&lt;=$BD$3,"2nd Quartile (25–50%)",
AD24&lt;=$BE$3,"3rd Quartile (50–75%)",
TRUE,"4th Quartile (Highest 25%)"
)</f>
        <v>2nd Quartile (25–50%)</v>
      </c>
      <c r="AF24" s="13">
        <f>'VfM MSD Mastersheet'!$P50</f>
        <v>7.8565869482198369</v>
      </c>
      <c r="AG24" s="317" t="str">
        <f t="array" ref="AG24">_xlfn.IFS(
AF24&lt;=$BC$4,"1st Quartile (Lowest 25%)",
AF24&lt;=$BD$4,"2nd Quartile (25–50%)",
AF24&lt;=$BE$4,"3rd Quartile (50–75%)",
TRUE,"4th Quartile (Highest 25%)"
)</f>
        <v>3rd Quartile (50–75%)</v>
      </c>
      <c r="AH24" s="46" t="s">
        <v>584</v>
      </c>
      <c r="AI24" s="193" t="str">
        <f t="array" ref="AI24">_xlfn.IFS(
AND(AE24="1st Quartile (Lowest 25%)",AG24="4th Quartile (Highest 25%)"),"Group 1",
AND(AE24="4th Quartile (Highest 25%)",AG24="1st Quartile (Lowest 25%)"),"Group 3",
OR(AE24="1st Quartile (Lowest 25%)",AE24="2nd Quartile (25–50%)"),"Group 2A (Low Stability)",
TRUE,"Group 2B (High Inflation)"
)</f>
        <v>Group 2A (Low Stability)</v>
      </c>
      <c r="AK24" t="str">
        <v>RDC</v>
      </c>
      <c r="AL24" t="str">
        <v>M4C</v>
      </c>
      <c r="AN24" t="str">
        <f t="array" ref="AN24">_xlfn.IFS(
AND(AE24="1st Quartile (Lowest 25%)",AG24="4th Quartile (Highest 25%)",K24&lt;=5),"Group 1 - Short",
AND(AE24="1st Quartile (Lowest 25%)",AG24="4th Quartile (Highest 25%)",K24&lt;10),"Group 1 - Medium",
AND(AE24="1st Quartile (Lowest 25%)",AG24="4th Quartile (Highest 25%)",TRUE),"Group 1 - Long",
AND(AE24="4th Quartile (Highest 25%)",AG24="1st Quartile (Lowest 25%)",K24&lt;=5),"Group 3 - Short",
AND(AE24="4th Quartile (Highest 25%)",AG24="1st Quartile (Lowest 25%)",K24&lt;10),"Group 3 - Medium",
AND(AE24="4th Quartile (Highest 25%)",AG24="1st Quartile (Lowest 25%)",TRUE),"Group 3 - Long",
AND(OR(AE24="1st Quartile (Lowest 25%)",AE24="2nd Quartile (25–50%)"),K24&lt;=5),"Group 2A - Short",
AND(OR(AE24="1st Quartile (Lowest 25%)",AE24="2nd Quartile (25–50%)"),K24&lt;10),"Group 2A - Medium",
AND(OR(AE24="1st Quartile (Lowest 25%)",AE24="2nd Quartile (25–50%)"),TRUE),"Group 2A - Long",
K24&lt;=5,"Group 2B - Short",
K24&lt;10,"Group 2B - Medium",
TRUE,"Group 2B - Long"
)</f>
        <v>Group 2A - Short</v>
      </c>
      <c r="AO24" t="s">
        <v>604</v>
      </c>
      <c r="AT24" t="str">
        <v>PRISMA</v>
      </c>
    </row>
    <row r="25" spans="1:49" ht="14.45" customHeight="1" x14ac:dyDescent="0.25">
      <c r="A25" t="s">
        <v>162</v>
      </c>
      <c r="B25" t="s">
        <v>163</v>
      </c>
      <c r="C25" s="17" t="s">
        <v>80</v>
      </c>
      <c r="G25" t="s">
        <v>164</v>
      </c>
      <c r="H25" s="46" t="e" vm="20">
        <v>#VALUE!</v>
      </c>
      <c r="I25">
        <v>2013</v>
      </c>
      <c r="J25">
        <v>2019</v>
      </c>
      <c r="K25">
        <f t="shared" si="0"/>
        <v>6</v>
      </c>
      <c r="L25" t="s">
        <v>39</v>
      </c>
      <c r="M25" t="s">
        <v>602</v>
      </c>
      <c r="N25" s="448">
        <v>8200000</v>
      </c>
      <c r="O25" s="448">
        <f>Table9[[#This Row],[Cost (USD)]]/Table9[[#This Row],[Programme Length]]</f>
        <v>1366666.6666666667</v>
      </c>
      <c r="P25" s="46" t="str">
        <f t="array" ref="P25">IF(N25=0,"N/A",
_xlfn.IFS(
N25&lt;=$BC$6,"1st Quartile (Lowest 25%)",
N25&lt;=$BD$6,"2nd Quartile (25–50%)",
N25&lt;=$BE$6,"3rd Quartile (50–75%)",
TRUE,"4th Quartile (Highest 25%)"
))</f>
        <v>2nd Quartile (25–50%)</v>
      </c>
      <c r="Q25" s="130"/>
      <c r="R25" s="13"/>
      <c r="S25" s="13">
        <v>4.878048780487805E-2</v>
      </c>
      <c r="T25" s="13"/>
      <c r="U25" s="13"/>
      <c r="V25" s="130"/>
      <c r="W25" s="130"/>
      <c r="X25" s="130">
        <v>753.81503952932519</v>
      </c>
      <c r="Y25" s="130">
        <v>1326.5853658536589</v>
      </c>
      <c r="Z25" s="13"/>
      <c r="AA25" s="63" t="s">
        <v>49</v>
      </c>
      <c r="AB25" s="17" t="s">
        <v>583</v>
      </c>
      <c r="AC25" s="448">
        <v>4300</v>
      </c>
      <c r="AD25" s="28">
        <f>'VfM MSD Mastersheet'!$O47</f>
        <v>-0.38766857453932363</v>
      </c>
      <c r="AE25" s="317" t="str">
        <f t="array" ref="AE25">_xlfn.IFS(
AD25&lt;=$BC$3,"1st Quartile (Lowest 25%)",
AD25&lt;=$BD$3,"2nd Quartile (25–50%)",
AD25&lt;=$BE$3,"3rd Quartile (50–75%)",
TRUE,"4th Quartile (Highest 25%)"
)</f>
        <v>3rd Quartile (50–75%)</v>
      </c>
      <c r="AF25" s="13">
        <f>'VfM MSD Mastersheet'!$P47</f>
        <v>1.8574519644443452</v>
      </c>
      <c r="AG25" s="317" t="str">
        <f t="array" ref="AG25">_xlfn.IFS(
AF25&lt;=$BC$4,"1st Quartile (Lowest 25%)",
AF25&lt;=$BD$4,"2nd Quartile (25–50%)",
AF25&lt;=$BE$4,"3rd Quartile (50–75%)",
TRUE,"4th Quartile (Highest 25%)"
)</f>
        <v>1st Quartile (Lowest 25%)</v>
      </c>
      <c r="AH25" s="46" t="s">
        <v>673</v>
      </c>
      <c r="AI25" s="193" t="str">
        <f t="array" ref="AI25">_xlfn.IFS(
AND(AE25="1st Quartile (Lowest 25%)",AG25="4th Quartile (Highest 25%)"),"Group 1",
AND(AE25="4th Quartile (Highest 25%)",AG25="1st Quartile (Lowest 25%)"),"Group 3",
OR(AE25="1st Quartile (Lowest 25%)",AE25="2nd Quartile (25–50%)"),"Group 2A (Low Stability)",
TRUE,"Group 2B (High Inflation)"
)</f>
        <v>Group 2B (High Inflation)</v>
      </c>
      <c r="AK25" t="str">
        <v>ESP</v>
      </c>
      <c r="AL25" t="str">
        <v>NAFAKA</v>
      </c>
      <c r="AN25" t="str">
        <f t="array" ref="AN25">_xlfn.IFS(
AND(AE25="1st Quartile (Lowest 25%)",AG25="4th Quartile (Highest 25%)",K25&lt;=5),"Group 1 - Short",
AND(AE25="1st Quartile (Lowest 25%)",AG25="4th Quartile (Highest 25%)",K25&lt;10),"Group 1 - Medium",
AND(AE25="1st Quartile (Lowest 25%)",AG25="4th Quartile (Highest 25%)",TRUE),"Group 1 - Long",
AND(AE25="4th Quartile (Highest 25%)",AG25="1st Quartile (Lowest 25%)",K25&lt;=5),"Group 3 - Short",
AND(AE25="4th Quartile (Highest 25%)",AG25="1st Quartile (Lowest 25%)",K25&lt;10),"Group 3 - Medium",
AND(AE25="4th Quartile (Highest 25%)",AG25="1st Quartile (Lowest 25%)",TRUE),"Group 3 - Long",
AND(OR(AE25="1st Quartile (Lowest 25%)",AE25="2nd Quartile (25–50%)"),K25&lt;=5),"Group 2A - Short",
AND(OR(AE25="1st Quartile (Lowest 25%)",AE25="2nd Quartile (25–50%)"),K25&lt;10),"Group 2A - Medium",
AND(OR(AE25="1st Quartile (Lowest 25%)",AE25="2nd Quartile (25–50%)"),TRUE),"Group 2A - Long",
K25&lt;=5,"Group 2B - Short",
K25&lt;10,"Group 2B - Medium",
TRUE,"Group 2B - Long"
)</f>
        <v>Group 2B - Medium</v>
      </c>
    </row>
    <row r="26" spans="1:49" ht="14.45" customHeight="1" x14ac:dyDescent="0.25">
      <c r="A26" t="s">
        <v>166</v>
      </c>
      <c r="B26" t="s">
        <v>167</v>
      </c>
      <c r="C26" t="s">
        <v>80</v>
      </c>
      <c r="G26" s="17" t="s">
        <v>38</v>
      </c>
      <c r="H26" s="354" t="e" vm="21">
        <v>#VALUE!</v>
      </c>
      <c r="I26">
        <v>2015</v>
      </c>
      <c r="J26">
        <v>2020</v>
      </c>
      <c r="K26">
        <f t="shared" si="0"/>
        <v>5</v>
      </c>
      <c r="L26" t="s">
        <v>39</v>
      </c>
      <c r="M26" t="s">
        <v>594</v>
      </c>
      <c r="N26" s="448">
        <v>9400000</v>
      </c>
      <c r="O26" s="448">
        <f>Table9[[#This Row],[Cost (USD)]]/Table9[[#This Row],[Programme Length]]</f>
        <v>1880000</v>
      </c>
      <c r="P26" s="46" t="str">
        <f t="array" ref="P26">IF(N26=0,"N/A",
_xlfn.IFS(
N26&lt;=$BC$6,"1st Quartile (Lowest 25%)",
N26&lt;=$BD$6,"2nd Quartile (25–50%)",
N26&lt;=$BE$6,"3rd Quartile (50–75%)",
TRUE,"4th Quartile (Highest 25%)"
))</f>
        <v>2nd Quartile (25–50%)</v>
      </c>
      <c r="Q26" s="130">
        <v>285.22750050110238</v>
      </c>
      <c r="R26" s="13">
        <f>IFERROR(Q26/AC26,"")</f>
        <v>0.13582261928623923</v>
      </c>
      <c r="S26" s="13"/>
      <c r="T26" s="13"/>
      <c r="U26" s="13"/>
      <c r="V26" s="130">
        <v>1709.090909090909</v>
      </c>
      <c r="W26" s="130">
        <v>585.10638297872333</v>
      </c>
      <c r="X26" s="130">
        <v>188.41451192623771</v>
      </c>
      <c r="Y26" s="130">
        <v>5307.4468085106382</v>
      </c>
      <c r="Z26" s="13">
        <v>1.513829787234042</v>
      </c>
      <c r="AA26" s="63" t="s">
        <v>42</v>
      </c>
      <c r="AB26" s="17" t="s">
        <v>586</v>
      </c>
      <c r="AC26" s="448">
        <v>2100</v>
      </c>
      <c r="AD26" s="28">
        <f>'VfM MSD Mastersheet'!$O22</f>
        <v>-0.8579562107721963</v>
      </c>
      <c r="AE26" s="317" t="str">
        <f t="array" ref="AE26">_xlfn.IFS(
AD26&lt;=$BC$3,"1st Quartile (Lowest 25%)",
AD26&lt;=$BD$3,"2nd Quartile (25–50%)",
AD26&lt;=$BE$3,"3rd Quartile (50–75%)",
TRUE,"4th Quartile (Highest 25%)"
)</f>
        <v>2nd Quartile (25–50%)</v>
      </c>
      <c r="AF26" s="28">
        <f>'VfM MSD Mastersheet'!$P22</f>
        <v>8.0867273158547945</v>
      </c>
      <c r="AG26" s="317" t="str">
        <f t="array" ref="AG26">_xlfn.IFS(
AF26&lt;=$BC$4,"1st Quartile (Lowest 25%)",
AF26&lt;=$BD$4,"2nd Quartile (25–50%)",
AF26&lt;=$BE$4,"3rd Quartile (50–75%)",
TRUE,"4th Quartile (Highest 25%)"
)</f>
        <v>3rd Quartile (50–75%)</v>
      </c>
      <c r="AH26" s="46" t="s">
        <v>674</v>
      </c>
      <c r="AI26" s="193" t="str">
        <f t="array" ref="AI26">_xlfn.IFS(
AND(AE26="1st Quartile (Lowest 25%)",AG26="4th Quartile (Highest 25%)"),"Group 1",
AND(AE26="4th Quartile (Highest 25%)",AG26="1st Quartile (Lowest 25%)"),"Group 3",
OR(AE26="1st Quartile (Lowest 25%)",AE26="2nd Quartile (25–50%)"),"Group 2A (Low Stability)",
TRUE,"Group 2B (High Inflation)"
)</f>
        <v>Group 2A (Low Stability)</v>
      </c>
      <c r="AK26" t="str">
        <v>AVC</v>
      </c>
      <c r="AL26" t="str">
        <v>GROW</v>
      </c>
      <c r="AN26" t="str">
        <f t="array" ref="AN26">_xlfn.IFS(
AND(AE26="1st Quartile (Lowest 25%)",AG26="4th Quartile (Highest 25%)",K26&lt;=5),"Group 1 - Short",
AND(AE26="1st Quartile (Lowest 25%)",AG26="4th Quartile (Highest 25%)",K26&lt;10),"Group 1 - Medium",
AND(AE26="1st Quartile (Lowest 25%)",AG26="4th Quartile (Highest 25%)",TRUE),"Group 1 - Long",
AND(AE26="4th Quartile (Highest 25%)",AG26="1st Quartile (Lowest 25%)",K26&lt;=5),"Group 3 - Short",
AND(AE26="4th Quartile (Highest 25%)",AG26="1st Quartile (Lowest 25%)",K26&lt;10),"Group 3 - Medium",
AND(AE26="4th Quartile (Highest 25%)",AG26="1st Quartile (Lowest 25%)",TRUE),"Group 3 - Long",
AND(OR(AE26="1st Quartile (Lowest 25%)",AE26="2nd Quartile (25–50%)"),K26&lt;=5),"Group 2A - Short",
AND(OR(AE26="1st Quartile (Lowest 25%)",AE26="2nd Quartile (25–50%)"),K26&lt;10),"Group 2A - Medium",
AND(OR(AE26="1st Quartile (Lowest 25%)",AE26="2nd Quartile (25–50%)"),TRUE),"Group 2A - Long",
K26&lt;=5,"Group 2B - Short",
K26&lt;10,"Group 2B - Medium",
TRUE,"Group 2B - Long"
)</f>
        <v>Group 2A - Short</v>
      </c>
    </row>
    <row r="27" spans="1:49" ht="14.45" customHeight="1" x14ac:dyDescent="0.25">
      <c r="A27" t="s">
        <v>169</v>
      </c>
      <c r="B27" t="s">
        <v>170</v>
      </c>
      <c r="C27" s="17" t="s">
        <v>171</v>
      </c>
      <c r="G27" t="s">
        <v>172</v>
      </c>
      <c r="H27" s="46" t="e" vm="16">
        <v>#VALUE!</v>
      </c>
      <c r="I27">
        <v>2012</v>
      </c>
      <c r="J27">
        <v>2017</v>
      </c>
      <c r="K27">
        <f t="shared" si="0"/>
        <v>5</v>
      </c>
      <c r="L27" t="s">
        <v>39</v>
      </c>
      <c r="M27" t="s">
        <v>602</v>
      </c>
      <c r="N27" s="448">
        <v>10000000</v>
      </c>
      <c r="O27" s="448">
        <f>Table9[[#This Row],[Cost (USD)]]/Table9[[#This Row],[Programme Length]]</f>
        <v>2000000</v>
      </c>
      <c r="P27" s="46" t="str">
        <f t="array" ref="P27">IF(N27=0,"N/A",
_xlfn.IFS(
N27&lt;=$BC$6,"1st Quartile (Lowest 25%)",
N27&lt;=$BD$6,"2nd Quartile (25–50%)",
N27&lt;=$BE$6,"3rd Quartile (50–75%)",
TRUE,"4th Quartile (Highest 25%)"
))</f>
        <v>2nd Quartile (25–50%)</v>
      </c>
      <c r="Q27" s="130"/>
      <c r="R27" s="13"/>
      <c r="S27" s="13">
        <v>0.18311730000000001</v>
      </c>
      <c r="T27" s="13">
        <v>0.115</v>
      </c>
      <c r="U27" s="13"/>
      <c r="V27" s="130"/>
      <c r="W27" s="130"/>
      <c r="X27" s="130">
        <v>202.89325785704139</v>
      </c>
      <c r="Y27" s="130">
        <v>4928.7</v>
      </c>
      <c r="Z27" s="13"/>
      <c r="AA27" s="63" t="s">
        <v>49</v>
      </c>
      <c r="AB27" s="17" t="s">
        <v>586</v>
      </c>
      <c r="AC27" s="448">
        <v>3200</v>
      </c>
      <c r="AD27" s="28">
        <f>'VfM MSD Mastersheet'!$O59</f>
        <v>-1.1206384350856147</v>
      </c>
      <c r="AE27" s="317" t="str">
        <f t="array" ref="AE27">_xlfn.IFS(
AD27&lt;=$BC$3,"1st Quartile (Lowest 25%)",
AD27&lt;=$BD$3,"2nd Quartile (25–50%)",
AD27&lt;=$BE$3,"3rd Quartile (50–75%)",
TRUE,"4th Quartile (Highest 25%)"
)</f>
        <v>1st Quartile (Lowest 25%)</v>
      </c>
      <c r="AF27" s="13">
        <f>'VfM MSD Mastersheet'!$P59</f>
        <v>6.5085191579095172</v>
      </c>
      <c r="AG27" s="317" t="str">
        <f t="array" ref="AG27">_xlfn.IFS(
AF27&lt;=$BC$4,"1st Quartile (Lowest 25%)",
AF27&lt;=$BD$4,"2nd Quartile (25–50%)",
AF27&lt;=$BE$4,"3rd Quartile (50–75%)",
TRUE,"4th Quartile (Highest 25%)"
)</f>
        <v>3rd Quartile (50–75%)</v>
      </c>
      <c r="AH27" s="46" t="s">
        <v>674</v>
      </c>
      <c r="AI27" s="193" t="str">
        <f t="array" ref="AI27">_xlfn.IFS(
AND(AE27="1st Quartile (Lowest 25%)",AG27="4th Quartile (Highest 25%)"),"Group 1",
AND(AE27="4th Quartile (Highest 25%)",AG27="1st Quartile (Lowest 25%)"),"Group 3",
OR(AE27="1st Quartile (Lowest 25%)",AE27="2nd Quartile (25–50%)"),"Group 2A (Low Stability)",
TRUE,"Group 2B (High Inflation)"
)</f>
        <v>Group 2A (Low Stability)</v>
      </c>
      <c r="AK27" t="str">
        <v>TMS</v>
      </c>
      <c r="AL27" t="str">
        <v>ECP</v>
      </c>
      <c r="AN27" t="str">
        <f t="array" ref="AN27">_xlfn.IFS(
AND(AE27="1st Quartile (Lowest 25%)",AG27="4th Quartile (Highest 25%)",K27&lt;=5),"Group 1 - Short",
AND(AE27="1st Quartile (Lowest 25%)",AG27="4th Quartile (Highest 25%)",K27&lt;10),"Group 1 - Medium",
AND(AE27="1st Quartile (Lowest 25%)",AG27="4th Quartile (Highest 25%)",TRUE),"Group 1 - Long",
AND(AE27="4th Quartile (Highest 25%)",AG27="1st Quartile (Lowest 25%)",K27&lt;=5),"Group 3 - Short",
AND(AE27="4th Quartile (Highest 25%)",AG27="1st Quartile (Lowest 25%)",K27&lt;10),"Group 3 - Medium",
AND(AE27="4th Quartile (Highest 25%)",AG27="1st Quartile (Lowest 25%)",TRUE),"Group 3 - Long",
AND(OR(AE27="1st Quartile (Lowest 25%)",AE27="2nd Quartile (25–50%)"),K27&lt;=5),"Group 2A - Short",
AND(OR(AE27="1st Quartile (Lowest 25%)",AE27="2nd Quartile (25–50%)"),K27&lt;10),"Group 2A - Medium",
AND(OR(AE27="1st Quartile (Lowest 25%)",AE27="2nd Quartile (25–50%)"),TRUE),"Group 2A - Long",
K27&lt;=5,"Group 2B - Short",
K27&lt;10,"Group 2B - Medium",
TRUE,"Group 2B - Long"
)</f>
        <v>Group 2A - Short</v>
      </c>
    </row>
    <row r="28" spans="1:49" ht="14.45" customHeight="1" x14ac:dyDescent="0.25">
      <c r="A28" t="s">
        <v>174</v>
      </c>
      <c r="B28" t="s">
        <v>175</v>
      </c>
      <c r="C28" t="s">
        <v>176</v>
      </c>
      <c r="G28" t="s">
        <v>53</v>
      </c>
      <c r="H28" s="46" t="e" vm="22">
        <v>#VALUE!</v>
      </c>
      <c r="I28">
        <v>2017</v>
      </c>
      <c r="J28">
        <v>2021</v>
      </c>
      <c r="K28">
        <f t="shared" si="0"/>
        <v>4</v>
      </c>
      <c r="L28" t="s">
        <v>39</v>
      </c>
      <c r="M28" t="s">
        <v>617</v>
      </c>
      <c r="N28" s="448">
        <v>10100000</v>
      </c>
      <c r="O28" s="448">
        <f>Table9[[#This Row],[Cost (USD)]]/Table9[[#This Row],[Programme Length]]</f>
        <v>2525000</v>
      </c>
      <c r="P28" s="46" t="str">
        <f t="array" ref="P28">IF(N28=0,"N/A",
_xlfn.IFS(
N28&lt;=$BC$6,"1st Quartile (Lowest 25%)",
N28&lt;=$BD$6,"2nd Quartile (25–50%)",
N28&lt;=$BE$6,"3rd Quartile (50–75%)",
TRUE,"4th Quartile (Highest 25%)"
))</f>
        <v>2nd Quartile (25–50%)</v>
      </c>
      <c r="Q28" s="13"/>
      <c r="R28" s="13"/>
      <c r="S28" s="13">
        <v>6.7987128712871284E-2</v>
      </c>
      <c r="T28" s="13">
        <v>0.1046142350084065</v>
      </c>
      <c r="U28" s="13"/>
      <c r="V28" s="130">
        <v>69655.172413793101</v>
      </c>
      <c r="W28" s="130">
        <v>14.35643564356436</v>
      </c>
      <c r="X28" s="130">
        <v>2455.6284950158042</v>
      </c>
      <c r="Y28" s="130">
        <v>407.22772277227722</v>
      </c>
      <c r="Z28" s="13"/>
      <c r="AA28" s="63" t="s">
        <v>49</v>
      </c>
      <c r="AB28" s="17" t="s">
        <v>589</v>
      </c>
      <c r="AC28" s="448">
        <v>18000</v>
      </c>
      <c r="AD28" s="28">
        <f>'VfM MSD Mastersheet'!$O91</f>
        <v>-0.3614446900107644</v>
      </c>
      <c r="AE28" s="318" t="str">
        <f t="array" ref="AE28">_xlfn.IFS(
AD28&lt;=$BC$3,"1st Quartile (Lowest 25%)",
AD28&lt;=$BD$3,"2nd Quartile (25–50%)",
AD28&lt;=$BE$3,"3rd Quartile (50–75%)",
TRUE,"4th Quartile (Highest 25%)"
)</f>
        <v>3rd Quartile (50–75%)</v>
      </c>
      <c r="AF28" s="13">
        <f>'VfM MSD Mastersheet'!$P91</f>
        <v>2.4752091232944324</v>
      </c>
      <c r="AG28" s="318" t="str">
        <f t="array" ref="AG28">_xlfn.IFS(
AF28&lt;=$BC$4,"1st Quartile (Lowest 25%)",
AF28&lt;=$BD$4,"2nd Quartile (25–50%)",
AF28&lt;=$BE$4,"3rd Quartile (50–75%)",
TRUE,"4th Quartile (Highest 25%)"
)</f>
        <v>1st Quartile (Lowest 25%)</v>
      </c>
      <c r="AH28" s="46" t="s">
        <v>673</v>
      </c>
      <c r="AI28" s="193" t="str">
        <f t="array" ref="AI28">_xlfn.IFS(
AND(AE28="1st Quartile (Lowest 25%)",AG28="4th Quartile (Highest 25%)"),"Group 1",
AND(AE28="4th Quartile (Highest 25%)",AG28="1st Quartile (Lowest 25%)"),"Group 3",
OR(AE28="1st Quartile (Lowest 25%)",AE28="2nd Quartile (25–50%)"),"Group 2A (Low Stability)",
TRUE,"Group 2B (High Inflation)"
)</f>
        <v>Group 2B (High Inflation)</v>
      </c>
      <c r="AK28" t="str">
        <v>GEMS-PH1,3,4</v>
      </c>
      <c r="AL28" t="str">
        <v>MADE Nigeria-PH1&amp;2</v>
      </c>
      <c r="AN28" t="str">
        <f t="array" ref="AN28">_xlfn.IFS(
AND(AE28="1st Quartile (Lowest 25%)",AG28="4th Quartile (Highest 25%)",K28&lt;=5),"Group 1 - Short",
AND(AE28="1st Quartile (Lowest 25%)",AG28="4th Quartile (Highest 25%)",K28&lt;10),"Group 1 - Medium",
AND(AE28="1st Quartile (Lowest 25%)",AG28="4th Quartile (Highest 25%)",TRUE),"Group 1 - Long",
AND(AE28="4th Quartile (Highest 25%)",AG28="1st Quartile (Lowest 25%)",K28&lt;=5),"Group 3 - Short",
AND(AE28="4th Quartile (Highest 25%)",AG28="1st Quartile (Lowest 25%)",K28&lt;10),"Group 3 - Medium",
AND(AE28="4th Quartile (Highest 25%)",AG28="1st Quartile (Lowest 25%)",TRUE),"Group 3 - Long",
AND(OR(AE28="1st Quartile (Lowest 25%)",AE28="2nd Quartile (25–50%)"),K28&lt;=5),"Group 2A - Short",
AND(OR(AE28="1st Quartile (Lowest 25%)",AE28="2nd Quartile (25–50%)"),K28&lt;10),"Group 2A - Medium",
AND(OR(AE28="1st Quartile (Lowest 25%)",AE28="2nd Quartile (25–50%)"),TRUE),"Group 2A - Long",
K28&lt;=5,"Group 2B - Short",
K28&lt;10,"Group 2B - Medium",
TRUE,"Group 2B - Long"
)</f>
        <v>Group 2B - Short</v>
      </c>
    </row>
    <row r="29" spans="1:49" ht="14.45" customHeight="1" x14ac:dyDescent="0.25">
      <c r="A29" t="s">
        <v>548</v>
      </c>
      <c r="B29" t="s">
        <v>181</v>
      </c>
      <c r="C29" s="17" t="s">
        <v>171</v>
      </c>
      <c r="G29" t="s">
        <v>182</v>
      </c>
      <c r="H29" s="46" t="e" vm="8">
        <v>#VALUE!</v>
      </c>
      <c r="I29">
        <v>2015</v>
      </c>
      <c r="J29">
        <v>2021</v>
      </c>
      <c r="K29">
        <f t="shared" si="0"/>
        <v>6</v>
      </c>
      <c r="L29" t="s">
        <v>39</v>
      </c>
      <c r="M29" t="s">
        <v>615</v>
      </c>
      <c r="N29" s="448">
        <v>10773000</v>
      </c>
      <c r="O29" s="448">
        <f>Table9[[#This Row],[Cost (USD)]]/Table9[[#This Row],[Programme Length]]</f>
        <v>1795500</v>
      </c>
      <c r="P29" s="46" t="str">
        <f t="array" ref="P29">IF(N29=0,"N/A",
_xlfn.IFS(
N29&lt;=$BC$6,"1st Quartile (Lowest 25%)",
N29&lt;=$BD$6,"2nd Quartile (25–50%)",
N29&lt;=$BE$6,"3rd Quartile (50–75%)",
TRUE,"4th Quartile (Highest 25%)"
))</f>
        <v>2nd Quartile (25–50%)</v>
      </c>
      <c r="Q29" s="13"/>
      <c r="R29" s="13"/>
      <c r="S29" s="13"/>
      <c r="T29" s="13">
        <v>1.93865246449457</v>
      </c>
      <c r="U29" s="13"/>
      <c r="V29" s="130"/>
      <c r="W29" s="130"/>
      <c r="X29" s="130">
        <v>59.990310671069558</v>
      </c>
      <c r="Y29" s="130">
        <v>16669.358581639281</v>
      </c>
      <c r="Z29" s="13"/>
      <c r="AA29" s="63" t="s">
        <v>49</v>
      </c>
      <c r="AB29" s="17" t="s">
        <v>583</v>
      </c>
      <c r="AC29" s="448">
        <v>9300</v>
      </c>
      <c r="AD29" s="28">
        <f>'VfM MSD Mastersheet'!$O67</f>
        <v>-1.0633762677510565</v>
      </c>
      <c r="AE29" s="317" t="str">
        <f t="array" ref="AE29">_xlfn.IFS(
AD29&lt;=$BC$3,"1st Quartile (Lowest 25%)",
AD29&lt;=$BD$3,"2nd Quartile (25–50%)",
AD29&lt;=$BE$3,"3rd Quartile (50–75%)",
TRUE,"4th Quartile (Highest 25%)"
)</f>
        <v>2nd Quartile (25–50%)</v>
      </c>
      <c r="AF29" s="13">
        <f>'VfM MSD Mastersheet'!$P67</f>
        <v>5.5979904555783735</v>
      </c>
      <c r="AG29" s="318" t="str">
        <f t="array" ref="AG29">_xlfn.IFS(
AF29&lt;=$BC$4,"1st Quartile (Lowest 25%)",
AF29&lt;=$BD$4,"2nd Quartile (25–50%)",
AF29&lt;=$BE$4,"3rd Quartile (50–75%)",
TRUE,"4th Quartile (Highest 25%)"
)</f>
        <v>2nd Quartile (25–50%)</v>
      </c>
      <c r="AH29" s="46" t="s">
        <v>674</v>
      </c>
      <c r="AI29" s="324"/>
      <c r="AK29" t="str">
        <v>PEPE</v>
      </c>
      <c r="AL29" t="str">
        <v>PMDP</v>
      </c>
      <c r="AN29" t="str">
        <f t="array" ref="AN29">_xlfn.IFS(
AND(AE29="1st Quartile (Lowest 25%)",AG29="4th Quartile (Highest 25%)",K29&lt;=5),"Group 1 - Short",
AND(AE29="1st Quartile (Lowest 25%)",AG29="4th Quartile (Highest 25%)",K29&lt;10),"Group 1 - Medium",
AND(AE29="1st Quartile (Lowest 25%)",AG29="4th Quartile (Highest 25%)",TRUE),"Group 1 - Long",
AND(AE29="4th Quartile (Highest 25%)",AG29="1st Quartile (Lowest 25%)",K29&lt;=5),"Group 3 - Short",
AND(AE29="4th Quartile (Highest 25%)",AG29="1st Quartile (Lowest 25%)",K29&lt;10),"Group 3 - Medium",
AND(AE29="4th Quartile (Highest 25%)",AG29="1st Quartile (Lowest 25%)",TRUE),"Group 3 - Long",
AND(OR(AE29="1st Quartile (Lowest 25%)",AE29="2nd Quartile (25–50%)"),K29&lt;=5),"Group 2A - Short",
AND(OR(AE29="1st Quartile (Lowest 25%)",AE29="2nd Quartile (25–50%)"),K29&lt;10),"Group 2A - Medium",
AND(OR(AE29="1st Quartile (Lowest 25%)",AE29="2nd Quartile (25–50%)"),TRUE),"Group 2A - Long",
K29&lt;=5,"Group 2B - Short",
K29&lt;10,"Group 2B - Medium",
TRUE,"Group 2B - Long"
)</f>
        <v>Group 2A - Medium</v>
      </c>
    </row>
    <row r="30" spans="1:49" ht="14.45" customHeight="1" x14ac:dyDescent="0.25">
      <c r="A30" t="s">
        <v>184</v>
      </c>
      <c r="B30" t="s">
        <v>185</v>
      </c>
      <c r="C30" s="17" t="s">
        <v>104</v>
      </c>
      <c r="G30" t="s">
        <v>74</v>
      </c>
      <c r="H30" s="46" t="e" vm="15">
        <v>#VALUE!</v>
      </c>
      <c r="I30">
        <v>2012</v>
      </c>
      <c r="J30">
        <v>2020</v>
      </c>
      <c r="K30">
        <f t="shared" si="0"/>
        <v>8</v>
      </c>
      <c r="L30" t="s">
        <v>39</v>
      </c>
      <c r="M30" t="s">
        <v>602</v>
      </c>
      <c r="N30" s="448">
        <v>11500000</v>
      </c>
      <c r="O30" s="448">
        <f>Table9[[#This Row],[Cost (USD)]]/Table9[[#This Row],[Programme Length]]</f>
        <v>1437500</v>
      </c>
      <c r="P30" s="46" t="str">
        <f t="array" ref="P30">IF(N30=0,"N/A",
_xlfn.IFS(
N30&lt;=$BC$6,"1st Quartile (Lowest 25%)",
N30&lt;=$BD$6,"2nd Quartile (25–50%)",
N30&lt;=$BE$6,"3rd Quartile (50–75%)",
TRUE,"4th Quartile (Highest 25%)"
))</f>
        <v>2nd Quartile (25–50%)</v>
      </c>
      <c r="Q30" s="130">
        <v>208.85773458658599</v>
      </c>
      <c r="R30" s="13">
        <f>IFERROR(Q30/AC30,"")</f>
        <v>0.12285749093328588</v>
      </c>
      <c r="S30" s="13"/>
      <c r="T30" s="13"/>
      <c r="U30" s="13"/>
      <c r="V30" s="130"/>
      <c r="W30" s="130"/>
      <c r="X30" s="130">
        <v>1832.085391110403</v>
      </c>
      <c r="Y30" s="130">
        <v>545.82608695652175</v>
      </c>
      <c r="Z30" s="13">
        <v>0.114</v>
      </c>
      <c r="AA30" s="63" t="s">
        <v>42</v>
      </c>
      <c r="AB30" s="17" t="s">
        <v>586</v>
      </c>
      <c r="AC30" s="448">
        <v>1700</v>
      </c>
      <c r="AD30" s="28">
        <f>'VfM MSD Mastersheet'!$O45</f>
        <v>-1.1245846748352053</v>
      </c>
      <c r="AE30" s="317" t="str">
        <f t="array" ref="AE30">_xlfn.IFS(
AD30&lt;=$BC$3,"1st Quartile (Lowest 25%)",
AD30&lt;=$BD$3,"2nd Quartile (25–50%)",
AD30&lt;=$BE$3,"3rd Quartile (50–75%)",
TRUE,"4th Quartile (Highest 25%)"
)</f>
        <v>1st Quartile (Lowest 25%)</v>
      </c>
      <c r="AF30" s="13">
        <f>'VfM MSD Mastersheet'!$P45</f>
        <v>6.2484323415190781</v>
      </c>
      <c r="AG30" s="317" t="str">
        <f t="array" ref="AG30">_xlfn.IFS(
AF30&lt;=$BC$4,"1st Quartile (Lowest 25%)",
AF30&lt;=$BD$4,"2nd Quartile (25–50%)",
AF30&lt;=$BE$4,"3rd Quartile (50–75%)",
TRUE,"4th Quartile (Highest 25%)"
)</f>
        <v>2nd Quartile (25–50%)</v>
      </c>
      <c r="AH30" s="46" t="s">
        <v>674</v>
      </c>
      <c r="AI30" s="193" t="str">
        <f t="array" ref="AI30">_xlfn.IFS(
AND(AE30="1st Quartile (Lowest 25%)",AG30="4th Quartile (Highest 25%)"),"Group 1",
AND(AE30="4th Quartile (Highest 25%)",AG30="1st Quartile (Lowest 25%)"),"Group 3",
OR(AE30="1st Quartile (Lowest 25%)",AE30="2nd Quartile (25–50%)"),"Group 2A (Low Stability)",
TRUE,"Group 2B (High Inflation)"
)</f>
        <v>Group 2A (Low Stability)</v>
      </c>
      <c r="AK30" t="str">
        <v>MDF-PH1-2</v>
      </c>
      <c r="AL30" t="str">
        <v>KMAP</v>
      </c>
      <c r="AN30" t="str">
        <f t="array" ref="AN30">_xlfn.IFS(
AND(AE30="1st Quartile (Lowest 25%)",AG30="4th Quartile (Highest 25%)",K30&lt;=5),"Group 1 - Short",
AND(AE30="1st Quartile (Lowest 25%)",AG30="4th Quartile (Highest 25%)",K30&lt;10),"Group 1 - Medium",
AND(AE30="1st Quartile (Lowest 25%)",AG30="4th Quartile (Highest 25%)",TRUE),"Group 1 - Long",
AND(AE30="4th Quartile (Highest 25%)",AG30="1st Quartile (Lowest 25%)",K30&lt;=5),"Group 3 - Short",
AND(AE30="4th Quartile (Highest 25%)",AG30="1st Quartile (Lowest 25%)",K30&lt;10),"Group 3 - Medium",
AND(AE30="4th Quartile (Highest 25%)",AG30="1st Quartile (Lowest 25%)",TRUE),"Group 3 - Long",
AND(OR(AE30="1st Quartile (Lowest 25%)",AE30="2nd Quartile (25–50%)"),K30&lt;=5),"Group 2A - Short",
AND(OR(AE30="1st Quartile (Lowest 25%)",AE30="2nd Quartile (25–50%)"),K30&lt;10),"Group 2A - Medium",
AND(OR(AE30="1st Quartile (Lowest 25%)",AE30="2nd Quartile (25–50%)"),TRUE),"Group 2A - Long",
K30&lt;=5,"Group 2B - Short",
K30&lt;10,"Group 2B - Medium",
TRUE,"Group 2B - Long"
)</f>
        <v>Group 2A - Medium</v>
      </c>
    </row>
    <row r="31" spans="1:49" ht="14.45" customHeight="1" x14ac:dyDescent="0.25">
      <c r="A31" t="s">
        <v>187</v>
      </c>
      <c r="B31" t="s">
        <v>188</v>
      </c>
      <c r="C31" s="17" t="s">
        <v>137</v>
      </c>
      <c r="G31" t="s">
        <v>189</v>
      </c>
      <c r="H31" s="46" t="e" vm="23">
        <v>#VALUE!</v>
      </c>
      <c r="I31">
        <v>2013</v>
      </c>
      <c r="J31">
        <v>2017</v>
      </c>
      <c r="K31">
        <f t="shared" si="0"/>
        <v>4</v>
      </c>
      <c r="L31" t="s">
        <v>39</v>
      </c>
      <c r="M31" t="s">
        <v>602</v>
      </c>
      <c r="N31" s="448">
        <v>11500000</v>
      </c>
      <c r="O31" s="448">
        <f>Table9[[#This Row],[Cost (USD)]]/Table9[[#This Row],[Programme Length]]</f>
        <v>2875000</v>
      </c>
      <c r="P31" s="46" t="str">
        <f t="array" ref="P31">IF(N31=0,"N/A",
_xlfn.IFS(
N31&lt;=$BC$6,"1st Quartile (Lowest 25%)",
N31&lt;=$BD$6,"2nd Quartile (25–50%)",
N31&lt;=$BE$6,"3rd Quartile (50–75%)",
TRUE,"4th Quartile (Highest 25%)"
))</f>
        <v>2nd Quartile (25–50%)</v>
      </c>
      <c r="Q31" s="130"/>
      <c r="R31" s="13"/>
      <c r="S31" s="13">
        <v>6.280869565217391E-2</v>
      </c>
      <c r="T31" s="13"/>
      <c r="U31" s="13"/>
      <c r="V31" s="130"/>
      <c r="W31" s="130"/>
      <c r="X31" s="130">
        <v>148.96373056994821</v>
      </c>
      <c r="Y31" s="130">
        <v>6713.04347826087</v>
      </c>
      <c r="Z31" s="13"/>
      <c r="AA31" s="63" t="s">
        <v>49</v>
      </c>
      <c r="AB31" s="17" t="s">
        <v>583</v>
      </c>
      <c r="AC31" s="448">
        <v>4200</v>
      </c>
      <c r="AD31" s="28">
        <f>'VfM MSD Mastersheet'!$O56</f>
        <v>-0.60691030323505402</v>
      </c>
      <c r="AE31" s="317" t="str">
        <f t="array" ref="AE31">_xlfn.IFS(
AD31&lt;=$BC$3,"1st Quartile (Lowest 25%)",
AD31&lt;=$BD$3,"2nd Quartile (25–50%)",
AD31&lt;=$BE$3,"3rd Quartile (50–75%)",
TRUE,"4th Quartile (Highest 25%)"
)</f>
        <v>2nd Quartile (25–50%)</v>
      </c>
      <c r="AF31" s="13" t="str">
        <f>'VfM MSD Mastersheet'!$P56</f>
        <v>N/A</v>
      </c>
      <c r="AG31" s="317" t="str">
        <f t="array" ref="AG31">_xlfn.IFS(
AF31&lt;=$BC$4,"1st Quartile (Lowest 25%)",
AF31&lt;=$BD$4,"2nd Quartile (25–50%)",
AF31&lt;=$BE$4,"3rd Quartile (50–75%)",
TRUE,"4th Quartile (Highest 25%)"
)</f>
        <v>4th Quartile (Highest 25%)</v>
      </c>
      <c r="AH31" s="46" t="s">
        <v>673</v>
      </c>
      <c r="AI31" s="193" t="str">
        <f t="array" ref="AI31">_xlfn.IFS(
AND(AE31="1st Quartile (Lowest 25%)",AG31="4th Quartile (Highest 25%)"),"Group 1",
AND(AE31="4th Quartile (Highest 25%)",AG31="1st Quartile (Lowest 25%)"),"Group 3",
OR(AE31="1st Quartile (Lowest 25%)",AE31="2nd Quartile (25–50%)"),"Group 2A (Low Stability)",
TRUE,"Group 2B (High Inflation)"
)</f>
        <v>Group 2A (Low Stability)</v>
      </c>
      <c r="AK31" t="str">
        <v>ÉLAN RDC</v>
      </c>
      <c r="AL31" t="str">
        <v>3AG</v>
      </c>
      <c r="AN31" t="str">
        <f t="array" ref="AN31">_xlfn.IFS(
AND(AE31="1st Quartile (Lowest 25%)",AG31="4th Quartile (Highest 25%)",K31&lt;=5),"Group 1 - Short",
AND(AE31="1st Quartile (Lowest 25%)",AG31="4th Quartile (Highest 25%)",K31&lt;10),"Group 1 - Medium",
AND(AE31="1st Quartile (Lowest 25%)",AG31="4th Quartile (Highest 25%)",TRUE),"Group 1 - Long",
AND(AE31="4th Quartile (Highest 25%)",AG31="1st Quartile (Lowest 25%)",K31&lt;=5),"Group 3 - Short",
AND(AE31="4th Quartile (Highest 25%)",AG31="1st Quartile (Lowest 25%)",K31&lt;10),"Group 3 - Medium",
AND(AE31="4th Quartile (Highest 25%)",AG31="1st Quartile (Lowest 25%)",TRUE),"Group 3 - Long",
AND(OR(AE31="1st Quartile (Lowest 25%)",AE31="2nd Quartile (25–50%)"),K31&lt;=5),"Group 2A - Short",
AND(OR(AE31="1st Quartile (Lowest 25%)",AE31="2nd Quartile (25–50%)"),K31&lt;10),"Group 2A - Medium",
AND(OR(AE31="1st Quartile (Lowest 25%)",AE31="2nd Quartile (25–50%)"),TRUE),"Group 2A - Long",
K31&lt;=5,"Group 2B - Short",
K31&lt;10,"Group 2B - Medium",
TRUE,"Group 2B - Long"
)</f>
        <v>Group 2A - Short</v>
      </c>
    </row>
    <row r="32" spans="1:49" ht="14.45" customHeight="1" x14ac:dyDescent="0.25">
      <c r="A32" s="17" t="s">
        <v>191</v>
      </c>
      <c r="B32" s="17" t="s">
        <v>192</v>
      </c>
      <c r="C32" s="17" t="s">
        <v>104</v>
      </c>
      <c r="D32" s="17"/>
      <c r="E32" s="17"/>
      <c r="F32" s="17"/>
      <c r="G32" t="s">
        <v>193</v>
      </c>
      <c r="H32" s="354" t="e" vm="24">
        <v>#VALUE!</v>
      </c>
      <c r="I32" s="17">
        <v>2014</v>
      </c>
      <c r="J32" s="17">
        <v>2022</v>
      </c>
      <c r="K32">
        <f t="shared" si="0"/>
        <v>8</v>
      </c>
      <c r="L32" t="s">
        <v>39</v>
      </c>
      <c r="M32" t="s">
        <v>582</v>
      </c>
      <c r="N32" s="448">
        <v>11800000</v>
      </c>
      <c r="O32" s="448">
        <f>Table9[[#This Row],[Cost (USD)]]/Table9[[#This Row],[Programme Length]]</f>
        <v>1475000</v>
      </c>
      <c r="P32" s="46" t="str">
        <f t="array" ref="P32">IF(N32=0,"N/A",
_xlfn.IFS(
N32&lt;=$BC$6,"1st Quartile (Lowest 25%)",
N32&lt;=$BD$6,"2nd Quartile (25–50%)",
N32&lt;=$BE$6,"3rd Quartile (50–75%)",
TRUE,"4th Quartile (Highest 25%)"
))</f>
        <v>2nd Quartile (25–50%)</v>
      </c>
      <c r="Q32" s="130">
        <v>1800</v>
      </c>
      <c r="R32" s="13">
        <f>IFERROR(Q32/AC32,"")</f>
        <v>0.25714285714285712</v>
      </c>
      <c r="S32" s="13"/>
      <c r="T32" s="13"/>
      <c r="U32" s="13"/>
      <c r="V32" s="13"/>
      <c r="W32" s="130"/>
      <c r="X32" s="130">
        <v>1180</v>
      </c>
      <c r="Y32" s="130">
        <v>847.45762711864404</v>
      </c>
      <c r="Z32" s="13">
        <v>1.525423728813559</v>
      </c>
      <c r="AA32" s="63" t="s">
        <v>49</v>
      </c>
      <c r="AB32" s="17" t="s">
        <v>583</v>
      </c>
      <c r="AC32" s="448">
        <v>7000</v>
      </c>
      <c r="AD32" s="28">
        <f>'VfM MSD Mastersheet'!$O3</f>
        <v>-0.22618499398231501</v>
      </c>
      <c r="AE32" s="317" t="str">
        <f t="array" ref="AE32">_xlfn.IFS(
AD32&lt;=$BC$3,"1st Quartile (Lowest 25%)",
AD32&lt;=$BD$3,"2nd Quartile (25–50%)",
AD32&lt;=$BE$3,"3rd Quartile (50–75%)",
TRUE,"4th Quartile (Highest 25%)"
)</f>
        <v>4th Quartile (Highest 25%)</v>
      </c>
      <c r="AF32" s="28">
        <f>'VfM MSD Mastersheet'!$P3</f>
        <v>7.1158726153082599</v>
      </c>
      <c r="AG32" s="317" t="str">
        <f t="array" ref="AG32">_xlfn.IFS(
AF32&lt;=$BC$4,"1st Quartile (Lowest 25%)",
AF32&lt;=$BD$4,"2nd Quartile (25–50%)",
AF32&lt;=$BE$4,"3rd Quartile (50–75%)",
TRUE,"4th Quartile (Highest 25%)"
)</f>
        <v>3rd Quartile (50–75%)</v>
      </c>
      <c r="AH32" s="46" t="s">
        <v>584</v>
      </c>
      <c r="AI32" s="193" t="str">
        <f t="array" ref="AI32">_xlfn.IFS(
AND(AE32="1st Quartile (Lowest 25%)",AG32="4th Quartile (Highest 25%)"),"Group 1",
AND(AE32="4th Quartile (Highest 25%)",AG32="1st Quartile (Lowest 25%)"),"Group 3",
OR(AE32="1st Quartile (Lowest 25%)",AE32="2nd Quartile (25–50%)"),"Group 2A (Low Stability)",
TRUE,"Group 2B (High Inflation)"
)</f>
        <v>Group 2B (High Inflation)</v>
      </c>
      <c r="AK32" t="str">
        <v>PRISMA</v>
      </c>
      <c r="AL32" t="str">
        <v>ACLP</v>
      </c>
      <c r="AN32" t="str">
        <f t="array" ref="AN32">_xlfn.IFS(
AND(AE32="1st Quartile (Lowest 25%)",AG32="4th Quartile (Highest 25%)",K32&lt;=5),"Group 1 - Short",
AND(AE32="1st Quartile (Lowest 25%)",AG32="4th Quartile (Highest 25%)",K32&lt;10),"Group 1 - Medium",
AND(AE32="1st Quartile (Lowest 25%)",AG32="4th Quartile (Highest 25%)",TRUE),"Group 1 - Long",
AND(AE32="4th Quartile (Highest 25%)",AG32="1st Quartile (Lowest 25%)",K32&lt;=5),"Group 3 - Short",
AND(AE32="4th Quartile (Highest 25%)",AG32="1st Quartile (Lowest 25%)",K32&lt;10),"Group 3 - Medium",
AND(AE32="4th Quartile (Highest 25%)",AG32="1st Quartile (Lowest 25%)",TRUE),"Group 3 - Long",
AND(OR(AE32="1st Quartile (Lowest 25%)",AE32="2nd Quartile (25–50%)"),K32&lt;=5),"Group 2A - Short",
AND(OR(AE32="1st Quartile (Lowest 25%)",AE32="2nd Quartile (25–50%)"),K32&lt;10),"Group 2A - Medium",
AND(OR(AE32="1st Quartile (Lowest 25%)",AE32="2nd Quartile (25–50%)"),TRUE),"Group 2A - Long",
K32&lt;=5,"Group 2B - Short",
K32&lt;10,"Group 2B - Medium",
TRUE,"Group 2B - Long"
)</f>
        <v>Group 2B - Medium</v>
      </c>
    </row>
    <row r="33" spans="1:40" ht="14.45" customHeight="1" x14ac:dyDescent="0.25">
      <c r="A33" t="s">
        <v>196</v>
      </c>
      <c r="B33" t="s">
        <v>197</v>
      </c>
      <c r="C33" t="s">
        <v>137</v>
      </c>
      <c r="G33" t="s">
        <v>53</v>
      </c>
      <c r="H33" s="46" t="e" vm="16">
        <v>#VALUE!</v>
      </c>
      <c r="I33">
        <v>2018</v>
      </c>
      <c r="J33">
        <v>2022</v>
      </c>
      <c r="K33">
        <f t="shared" si="0"/>
        <v>4</v>
      </c>
      <c r="L33" t="s">
        <v>39</v>
      </c>
      <c r="M33" t="s">
        <v>617</v>
      </c>
      <c r="N33" s="448">
        <v>12922000</v>
      </c>
      <c r="O33" s="448">
        <f>Table9[[#This Row],[Cost (USD)]]/Table9[[#This Row],[Programme Length]]</f>
        <v>3230500</v>
      </c>
      <c r="P33" s="46" t="str">
        <f t="array" ref="P33">IF(N33=0,"N/A",
_xlfn.IFS(
N33&lt;=$BC$6,"1st Quartile (Lowest 25%)",
N33&lt;=$BD$6,"2nd Quartile (25–50%)",
N33&lt;=$BE$6,"3rd Quartile (50–75%)",
TRUE,"4th Quartile (Highest 25%)"
))</f>
        <v>2nd Quartile (25–50%)</v>
      </c>
      <c r="Q33" s="13">
        <v>61.500214285714293</v>
      </c>
      <c r="R33" s="13">
        <f>IFERROR(Q33/AC33,"")</f>
        <v>1.9218816964285717E-2</v>
      </c>
      <c r="S33" s="13">
        <v>0.31970482897384311</v>
      </c>
      <c r="T33" s="13">
        <v>1.926747786720322</v>
      </c>
      <c r="U33" s="13"/>
      <c r="V33" s="130">
        <v>5010.4691740984881</v>
      </c>
      <c r="W33" s="130">
        <v>199.58210803281219</v>
      </c>
      <c r="X33" s="130"/>
      <c r="Y33" s="130"/>
      <c r="Z33" s="13">
        <v>0.6456523038229377</v>
      </c>
      <c r="AA33" s="63" t="s">
        <v>42</v>
      </c>
      <c r="AB33" s="17" t="s">
        <v>586</v>
      </c>
      <c r="AC33" s="448">
        <v>3200</v>
      </c>
      <c r="AD33" s="28">
        <f>'VfM MSD Mastersheet'!$O92</f>
        <v>-0.49878624578316999</v>
      </c>
      <c r="AE33" s="318" t="str">
        <f t="array" ref="AE33">_xlfn.IFS(
AD33&lt;=$BC$3,"1st Quartile (Lowest 25%)",
AD33&lt;=$BD$3,"2nd Quartile (25–50%)",
AD33&lt;=$BE$3,"3rd Quartile (50–75%)",
TRUE,"4th Quartile (Highest 25%)"
)</f>
        <v>3rd Quartile (50–75%)</v>
      </c>
      <c r="AF33" s="13">
        <f>'VfM MSD Mastersheet'!$P92</f>
        <v>4.9505824465433212</v>
      </c>
      <c r="AG33" s="318" t="str">
        <f t="array" ref="AG33">_xlfn.IFS(
AF33&lt;=$BC$4,"1st Quartile (Lowest 25%)",
AF33&lt;=$BD$4,"2nd Quartile (25–50%)",
AF33&lt;=$BE$4,"3rd Quartile (50–75%)",
TRUE,"4th Quartile (Highest 25%)"
)</f>
        <v>2nd Quartile (25–50%)</v>
      </c>
      <c r="AH33" s="46" t="s">
        <v>674</v>
      </c>
      <c r="AI33" s="193" t="str">
        <f t="array" ref="AI33">_xlfn.IFS(
AND(AE33="1st Quartile (Lowest 25%)",AG33="4th Quartile (Highest 25%)"),"Group 1",
AND(AE33="4th Quartile (Highest 25%)",AG33="1st Quartile (Lowest 25%)"),"Group 3",
OR(AE33="1st Quartile (Lowest 25%)",AE33="2nd Quartile (25–50%)"),"Group 2A (Low Stability)",
TRUE,"Group 2B (High Inflation)"
)</f>
        <v>Group 2B (High Inflation)</v>
      </c>
      <c r="AL33" t="str">
        <v>RIPA-North</v>
      </c>
      <c r="AN33" t="str">
        <f t="array" ref="AN33">_xlfn.IFS(
AND(AE33="1st Quartile (Lowest 25%)",AG33="4th Quartile (Highest 25%)",K33&lt;=5),"Group 1 - Short",
AND(AE33="1st Quartile (Lowest 25%)",AG33="4th Quartile (Highest 25%)",K33&lt;10),"Group 1 - Medium",
AND(AE33="1st Quartile (Lowest 25%)",AG33="4th Quartile (Highest 25%)",TRUE),"Group 1 - Long",
AND(AE33="4th Quartile (Highest 25%)",AG33="1st Quartile (Lowest 25%)",K33&lt;=5),"Group 3 - Short",
AND(AE33="4th Quartile (Highest 25%)",AG33="1st Quartile (Lowest 25%)",K33&lt;10),"Group 3 - Medium",
AND(AE33="4th Quartile (Highest 25%)",AG33="1st Quartile (Lowest 25%)",TRUE),"Group 3 - Long",
AND(OR(AE33="1st Quartile (Lowest 25%)",AE33="2nd Quartile (25–50%)"),K33&lt;=5),"Group 2A - Short",
AND(OR(AE33="1st Quartile (Lowest 25%)",AE33="2nd Quartile (25–50%)"),K33&lt;10),"Group 2A - Medium",
AND(OR(AE33="1st Quartile (Lowest 25%)",AE33="2nd Quartile (25–50%)"),TRUE),"Group 2A - Long",
K33&lt;=5,"Group 2B - Short",
K33&lt;10,"Group 2B - Medium",
TRUE,"Group 2B - Long"
)</f>
        <v>Group 2B - Short</v>
      </c>
    </row>
    <row r="34" spans="1:40" ht="12.6" customHeight="1" x14ac:dyDescent="0.25">
      <c r="A34" t="s">
        <v>198</v>
      </c>
      <c r="B34" t="s">
        <v>199</v>
      </c>
      <c r="C34" s="17" t="s">
        <v>137</v>
      </c>
      <c r="G34" t="s">
        <v>200</v>
      </c>
      <c r="H34" s="46" t="e" vm="25">
        <v>#VALUE!</v>
      </c>
      <c r="I34">
        <v>2013</v>
      </c>
      <c r="J34">
        <v>2017</v>
      </c>
      <c r="K34">
        <f t="shared" si="0"/>
        <v>4</v>
      </c>
      <c r="L34" t="s">
        <v>679</v>
      </c>
      <c r="M34" t="s">
        <v>602</v>
      </c>
      <c r="N34" s="448">
        <v>13000000</v>
      </c>
      <c r="O34" s="448">
        <f>Table9[[#This Row],[Cost (USD)]]/Table9[[#This Row],[Programme Length]]</f>
        <v>3250000</v>
      </c>
      <c r="P34" s="46" t="str">
        <f t="array" ref="P34">IF(N34=0,"N/A",
_xlfn.IFS(
N34&lt;=$BC$6,"1st Quartile (Lowest 25%)",
N34&lt;=$BD$6,"2nd Quartile (25–50%)",
N34&lt;=$BE$6,"3rd Quartile (50–75%)",
TRUE,"4th Quartile (Highest 25%)"
))</f>
        <v>2nd Quartile (25–50%)</v>
      </c>
      <c r="Q34" s="130">
        <v>96.491061571125272</v>
      </c>
      <c r="R34" s="13">
        <f>IFERROR(Q34/AC34,"")</f>
        <v>4.0204608987968862E-2</v>
      </c>
      <c r="S34" s="13">
        <v>0.53168400000000005</v>
      </c>
      <c r="T34" s="13"/>
      <c r="U34" s="13"/>
      <c r="V34" s="130"/>
      <c r="W34" s="130"/>
      <c r="X34" s="130">
        <v>276.0084925690021</v>
      </c>
      <c r="Y34" s="130">
        <v>3623.0769230769229</v>
      </c>
      <c r="Z34" s="13">
        <v>0.34959453846153848</v>
      </c>
      <c r="AA34" s="63" t="s">
        <v>49</v>
      </c>
      <c r="AB34" s="17" t="s">
        <v>586</v>
      </c>
      <c r="AC34" s="448">
        <v>2400</v>
      </c>
      <c r="AD34" s="28">
        <f>'VfM MSD Mastersheet'!$O41</f>
        <v>-0.11831410974264159</v>
      </c>
      <c r="AE34" s="317" t="str">
        <f t="array" ref="AE34">_xlfn.IFS(
AD34&lt;=$BC$3,"1st Quartile (Lowest 25%)",
AD34&lt;=$BD$3,"2nd Quartile (25–50%)",
AD34&lt;=$BE$3,"3rd Quartile (50–75%)",
TRUE,"4th Quartile (Highest 25%)"
)</f>
        <v>4th Quartile (Highest 25%)</v>
      </c>
      <c r="AF34" s="13">
        <f>'VfM MSD Mastersheet'!$P41</f>
        <v>9.1920892921510209</v>
      </c>
      <c r="AG34" s="323" t="str">
        <f t="array" ref="AG34">_xlfn.IFS(
AF34&lt;=$BC$4,"1st Quartile (Lowest 25%)",
AF34&lt;=$BD$4,"2nd Quartile (25–50%)",
AF34&lt;=$BE$4,"3rd Quartile (50–75%)",
TRUE,"4th Quartile (Highest 25%)"
)</f>
        <v>4th Quartile (Highest 25%)</v>
      </c>
      <c r="AH34" s="46" t="s">
        <v>673</v>
      </c>
      <c r="AI34" s="193" t="str">
        <f t="array" ref="AI34">_xlfn.IFS(
AND(AE34="1st Quartile (Lowest 25%)",AG34="4th Quartile (Highest 25%)"),"Group 1",
AND(AE34="4th Quartile (Highest 25%)",AG34="1st Quartile (Lowest 25%)"),"Group 3",
OR(AE34="1st Quartile (Lowest 25%)",AE34="2nd Quartile (25–50%)"),"Group 2A (Low Stability)",
TRUE,"Group 2B (High Inflation)"
)</f>
        <v>Group 2B (High Inflation)</v>
      </c>
      <c r="AL34" t="str">
        <v>RRA</v>
      </c>
      <c r="AN34" t="str">
        <f t="array" ref="AN34">_xlfn.IFS(
AND(AE34="1st Quartile (Lowest 25%)",AG34="4th Quartile (Highest 25%)",K34&lt;=5),"Group 1 - Short",
AND(AE34="1st Quartile (Lowest 25%)",AG34="4th Quartile (Highest 25%)",K34&lt;10),"Group 1 - Medium",
AND(AE34="1st Quartile (Lowest 25%)",AG34="4th Quartile (Highest 25%)",TRUE),"Group 1 - Long",
AND(AE34="4th Quartile (Highest 25%)",AG34="1st Quartile (Lowest 25%)",K34&lt;=5),"Group 3 - Short",
AND(AE34="4th Quartile (Highest 25%)",AG34="1st Quartile (Lowest 25%)",K34&lt;10),"Group 3 - Medium",
AND(AE34="4th Quartile (Highest 25%)",AG34="1st Quartile (Lowest 25%)",TRUE),"Group 3 - Long",
AND(OR(AE34="1st Quartile (Lowest 25%)",AE34="2nd Quartile (25–50%)"),K34&lt;=5),"Group 2A - Short",
AND(OR(AE34="1st Quartile (Lowest 25%)",AE34="2nd Quartile (25–50%)"),K34&lt;10),"Group 2A - Medium",
AND(OR(AE34="1st Quartile (Lowest 25%)",AE34="2nd Quartile (25–50%)"),TRUE),"Group 2A - Long",
K34&lt;=5,"Group 2B - Short",
K34&lt;10,"Group 2B - Medium",
TRUE,"Group 2B - Long"
)</f>
        <v>Group 2B - Short</v>
      </c>
    </row>
    <row r="35" spans="1:40" ht="12.6" customHeight="1" x14ac:dyDescent="0.25">
      <c r="A35" t="s">
        <v>203</v>
      </c>
      <c r="B35" t="s">
        <v>204</v>
      </c>
      <c r="C35" s="17" t="s">
        <v>205</v>
      </c>
      <c r="G35" t="s">
        <v>38</v>
      </c>
      <c r="H35" s="46" t="e" vm="20">
        <v>#VALUE!</v>
      </c>
      <c r="I35">
        <v>2013</v>
      </c>
      <c r="J35">
        <v>2018</v>
      </c>
      <c r="K35">
        <f t="shared" si="0"/>
        <v>5</v>
      </c>
      <c r="L35" t="s">
        <v>39</v>
      </c>
      <c r="M35" t="s">
        <v>611</v>
      </c>
      <c r="N35" s="448">
        <v>13200000</v>
      </c>
      <c r="O35" s="448">
        <f>Table9[[#This Row],[Cost (USD)]]/Table9[[#This Row],[Programme Length]]</f>
        <v>2640000</v>
      </c>
      <c r="P35" s="46" t="str">
        <f t="array" ref="P35">IF(N35=0,"N/A",
_xlfn.IFS(
N35&lt;=$BC$6,"1st Quartile (Lowest 25%)",
N35&lt;=$BD$6,"2nd Quartile (25–50%)",
N35&lt;=$BE$6,"3rd Quartile (50–75%)",
TRUE,"4th Quartile (Highest 25%)"
))</f>
        <v>2nd Quartile (25–50%)</v>
      </c>
      <c r="Q35" s="130"/>
      <c r="R35" s="341"/>
      <c r="S35" s="13"/>
      <c r="T35" s="13"/>
      <c r="U35" s="13"/>
      <c r="V35" s="130">
        <v>4583.333333333333</v>
      </c>
      <c r="W35" s="130">
        <v>218.18181818181819</v>
      </c>
      <c r="X35" s="130">
        <v>4551.7241379310344</v>
      </c>
      <c r="Y35" s="130">
        <v>219.69696969696969</v>
      </c>
      <c r="Z35" s="13"/>
      <c r="AA35" s="63" t="s">
        <v>49</v>
      </c>
      <c r="AB35" s="17" t="s">
        <v>583</v>
      </c>
      <c r="AC35" s="448">
        <v>4300</v>
      </c>
      <c r="AD35" s="28">
        <f>'VfM MSD Mastersheet'!$O52</f>
        <v>-0.10658958554267906</v>
      </c>
      <c r="AE35" s="317" t="str">
        <f t="array" ref="AE35">_xlfn.IFS(
AD35&lt;=$BC$3,"1st Quartile (Lowest 25%)",
AD35&lt;=$BD$3,"2nd Quartile (25–50%)",
AD35&lt;=$BE$3,"3rd Quartile (50–75%)",
TRUE,"4th Quartile (Highest 25%)"
)</f>
        <v>4th Quartile (Highest 25%)</v>
      </c>
      <c r="AF35" s="13">
        <f>'VfM MSD Mastersheet'!$P52</f>
        <v>9.6746486128739697</v>
      </c>
      <c r="AG35" s="317" t="str">
        <f t="array" ref="AG35">_xlfn.IFS(
AF35&lt;=$BC$4,"1st Quartile (Lowest 25%)",
AF35&lt;=$BD$4,"2nd Quartile (25–50%)",
AF35&lt;=$BE$4,"3rd Quartile (50–75%)",
TRUE,"4th Quartile (Highest 25%)"
)</f>
        <v>4th Quartile (Highest 25%)</v>
      </c>
      <c r="AH35" s="46" t="s">
        <v>673</v>
      </c>
      <c r="AI35" s="193" t="str">
        <f t="array" ref="AI35">_xlfn.IFS(
AND(AE35="1st Quartile (Lowest 25%)",AG35="4th Quartile (Highest 25%)"),"Group 1",
AND(AE35="4th Quartile (Highest 25%)",AG35="1st Quartile (Lowest 25%)"),"Group 3",
OR(AE35="1st Quartile (Lowest 25%)",AE35="2nd Quartile (25–50%)"),"Group 2A (Low Stability)",
TRUE,"Group 2B (High Inflation)"
)</f>
        <v>Group 2B (High Inflation)</v>
      </c>
      <c r="AL35" t="str">
        <v>CTDP</v>
      </c>
      <c r="AN35" t="str">
        <f t="array" ref="AN35">_xlfn.IFS(
AND(AE35="1st Quartile (Lowest 25%)",AG35="4th Quartile (Highest 25%)",K35&lt;=5),"Group 1 - Short",
AND(AE35="1st Quartile (Lowest 25%)",AG35="4th Quartile (Highest 25%)",K35&lt;10),"Group 1 - Medium",
AND(AE35="1st Quartile (Lowest 25%)",AG35="4th Quartile (Highest 25%)",TRUE),"Group 1 - Long",
AND(AE35="4th Quartile (Highest 25%)",AG35="1st Quartile (Lowest 25%)",K35&lt;=5),"Group 3 - Short",
AND(AE35="4th Quartile (Highest 25%)",AG35="1st Quartile (Lowest 25%)",K35&lt;10),"Group 3 - Medium",
AND(AE35="4th Quartile (Highest 25%)",AG35="1st Quartile (Lowest 25%)",TRUE),"Group 3 - Long",
AND(OR(AE35="1st Quartile (Lowest 25%)",AE35="2nd Quartile (25–50%)"),K35&lt;=5),"Group 2A - Short",
AND(OR(AE35="1st Quartile (Lowest 25%)",AE35="2nd Quartile (25–50%)"),K35&lt;10),"Group 2A - Medium",
AND(OR(AE35="1st Quartile (Lowest 25%)",AE35="2nd Quartile (25–50%)"),TRUE),"Group 2A - Long",
K35&lt;=5,"Group 2B - Short",
K35&lt;10,"Group 2B - Medium",
TRUE,"Group 2B - Long"
)</f>
        <v>Group 2B - Short</v>
      </c>
    </row>
    <row r="36" spans="1:40" ht="14.45" customHeight="1" x14ac:dyDescent="0.25">
      <c r="A36" t="s">
        <v>207</v>
      </c>
      <c r="B36" t="s">
        <v>208</v>
      </c>
      <c r="C36" t="s">
        <v>104</v>
      </c>
      <c r="G36" t="s">
        <v>74</v>
      </c>
      <c r="H36" s="46" t="e" vm="11">
        <v>#VALUE!</v>
      </c>
      <c r="I36">
        <v>2017</v>
      </c>
      <c r="J36">
        <v>2025</v>
      </c>
      <c r="K36">
        <f t="shared" si="0"/>
        <v>8</v>
      </c>
      <c r="L36" t="s">
        <v>680</v>
      </c>
      <c r="M36" t="s">
        <v>611</v>
      </c>
      <c r="N36" s="448">
        <v>13440000</v>
      </c>
      <c r="O36" s="448">
        <f>Table9[[#This Row],[Cost (USD)]]/Table9[[#This Row],[Programme Length]]</f>
        <v>1680000</v>
      </c>
      <c r="P36" s="46" t="str">
        <f t="array" ref="P36">IF(N36=0,"N/A",
_xlfn.IFS(
N36&lt;=$BC$6,"1st Quartile (Lowest 25%)",
N36&lt;=$BD$6,"2nd Quartile (25–50%)",
N36&lt;=$BE$6,"3rd Quartile (50–75%)",
TRUE,"4th Quartile (Highest 25%)"
))</f>
        <v>2nd Quartile (25–50%)</v>
      </c>
      <c r="Q36" s="130">
        <v>1665.753424657534</v>
      </c>
      <c r="R36" s="13">
        <f>IFERROR(Q36/AC36,"")</f>
        <v>8.9556635734276024E-2</v>
      </c>
      <c r="S36" s="13">
        <v>0.79365079365079361</v>
      </c>
      <c r="T36" s="13"/>
      <c r="U36" s="13"/>
      <c r="V36" s="130">
        <v>5697.0610399397137</v>
      </c>
      <c r="W36" s="130">
        <v>197.4702380952381</v>
      </c>
      <c r="X36" s="130"/>
      <c r="Y36" s="130"/>
      <c r="Z36" s="13">
        <v>0.80423280423280419</v>
      </c>
      <c r="AA36" s="63" t="s">
        <v>49</v>
      </c>
      <c r="AB36" s="17" t="s">
        <v>589</v>
      </c>
      <c r="AC36" s="448">
        <v>18600</v>
      </c>
      <c r="AD36" s="28">
        <f>'VfM MSD Mastersheet'!$O53</f>
        <v>-2.3205353736877443</v>
      </c>
      <c r="AE36" s="317" t="str">
        <f t="array" ref="AE36">_xlfn.IFS(
AD36&lt;=$BC$3,"1st Quartile (Lowest 25%)",
AD36&lt;=$BD$3,"2nd Quartile (25–50%)",
AD36&lt;=$BE$3,"3rd Quartile (50–75%)",
TRUE,"4th Quartile (Highest 25%)"
)</f>
        <v>1st Quartile (Lowest 25%)</v>
      </c>
      <c r="AF36" s="13" t="str">
        <f>'VfM MSD Mastersheet'!$P53</f>
        <v>N/A</v>
      </c>
      <c r="AG36" s="317" t="str">
        <f t="array" ref="AG36">_xlfn.IFS(
AF36&lt;=$BC$4,"1st Quartile (Lowest 25%)",
AF36&lt;=$BD$4,"2nd Quartile (25–50%)",
AF36&lt;=$BE$4,"3rd Quartile (50–75%)",
TRUE,"4th Quartile (Highest 25%)"
)</f>
        <v>4th Quartile (Highest 25%)</v>
      </c>
      <c r="AH36" s="46" t="s">
        <v>673</v>
      </c>
      <c r="AI36" s="324"/>
      <c r="AL36" t="str">
        <v>BIF 2</v>
      </c>
      <c r="AN36" s="310"/>
    </row>
    <row r="37" spans="1:40" ht="14.45" customHeight="1" x14ac:dyDescent="0.25">
      <c r="A37" s="36" t="s">
        <v>303</v>
      </c>
      <c r="B37" s="36" t="s">
        <v>304</v>
      </c>
      <c r="C37" s="36" t="s">
        <v>45</v>
      </c>
      <c r="D37" s="36"/>
      <c r="E37" s="36"/>
      <c r="F37" s="36"/>
      <c r="G37" s="36" t="s">
        <v>38</v>
      </c>
      <c r="H37" s="352" t="e" vm="4">
        <v>#VALUE!</v>
      </c>
      <c r="I37" s="36">
        <v>2010</v>
      </c>
      <c r="J37" s="36">
        <v>2023</v>
      </c>
      <c r="K37" s="36">
        <f t="shared" si="0"/>
        <v>13</v>
      </c>
      <c r="L37" s="36" t="s">
        <v>129</v>
      </c>
      <c r="M37" s="36" t="s">
        <v>617</v>
      </c>
      <c r="N37" s="458">
        <v>13488969</v>
      </c>
      <c r="O37" s="458">
        <f>Table9[[#This Row],[Cost (USD)]]/Table9[[#This Row],[Programme Length]]</f>
        <v>1037613</v>
      </c>
      <c r="P37" s="352" t="str">
        <f t="array" ref="P37">IF(N37=0,"N/A",
_xlfn.IFS(
N37&lt;=$BC$6,"1st Quartile (Lowest 25%)",
N37&lt;=$BD$6,"2nd Quartile (25–50%)",
N37&lt;=$BE$6,"3rd Quartile (50–75%)",
TRUE,"4th Quartile (Highest 25%)"
))</f>
        <v>2nd Quartile (25–50%)</v>
      </c>
      <c r="Q37" s="149">
        <v>1641.348092096581</v>
      </c>
      <c r="R37" s="149">
        <f>IFERROR(Q37/AC37,"")</f>
        <v>0.10942320613977206</v>
      </c>
      <c r="S37" s="149"/>
      <c r="T37" s="149"/>
      <c r="U37" s="149"/>
      <c r="V37" s="199">
        <v>178661.84105960271</v>
      </c>
      <c r="W37" s="199">
        <v>5.597166099202985</v>
      </c>
      <c r="X37" s="199">
        <v>836.4214671048552</v>
      </c>
      <c r="Y37" s="199">
        <v>1195.569505719822</v>
      </c>
      <c r="Z37" s="149">
        <v>1.962345727182083</v>
      </c>
      <c r="AA37" s="65" t="s">
        <v>42</v>
      </c>
      <c r="AB37" s="35" t="s">
        <v>583</v>
      </c>
      <c r="AC37" s="458">
        <v>15000</v>
      </c>
      <c r="AD37" s="149">
        <f>'VfM MSD Mastersheet'!$O98</f>
        <v>-0.4908346295356748</v>
      </c>
      <c r="AE37" s="460" t="str">
        <f t="array" ref="AE37">_xlfn.IFS(
AD37&lt;=$BC$3,"1st Quartile (Lowest 25%)",
AD37&lt;=$BD$3,"2nd Quartile (25–50%)",
AD37&lt;=$BE$3,"3rd Quartile (50–75%)",
TRUE,"4th Quartile (Highest 25%)"
)</f>
        <v>3rd Quartile (50–75%)</v>
      </c>
      <c r="AF37" s="149">
        <f>'VfM MSD Mastersheet'!$P98</f>
        <v>2.8778699795406659</v>
      </c>
      <c r="AG37" s="460" t="str">
        <f t="array" ref="AG37">_xlfn.IFS(
AF37&lt;=$BC$4,"1st Quartile (Lowest 25%)",
AF37&lt;=$BD$4,"2nd Quartile (25–50%)",
AF37&lt;=$BE$4,"3rd Quartile (50–75%)",
TRUE,"4th Quartile (Highest 25%)"
)</f>
        <v>1st Quartile (Lowest 25%)</v>
      </c>
      <c r="AH37" s="352" t="s">
        <v>673</v>
      </c>
      <c r="AI37" s="193" t="str">
        <f t="array" ref="AI37">_xlfn.IFS(
AND(AE37="1st Quartile (Lowest 25%)",AG37="4th Quartile (Highest 25%)"),"Group 1",
AND(AE37="4th Quartile (Highest 25%)",AG37="1st Quartile (Lowest 25%)"),"Group 3",
OR(AE37="1st Quartile (Lowest 25%)",AE37="2nd Quartile (25–50%)"),"Group 2A (Low Stability)",
TRUE,"Group 2B (High Inflation)"
)</f>
        <v>Group 2B (High Inflation)</v>
      </c>
      <c r="AL37" t="str">
        <v>AIP-Rural</v>
      </c>
      <c r="AN37" t="str">
        <f t="array" ref="AN37">_xlfn.IFS(
AND(AE37="1st Quartile (Lowest 25%)",AG37="4th Quartile (Highest 25%)",K37&lt;=5),"Group 1 - Short",
AND(AE37="1st Quartile (Lowest 25%)",AG37="4th Quartile (Highest 25%)",K37&lt;10),"Group 1 - Medium",
AND(AE37="1st Quartile (Lowest 25%)",AG37="4th Quartile (Highest 25%)",TRUE),"Group 1 - Long",
AND(AE37="4th Quartile (Highest 25%)",AG37="1st Quartile (Lowest 25%)",K37&lt;=5),"Group 3 - Short",
AND(AE37="4th Quartile (Highest 25%)",AG37="1st Quartile (Lowest 25%)",K37&lt;10),"Group 3 - Medium",
AND(AE37="4th Quartile (Highest 25%)",AG37="1st Quartile (Lowest 25%)",TRUE),"Group 3 - Long",
AND(OR(AE37="1st Quartile (Lowest 25%)",AE37="2nd Quartile (25–50%)"),K37&lt;=5),"Group 2A - Short",
AND(OR(AE37="1st Quartile (Lowest 25%)",AE37="2nd Quartile (25–50%)"),K37&lt;10),"Group 2A - Medium",
AND(OR(AE37="1st Quartile (Lowest 25%)",AE37="2nd Quartile (25–50%)"),TRUE),"Group 2A - Long",
K37&lt;=5,"Group 2B - Short",
K37&lt;10,"Group 2B - Medium",
TRUE,"Group 2B - Long"
)</f>
        <v>Group 2B - Long</v>
      </c>
    </row>
    <row r="38" spans="1:40" ht="14.45" customHeight="1" x14ac:dyDescent="0.25">
      <c r="A38" t="s">
        <v>211</v>
      </c>
      <c r="B38" t="s">
        <v>212</v>
      </c>
      <c r="C38" s="17" t="s">
        <v>171</v>
      </c>
      <c r="G38" t="s">
        <v>213</v>
      </c>
      <c r="H38" s="46" t="e" vm="17">
        <v>#VALUE!</v>
      </c>
      <c r="I38">
        <v>2019</v>
      </c>
      <c r="J38">
        <v>2025</v>
      </c>
      <c r="K38">
        <f>J38-I38-1</f>
        <v>5</v>
      </c>
      <c r="L38" t="s">
        <v>39</v>
      </c>
      <c r="M38" t="s">
        <v>617</v>
      </c>
      <c r="N38" s="448">
        <v>13800000</v>
      </c>
      <c r="O38" s="448">
        <f>Table9[[#This Row],[Cost (USD)]]/Table9[[#This Row],[Programme Length]]</f>
        <v>2760000</v>
      </c>
      <c r="P38" s="46" t="str">
        <f t="array" ref="P38">IF(N38=0,"N/A",
_xlfn.IFS(
N38&lt;=$BC$6,"1st Quartile (Lowest 25%)",
N38&lt;=$BD$6,"2nd Quartile (25–50%)",
N38&lt;=$BE$6,"3rd Quartile (50–75%)",
TRUE,"4th Quartile (Highest 25%)"
))</f>
        <v>2nd Quartile (25–50%)</v>
      </c>
      <c r="Q38" s="13"/>
      <c r="R38" s="13"/>
      <c r="S38" s="13">
        <v>0.38952297101449268</v>
      </c>
      <c r="T38" s="13">
        <v>6.1201095652173914</v>
      </c>
      <c r="U38" s="13"/>
      <c r="V38" s="130"/>
      <c r="W38" s="130"/>
      <c r="X38" s="130">
        <v>374.8675739548529</v>
      </c>
      <c r="Y38" s="130">
        <v>2667.608695652174</v>
      </c>
      <c r="Z38" s="13"/>
      <c r="AA38" s="63" t="s">
        <v>49</v>
      </c>
      <c r="AB38" s="17" t="s">
        <v>586</v>
      </c>
      <c r="AC38" s="448">
        <v>3500</v>
      </c>
      <c r="AD38" s="28">
        <f>'VfM MSD Mastersheet'!$O80</f>
        <v>-0.10832274612039319</v>
      </c>
      <c r="AE38" s="317" t="str">
        <f t="array" ref="AE38">_xlfn.IFS(
AD38&lt;=$BC$3,"1st Quartile (Lowest 25%)",
AD38&lt;=$BD$3,"2nd Quartile (25–50%)",
AD38&lt;=$BE$3,"3rd Quartile (50–75%)",
TRUE,"4th Quartile (Highest 25%)"
)</f>
        <v>4th Quartile (Highest 25%)</v>
      </c>
      <c r="AF38" s="13">
        <f>'VfM MSD Mastersheet'!$P80</f>
        <v>30.737062950111994</v>
      </c>
      <c r="AG38" s="318" t="str">
        <f t="array" ref="AG38">_xlfn.IFS(
AF38&lt;=$BC$4,"1st Quartile (Lowest 25%)",
AF38&lt;=$BD$4,"2nd Quartile (25–50%)",
AF38&lt;=$BE$4,"3rd Quartile (50–75%)",
TRUE,"4th Quartile (Highest 25%)"
)</f>
        <v>4th Quartile (Highest 25%)</v>
      </c>
      <c r="AH38" s="46" t="s">
        <v>673</v>
      </c>
      <c r="AI38" s="193" t="str">
        <f t="array" ref="AI38">_xlfn.IFS(
AND(AE38="1st Quartile (Lowest 25%)",AG38="4th Quartile (Highest 25%)"),"Group 1",
AND(AE38="4th Quartile (Highest 25%)",AG38="1st Quartile (Lowest 25%)"),"Group 3",
OR(AE38="1st Quartile (Lowest 25%)",AE38="2nd Quartile (25–50%)"),"Group 2A (Low Stability)",
TRUE,"Group 2B (High Inflation)"
)</f>
        <v>Group 2B (High Inflation)</v>
      </c>
      <c r="AN38" t="str">
        <f t="array" ref="AN38">_xlfn.IFS(
AND(AE38="1st Quartile (Lowest 25%)",AG38="4th Quartile (Highest 25%)",K38&lt;=5),"Group 1 - Short",
AND(AE38="1st Quartile (Lowest 25%)",AG38="4th Quartile (Highest 25%)",K38&lt;10),"Group 1 - Medium",
AND(AE38="1st Quartile (Lowest 25%)",AG38="4th Quartile (Highest 25%)",TRUE),"Group 1 - Long",
AND(AE38="4th Quartile (Highest 25%)",AG38="1st Quartile (Lowest 25%)",K38&lt;=5),"Group 3 - Short",
AND(AE38="4th Quartile (Highest 25%)",AG38="1st Quartile (Lowest 25%)",K38&lt;10),"Group 3 - Medium",
AND(AE38="4th Quartile (Highest 25%)",AG38="1st Quartile (Lowest 25%)",TRUE),"Group 3 - Long",
AND(OR(AE38="1st Quartile (Lowest 25%)",AE38="2nd Quartile (25–50%)"),K38&lt;=5),"Group 2A - Short",
AND(OR(AE38="1st Quartile (Lowest 25%)",AE38="2nd Quartile (25–50%)"),K38&lt;10),"Group 2A - Medium",
AND(OR(AE38="1st Quartile (Lowest 25%)",AE38="2nd Quartile (25–50%)"),TRUE),"Group 2A - Long",
K38&lt;=5,"Group 2B - Short",
K38&lt;10,"Group 2B - Medium",
TRUE,"Group 2B - Long"
)</f>
        <v>Group 2B - Short</v>
      </c>
    </row>
    <row r="39" spans="1:40" ht="14.45" customHeight="1" x14ac:dyDescent="0.25">
      <c r="A39" t="s">
        <v>215</v>
      </c>
      <c r="B39" t="s">
        <v>216</v>
      </c>
      <c r="C39" s="17" t="s">
        <v>216</v>
      </c>
      <c r="G39" t="s">
        <v>217</v>
      </c>
      <c r="H39" s="46" t="e" vm="26">
        <v>#VALUE!</v>
      </c>
      <c r="I39">
        <v>2015</v>
      </c>
      <c r="J39">
        <v>2022</v>
      </c>
      <c r="K39">
        <f t="shared" ref="K39:K72" si="1">J39-I39</f>
        <v>7</v>
      </c>
      <c r="L39" t="s">
        <v>39</v>
      </c>
      <c r="M39" t="s">
        <v>602</v>
      </c>
      <c r="N39" s="448">
        <v>13950200</v>
      </c>
      <c r="O39" s="448">
        <f>Table9[[#This Row],[Cost (USD)]]/Table9[[#This Row],[Programme Length]]</f>
        <v>1992885.7142857143</v>
      </c>
      <c r="P39" s="46" t="str">
        <f t="array" ref="P39">IF(N39=0,"N/A",
_xlfn.IFS(
N39&lt;=$BC$6,"1st Quartile (Lowest 25%)",
N39&lt;=$BD$6,"2nd Quartile (25–50%)",
N39&lt;=$BE$6,"3rd Quartile (50–75%)",
TRUE,"4th Quartile (Highest 25%)"
))</f>
        <v>2nd Quartile (25–50%)</v>
      </c>
      <c r="Q39" s="130"/>
      <c r="R39" s="13"/>
      <c r="S39" s="13"/>
      <c r="T39" s="13"/>
      <c r="U39" s="13"/>
      <c r="V39" s="130"/>
      <c r="W39" s="130"/>
      <c r="X39" s="130">
        <v>493.11417462000708</v>
      </c>
      <c r="Y39" s="130">
        <v>2027.927915011971</v>
      </c>
      <c r="Z39" s="13"/>
      <c r="AA39" s="63" t="s">
        <v>49</v>
      </c>
      <c r="AB39" s="17" t="s">
        <v>583</v>
      </c>
      <c r="AC39" s="448">
        <v>7800</v>
      </c>
      <c r="AD39" s="28">
        <f>'VfM MSD Mastersheet'!$O42</f>
        <v>0.18240995580951372</v>
      </c>
      <c r="AE39" s="318" t="str">
        <f t="array" ref="AE39">_xlfn.IFS(
AD39&lt;=$BC$3,"1st Quartile (Lowest 25%)",
AD39&lt;=$BD$3,"2nd Quartile (25–50%)",
AD39&lt;=$BE$3,"3rd Quartile (50–75%)",
TRUE,"4th Quartile (Highest 25%)"
)</f>
        <v>4th Quartile (Highest 25%)</v>
      </c>
      <c r="AF39" s="13">
        <f>'VfM MSD Mastersheet'!$P42</f>
        <v>9.4727930050660962</v>
      </c>
      <c r="AG39" s="323" t="str">
        <f t="array" ref="AG39">_xlfn.IFS(
AF39&lt;=$BC$4,"1st Quartile (Lowest 25%)",
AF39&lt;=$BD$4,"2nd Quartile (25–50%)",
AF39&lt;=$BE$4,"3rd Quartile (50–75%)",
TRUE,"4th Quartile (Highest 25%)"
)</f>
        <v>4th Quartile (Highest 25%)</v>
      </c>
      <c r="AH39" s="46" t="s">
        <v>674</v>
      </c>
      <c r="AI39" s="193" t="str">
        <f t="array" ref="AI39">_xlfn.IFS(
AND(AE39="1st Quartile (Lowest 25%)",AG39="4th Quartile (Highest 25%)"),"Group 1",
AND(AE39="4th Quartile (Highest 25%)",AG39="1st Quartile (Lowest 25%)"),"Group 3",
OR(AE39="1st Quartile (Lowest 25%)",AE39="2nd Quartile (25–50%)"),"Group 2A (Low Stability)",
TRUE,"Group 2B (High Inflation)"
)</f>
        <v>Group 2B (High Inflation)</v>
      </c>
      <c r="AN39" t="str">
        <f t="array" ref="AN39">_xlfn.IFS(
AND(AE39="1st Quartile (Lowest 25%)",AG39="4th Quartile (Highest 25%)",K39&lt;=5),"Group 1 - Short",
AND(AE39="1st Quartile (Lowest 25%)",AG39="4th Quartile (Highest 25%)",K39&lt;10),"Group 1 - Medium",
AND(AE39="1st Quartile (Lowest 25%)",AG39="4th Quartile (Highest 25%)",TRUE),"Group 1 - Long",
AND(AE39="4th Quartile (Highest 25%)",AG39="1st Quartile (Lowest 25%)",K39&lt;=5),"Group 3 - Short",
AND(AE39="4th Quartile (Highest 25%)",AG39="1st Quartile (Lowest 25%)",K39&lt;10),"Group 3 - Medium",
AND(AE39="4th Quartile (Highest 25%)",AG39="1st Quartile (Lowest 25%)",TRUE),"Group 3 - Long",
AND(OR(AE39="1st Quartile (Lowest 25%)",AE39="2nd Quartile (25–50%)"),K39&lt;=5),"Group 2A - Short",
AND(OR(AE39="1st Quartile (Lowest 25%)",AE39="2nd Quartile (25–50%)"),K39&lt;10),"Group 2A - Medium",
AND(OR(AE39="1st Quartile (Lowest 25%)",AE39="2nd Quartile (25–50%)"),TRUE),"Group 2A - Long",
K39&lt;=5,"Group 2B - Short",
K39&lt;10,"Group 2B - Medium",
TRUE,"Group 2B - Long"
)</f>
        <v>Group 2B - Medium</v>
      </c>
    </row>
    <row r="40" spans="1:40" ht="14.45" customHeight="1" x14ac:dyDescent="0.25">
      <c r="A40" t="s">
        <v>219</v>
      </c>
      <c r="B40" t="s">
        <v>220</v>
      </c>
      <c r="C40" t="s">
        <v>80</v>
      </c>
      <c r="G40" t="s">
        <v>221</v>
      </c>
      <c r="H40" s="46" t="s">
        <v>222</v>
      </c>
      <c r="I40">
        <v>2018</v>
      </c>
      <c r="J40">
        <v>2023</v>
      </c>
      <c r="K40">
        <f t="shared" si="1"/>
        <v>5</v>
      </c>
      <c r="L40" t="s">
        <v>39</v>
      </c>
      <c r="M40" t="s">
        <v>602</v>
      </c>
      <c r="N40" s="448">
        <v>14446076.628</v>
      </c>
      <c r="O40" s="448">
        <f>Table9[[#This Row],[Cost (USD)]]/Table9[[#This Row],[Programme Length]]</f>
        <v>2889215.3256000001</v>
      </c>
      <c r="P40" s="46" t="str">
        <f t="array" ref="P40">IF(N40=0,"N/A",
_xlfn.IFS(
N40&lt;=$BC$6,"1st Quartile (Lowest 25%)",
N40&lt;=$BD$6,"2nd Quartile (25–50%)",
N40&lt;=$BE$6,"3rd Quartile (50–75%)",
TRUE,"4th Quartile (Highest 25%)"
))</f>
        <v>2nd Quartile (25–50%)</v>
      </c>
      <c r="Q40" s="13"/>
      <c r="R40" s="13"/>
      <c r="S40" s="13">
        <v>5.8501527145575098E-2</v>
      </c>
      <c r="T40" s="13"/>
      <c r="U40" s="13"/>
      <c r="V40" s="130"/>
      <c r="W40" s="130"/>
      <c r="X40" s="130">
        <v>400.34576621217161</v>
      </c>
      <c r="Y40" s="130">
        <v>2497.840827596086</v>
      </c>
      <c r="Z40" s="13"/>
      <c r="AA40" s="63" t="s">
        <v>49</v>
      </c>
      <c r="AB40" t="s">
        <v>597</v>
      </c>
      <c r="AC40" s="448">
        <v>12000</v>
      </c>
      <c r="AD40" s="28">
        <f>'VfM MSD Mastersheet'!$O94</f>
        <v>0.15647264332933866</v>
      </c>
      <c r="AE40" s="318" t="str">
        <f t="array" ref="AE40">_xlfn.IFS(
AD40&lt;=$BC$3,"1st Quartile (Lowest 25%)",
AD40&lt;=$BD$3,"2nd Quartile (25–50%)",
AD40&lt;=$BE$3,"3rd Quartile (50–75%)",
TRUE,"4th Quartile (Highest 25%)"
)</f>
        <v>4th Quartile (Highest 25%)</v>
      </c>
      <c r="AF40" s="13">
        <f>'VfM MSD Mastersheet'!$P94</f>
        <v>11.028182381705879</v>
      </c>
      <c r="AG40" s="318" t="str">
        <f t="array" ref="AG40">_xlfn.IFS(
AF40&lt;=$BC$4,"1st Quartile (Lowest 25%)",
AF40&lt;=$BD$4,"2nd Quartile (25–50%)",
AF40&lt;=$BE$4,"3rd Quartile (50–75%)",
TRUE,"4th Quartile (Highest 25%)"
)</f>
        <v>4th Quartile (Highest 25%)</v>
      </c>
      <c r="AH40" s="46" t="s">
        <v>674</v>
      </c>
      <c r="AI40" s="193" t="str">
        <f t="array" ref="AI40">_xlfn.IFS(
AND(AE40="1st Quartile (Lowest 25%)",AG40="4th Quartile (Highest 25%)"),"Group 1",
AND(AE40="4th Quartile (Highest 25%)",AG40="1st Quartile (Lowest 25%)"),"Group 3",
OR(AE40="1st Quartile (Lowest 25%)",AE40="2nd Quartile (25–50%)"),"Group 2A (Low Stability)",
TRUE,"Group 2B (High Inflation)"
)</f>
        <v>Group 2B (High Inflation)</v>
      </c>
      <c r="AN40" t="str">
        <f t="array" ref="AN40">_xlfn.IFS(
AND(AE40="1st Quartile (Lowest 25%)",AG40="4th Quartile (Highest 25%)",K40&lt;=5),"Group 1 - Short",
AND(AE40="1st Quartile (Lowest 25%)",AG40="4th Quartile (Highest 25%)",K40&lt;10),"Group 1 - Medium",
AND(AE40="1st Quartile (Lowest 25%)",AG40="4th Quartile (Highest 25%)",TRUE),"Group 1 - Long",
AND(AE40="4th Quartile (Highest 25%)",AG40="1st Quartile (Lowest 25%)",K40&lt;=5),"Group 3 - Short",
AND(AE40="4th Quartile (Highest 25%)",AG40="1st Quartile (Lowest 25%)",K40&lt;10),"Group 3 - Medium",
AND(AE40="4th Quartile (Highest 25%)",AG40="1st Quartile (Lowest 25%)",TRUE),"Group 3 - Long",
AND(OR(AE40="1st Quartile (Lowest 25%)",AE40="2nd Quartile (25–50%)"),K40&lt;=5),"Group 2A - Short",
AND(OR(AE40="1st Quartile (Lowest 25%)",AE40="2nd Quartile (25–50%)"),K40&lt;10),"Group 2A - Medium",
AND(OR(AE40="1st Quartile (Lowest 25%)",AE40="2nd Quartile (25–50%)"),TRUE),"Group 2A - Long",
K40&lt;=5,"Group 2B - Short",
K40&lt;10,"Group 2B - Medium",
TRUE,"Group 2B - Long"
)</f>
        <v>Group 2B - Short</v>
      </c>
    </row>
    <row r="41" spans="1:40" ht="14.45" customHeight="1" x14ac:dyDescent="0.25">
      <c r="A41" t="s">
        <v>223</v>
      </c>
      <c r="B41" t="s">
        <v>224</v>
      </c>
      <c r="C41" t="s">
        <v>104</v>
      </c>
      <c r="G41" t="s">
        <v>225</v>
      </c>
      <c r="H41" s="46" t="e" vm="27">
        <v>#VALUE!</v>
      </c>
      <c r="I41">
        <v>2012</v>
      </c>
      <c r="J41">
        <v>2023</v>
      </c>
      <c r="K41">
        <f t="shared" si="1"/>
        <v>11</v>
      </c>
      <c r="L41" t="s">
        <v>681</v>
      </c>
      <c r="M41" s="17" t="s">
        <v>594</v>
      </c>
      <c r="N41" s="448">
        <v>14520000</v>
      </c>
      <c r="O41" s="448">
        <f>Table9[[#This Row],[Cost (USD)]]/Table9[[#This Row],[Programme Length]]</f>
        <v>1320000</v>
      </c>
      <c r="P41" s="354" t="str">
        <f t="array" ref="P41">IF(N41=0,"N/A",
_xlfn.IFS(
N41&lt;=$BC$6,"1st Quartile (Lowest 25%)",
N41&lt;=$BD$6,"2nd Quartile (25–50%)",
N41&lt;=$BE$6,"3rd Quartile (50–75%)",
TRUE,"4th Quartile (Highest 25%)"
))</f>
        <v>2nd Quartile (25–50%)</v>
      </c>
      <c r="Q41" s="32"/>
      <c r="R41" s="28"/>
      <c r="S41" s="28">
        <v>1.198347107438017</v>
      </c>
      <c r="T41" s="28"/>
      <c r="U41" s="28"/>
      <c r="V41" s="32">
        <v>2963.2653061224491</v>
      </c>
      <c r="W41" s="32">
        <v>337.46556473829202</v>
      </c>
      <c r="X41" s="32"/>
      <c r="Y41" s="32"/>
      <c r="Z41" s="28"/>
      <c r="AA41" s="63" t="s">
        <v>49</v>
      </c>
      <c r="AB41" s="17" t="s">
        <v>589</v>
      </c>
      <c r="AC41" s="448">
        <v>22000</v>
      </c>
      <c r="AD41" s="28">
        <f>'VfM MSD Mastersheet'!$O54</f>
        <v>-1.747615831238883</v>
      </c>
      <c r="AE41" s="317" t="str">
        <f t="array" ref="AE41">_xlfn.IFS(
AD41&lt;=$BC$3,"1st Quartile (Lowest 25%)",
AD41&lt;=$BD$3,"2nd Quartile (25–50%)",
AD41&lt;=$BE$3,"3rd Quartile (50–75%)",
TRUE,"4th Quartile (Highest 25%)"
)</f>
        <v>1st Quartile (Lowest 25%)</v>
      </c>
      <c r="AF41" s="13">
        <f>'VfM MSD Mastersheet'!$P54</f>
        <v>21.584013181511438</v>
      </c>
      <c r="AG41" s="317" t="str">
        <f t="array" ref="AG41">_xlfn.IFS(
AF41&lt;=$BC$4,"1st Quartile (Lowest 25%)",
AF41&lt;=$BD$4,"2nd Quartile (25–50%)",
AF41&lt;=$BE$4,"3rd Quartile (50–75%)",
TRUE,"4th Quartile (Highest 25%)"
)</f>
        <v>4th Quartile (Highest 25%)</v>
      </c>
      <c r="AH41" s="46" t="s">
        <v>673</v>
      </c>
      <c r="AI41" s="193" t="str">
        <f t="array" ref="AI41">_xlfn.IFS(
AND(AE41="1st Quartile (Lowest 25%)",AG41="4th Quartile (Highest 25%)"),"Group 1",
AND(AE41="4th Quartile (Highest 25%)",AG41="1st Quartile (Lowest 25%)"),"Group 3",
OR(AE41="1st Quartile (Lowest 25%)",AE41="2nd Quartile (25–50%)"),"Group 2A (Low Stability)",
TRUE,"Group 2B (High Inflation)"
)</f>
        <v>Group 1</v>
      </c>
      <c r="AN41" t="str">
        <f t="array" ref="AN41">_xlfn.IFS(
AND(AE41="1st Quartile (Lowest 25%)",AG41="4th Quartile (Highest 25%)",K41&lt;=5),"Group 1 - Short",
AND(AE41="1st Quartile (Lowest 25%)",AG41="4th Quartile (Highest 25%)",K41&lt;10),"Group 1 - Medium",
AND(AE41="1st Quartile (Lowest 25%)",AG41="4th Quartile (Highest 25%)",TRUE),"Group 1 - Long",
AND(AE41="4th Quartile (Highest 25%)",AG41="1st Quartile (Lowest 25%)",K41&lt;=5),"Group 3 - Short",
AND(AE41="4th Quartile (Highest 25%)",AG41="1st Quartile (Lowest 25%)",K41&lt;10),"Group 3 - Medium",
AND(AE41="4th Quartile (Highest 25%)",AG41="1st Quartile (Lowest 25%)",TRUE),"Group 3 - Long",
AND(OR(AE41="1st Quartile (Lowest 25%)",AE41="2nd Quartile (25–50%)"),K41&lt;=5),"Group 2A - Short",
AND(OR(AE41="1st Quartile (Lowest 25%)",AE41="2nd Quartile (25–50%)"),K41&lt;10),"Group 2A - Medium",
AND(OR(AE41="1st Quartile (Lowest 25%)",AE41="2nd Quartile (25–50%)"),TRUE),"Group 2A - Long",
K41&lt;=5,"Group 2B - Short",
K41&lt;10,"Group 2B - Medium",
TRUE,"Group 2B - Long"
)</f>
        <v>Group 1 - Long</v>
      </c>
    </row>
    <row r="42" spans="1:40" ht="14.45" customHeight="1" x14ac:dyDescent="0.25">
      <c r="A42" t="s">
        <v>228</v>
      </c>
      <c r="B42" t="s">
        <v>229</v>
      </c>
      <c r="C42" s="17" t="s">
        <v>171</v>
      </c>
      <c r="D42" s="251"/>
      <c r="E42" s="251"/>
      <c r="F42" s="251"/>
      <c r="G42" t="s">
        <v>230</v>
      </c>
      <c r="H42" s="46" t="e" vm="17">
        <v>#VALUE!</v>
      </c>
      <c r="I42">
        <v>2018</v>
      </c>
      <c r="J42">
        <v>2023</v>
      </c>
      <c r="K42">
        <f t="shared" si="1"/>
        <v>5</v>
      </c>
      <c r="L42" t="s">
        <v>39</v>
      </c>
      <c r="M42" t="s">
        <v>617</v>
      </c>
      <c r="N42" s="448">
        <v>14546221</v>
      </c>
      <c r="O42" s="448">
        <f>Table9[[#This Row],[Cost (USD)]]/Table9[[#This Row],[Programme Length]]</f>
        <v>2909244.2</v>
      </c>
      <c r="P42" s="46" t="str">
        <f t="array" ref="P42">IF(N42=0,"N/A",
_xlfn.IFS(
N42&lt;=$BC$6,"1st Quartile (Lowest 25%)",
N42&lt;=$BD$6,"2nd Quartile (25–50%)",
N42&lt;=$BE$6,"3rd Quartile (50–75%)",
TRUE,"4th Quartile (Highest 25%)"
))</f>
        <v>2nd Quartile (25–50%)</v>
      </c>
      <c r="Q42" s="13"/>
      <c r="R42" s="13"/>
      <c r="S42" s="13">
        <v>2.3868531215083291</v>
      </c>
      <c r="T42" s="13">
        <v>1.91583937848875</v>
      </c>
      <c r="U42" s="13"/>
      <c r="V42" s="130">
        <v>350.32563460334279</v>
      </c>
      <c r="W42" s="130">
        <v>2854.487086371093</v>
      </c>
      <c r="X42" s="130"/>
      <c r="Y42" s="130"/>
      <c r="Z42" s="13"/>
      <c r="AA42" s="63" t="s">
        <v>49</v>
      </c>
      <c r="AB42" s="17" t="s">
        <v>586</v>
      </c>
      <c r="AC42" s="448">
        <v>3500</v>
      </c>
      <c r="AD42" s="28">
        <f>'VfM MSD Mastersheet'!$O75</f>
        <v>-0.49853437142640661</v>
      </c>
      <c r="AE42" s="317" t="str">
        <f t="array" ref="AE42">_xlfn.IFS(
AD42&lt;=$BC$3,"1st Quartile (Lowest 25%)",
AD42&lt;=$BD$3,"2nd Quartile (25–50%)",
AD42&lt;=$BE$3,"3rd Quartile (50–75%)",
TRUE,"4th Quartile (Highest 25%)"
)</f>
        <v>3rd Quartile (50–75%)</v>
      </c>
      <c r="AF42" s="13">
        <f>'VfM MSD Mastersheet'!$P75</f>
        <v>5.2221269838014495</v>
      </c>
      <c r="AG42" s="318" t="str">
        <f t="array" ref="AG42">_xlfn.IFS(
AF42&lt;=$BC$4,"1st Quartile (Lowest 25%)",
AF42&lt;=$BD$4,"2nd Quartile (25–50%)",
AF42&lt;=$BE$4,"3rd Quartile (50–75%)",
TRUE,"4th Quartile (Highest 25%)"
)</f>
        <v>2nd Quartile (25–50%)</v>
      </c>
      <c r="AH42" s="46" t="s">
        <v>673</v>
      </c>
      <c r="AI42" s="193" t="str">
        <f t="array" ref="AI42">_xlfn.IFS(
AND(AE42="1st Quartile (Lowest 25%)",AG42="4th Quartile (Highest 25%)"),"Group 1",
AND(AE42="4th Quartile (Highest 25%)",AG42="1st Quartile (Lowest 25%)"),"Group 3",
OR(AE42="1st Quartile (Lowest 25%)",AE42="2nd Quartile (25–50%)"),"Group 2A (Low Stability)",
TRUE,"Group 2B (High Inflation)"
)</f>
        <v>Group 2B (High Inflation)</v>
      </c>
      <c r="AN42" t="str">
        <f t="array" ref="AN42">_xlfn.IFS(
AND(AE42="1st Quartile (Lowest 25%)",AG42="4th Quartile (Highest 25%)",K42&lt;=5),"Group 1 - Short",
AND(AE42="1st Quartile (Lowest 25%)",AG42="4th Quartile (Highest 25%)",K42&lt;10),"Group 1 - Medium",
AND(AE42="1st Quartile (Lowest 25%)",AG42="4th Quartile (Highest 25%)",TRUE),"Group 1 - Long",
AND(AE42="4th Quartile (Highest 25%)",AG42="1st Quartile (Lowest 25%)",K42&lt;=5),"Group 3 - Short",
AND(AE42="4th Quartile (Highest 25%)",AG42="1st Quartile (Lowest 25%)",K42&lt;10),"Group 3 - Medium",
AND(AE42="4th Quartile (Highest 25%)",AG42="1st Quartile (Lowest 25%)",TRUE),"Group 3 - Long",
AND(OR(AE42="1st Quartile (Lowest 25%)",AE42="2nd Quartile (25–50%)"),K42&lt;=5),"Group 2A - Short",
AND(OR(AE42="1st Quartile (Lowest 25%)",AE42="2nd Quartile (25–50%)"),K42&lt;10),"Group 2A - Medium",
AND(OR(AE42="1st Quartile (Lowest 25%)",AE42="2nd Quartile (25–50%)"),TRUE),"Group 2A - Long",
K42&lt;=5,"Group 2B - Short",
K42&lt;10,"Group 2B - Medium",
TRUE,"Group 2B - Long"
)</f>
        <v>Group 2B - Short</v>
      </c>
    </row>
    <row r="43" spans="1:40" ht="14.45" customHeight="1" x14ac:dyDescent="0.25">
      <c r="A43" s="17" t="s">
        <v>232</v>
      </c>
      <c r="B43" s="17" t="s">
        <v>233</v>
      </c>
      <c r="C43" t="s">
        <v>234</v>
      </c>
      <c r="G43" s="17" t="s">
        <v>235</v>
      </c>
      <c r="H43" s="354" t="s">
        <v>236</v>
      </c>
      <c r="I43" s="17">
        <v>2017</v>
      </c>
      <c r="J43" s="17">
        <v>2021</v>
      </c>
      <c r="K43">
        <f t="shared" si="1"/>
        <v>4</v>
      </c>
      <c r="L43" t="s">
        <v>682</v>
      </c>
      <c r="M43" t="s">
        <v>238</v>
      </c>
      <c r="N43" s="448">
        <v>17000000</v>
      </c>
      <c r="O43" s="448">
        <f>Table9[[#This Row],[Cost (USD)]]/Table9[[#This Row],[Programme Length]]</f>
        <v>4250000</v>
      </c>
      <c r="P43" s="46" t="str">
        <f t="array" ref="P43">IF(N43=0,"N/A",
_xlfn.IFS(
N43&lt;=$BC$6,"1st Quartile (Lowest 25%)",
N43&lt;=$BD$6,"2nd Quartile (25–50%)",
N43&lt;=$BE$6,"3rd Quartile (50–75%)",
TRUE,"4th Quartile (Highest 25%)"
))</f>
        <v>2nd Quartile (25–50%)</v>
      </c>
      <c r="Q43" s="130"/>
      <c r="R43" s="13"/>
      <c r="S43" s="13">
        <v>0.1058823529411765</v>
      </c>
      <c r="T43" s="13"/>
      <c r="U43" s="13"/>
      <c r="V43" s="130"/>
      <c r="W43" s="130"/>
      <c r="X43" s="130"/>
      <c r="Y43" s="130"/>
      <c r="Z43" s="13"/>
      <c r="AA43" s="63" t="s">
        <v>42</v>
      </c>
      <c r="AB43" t="s">
        <v>597</v>
      </c>
      <c r="AC43" s="448">
        <v>4000</v>
      </c>
      <c r="AD43" s="28">
        <f>'VfM MSD Mastersheet'!$O15</f>
        <v>-0.22316138694683704</v>
      </c>
      <c r="AE43" s="317" t="str">
        <f t="array" ref="AE43">_xlfn.IFS(
AD43&lt;=$BC$3,"1st Quartile (Lowest 25%)",
AD43&lt;=$BD$3,"2nd Quartile (25–50%)",
AD43&lt;=$BE$3,"3rd Quartile (50–75%)",
TRUE,"4th Quartile (Highest 25%)"
)</f>
        <v>4th Quartile (Highest 25%)</v>
      </c>
      <c r="AF43" s="28">
        <f>'VfM MSD Mastersheet'!$P15</f>
        <v>8.4295016704836065</v>
      </c>
      <c r="AG43" s="317" t="str">
        <f t="array" ref="AG43">_xlfn.IFS(
AF43&lt;=$BC$4,"1st Quartile (Lowest 25%)",
AF43&lt;=$BD$4,"2nd Quartile (25–50%)",
AF43&lt;=$BE$4,"3rd Quartile (50–75%)",
TRUE,"4th Quartile (Highest 25%)"
)</f>
        <v>3rd Quartile (50–75%)</v>
      </c>
      <c r="AH43" s="46" t="s">
        <v>674</v>
      </c>
      <c r="AI43" s="193" t="str">
        <f t="array" ref="AI43">_xlfn.IFS(
AND(AE43="1st Quartile (Lowest 25%)",AG43="4th Quartile (Highest 25%)"),"Group 1",
AND(AE43="4th Quartile (Highest 25%)",AG43="1st Quartile (Lowest 25%)"),"Group 3",
OR(AE43="1st Quartile (Lowest 25%)",AE43="2nd Quartile (25–50%)"),"Group 2A (Low Stability)",
TRUE,"Group 2B (High Inflation)"
)</f>
        <v>Group 2B (High Inflation)</v>
      </c>
      <c r="AN43" t="str">
        <f t="array" ref="AN43">_xlfn.IFS(
AND(AE43="1st Quartile (Lowest 25%)",AG43="4th Quartile (Highest 25%)",K43&lt;=5),"Group 1 - Short",
AND(AE43="1st Quartile (Lowest 25%)",AG43="4th Quartile (Highest 25%)",K43&lt;10),"Group 1 - Medium",
AND(AE43="1st Quartile (Lowest 25%)",AG43="4th Quartile (Highest 25%)",TRUE),"Group 1 - Long",
AND(AE43="4th Quartile (Highest 25%)",AG43="1st Quartile (Lowest 25%)",K43&lt;=5),"Group 3 - Short",
AND(AE43="4th Quartile (Highest 25%)",AG43="1st Quartile (Lowest 25%)",K43&lt;10),"Group 3 - Medium",
AND(AE43="4th Quartile (Highest 25%)",AG43="1st Quartile (Lowest 25%)",TRUE),"Group 3 - Long",
AND(OR(AE43="1st Quartile (Lowest 25%)",AE43="2nd Quartile (25–50%)"),K43&lt;=5),"Group 2A - Short",
AND(OR(AE43="1st Quartile (Lowest 25%)",AE43="2nd Quartile (25–50%)"),K43&lt;10),"Group 2A - Medium",
AND(OR(AE43="1st Quartile (Lowest 25%)",AE43="2nd Quartile (25–50%)"),TRUE),"Group 2A - Long",
K43&lt;=5,"Group 2B - Short",
K43&lt;10,"Group 2B - Medium",
TRUE,"Group 2B - Long"
)</f>
        <v>Group 2B - Short</v>
      </c>
    </row>
    <row r="44" spans="1:40" ht="14.45" customHeight="1" x14ac:dyDescent="0.25">
      <c r="A44" t="s">
        <v>553</v>
      </c>
      <c r="B44" t="s">
        <v>242</v>
      </c>
      <c r="C44" s="17" t="s">
        <v>171</v>
      </c>
      <c r="D44" s="251"/>
      <c r="E44" s="251"/>
      <c r="F44" s="251"/>
      <c r="G44" t="s">
        <v>243</v>
      </c>
      <c r="H44" s="46" t="e" vm="8">
        <v>#VALUE!</v>
      </c>
      <c r="I44">
        <v>2020</v>
      </c>
      <c r="J44">
        <v>2025</v>
      </c>
      <c r="K44">
        <f t="shared" si="1"/>
        <v>5</v>
      </c>
      <c r="L44" t="s">
        <v>39</v>
      </c>
      <c r="M44" t="s">
        <v>617</v>
      </c>
      <c r="N44" s="448">
        <v>17000000</v>
      </c>
      <c r="O44" s="448">
        <f>Table9[[#This Row],[Cost (USD)]]/Table9[[#This Row],[Programme Length]]</f>
        <v>3400000</v>
      </c>
      <c r="P44" s="46" t="str">
        <f t="array" ref="P44">IF(N44=0,"N/A",
_xlfn.IFS(
N44&lt;=$BC$6,"1st Quartile (Lowest 25%)",
N44&lt;=$BD$6,"2nd Quartile (25–50%)",
N44&lt;=$BE$6,"3rd Quartile (50–75%)",
TRUE,"4th Quartile (Highest 25%)"
))</f>
        <v>2nd Quartile (25–50%)</v>
      </c>
      <c r="Q44" s="13"/>
      <c r="R44" s="13"/>
      <c r="S44" s="13">
        <v>1.291848294117647</v>
      </c>
      <c r="T44" s="13">
        <v>18.853573058823532</v>
      </c>
      <c r="U44" s="13">
        <v>0.14420347058823529</v>
      </c>
      <c r="V44" s="130">
        <v>366.73498004530262</v>
      </c>
      <c r="W44" s="130">
        <v>2726.7647058823532</v>
      </c>
      <c r="X44" s="130">
        <v>59.221275068888268</v>
      </c>
      <c r="Y44" s="130">
        <v>16885.823529411769</v>
      </c>
      <c r="Z44" s="13"/>
      <c r="AA44" s="63" t="s">
        <v>49</v>
      </c>
      <c r="AB44" s="17" t="s">
        <v>583</v>
      </c>
      <c r="AC44" s="448">
        <v>9300</v>
      </c>
      <c r="AD44" s="28">
        <f>'VfM MSD Mastersheet'!$O72</f>
        <v>-1.2534918189048749</v>
      </c>
      <c r="AE44" s="318" t="str">
        <f t="array" ref="AE44">_xlfn.IFS(
AD44&lt;=$BC$3,"1st Quartile (Lowest 25%)",
AD44&lt;=$BD$3,"2nd Quartile (25–50%)",
AD44&lt;=$BE$3,"3rd Quartile (50–75%)",
TRUE,"4th Quartile (Highest 25%)"
)</f>
        <v>1st Quartile (Lowest 25%)</v>
      </c>
      <c r="AF44" s="13">
        <f>'VfM MSD Mastersheet'!$P72</f>
        <v>7.1388932228651472</v>
      </c>
      <c r="AG44" s="318" t="str">
        <f t="array" ref="AG44">_xlfn.IFS(
AF44&lt;=$BC$4,"1st Quartile (Lowest 25%)",
AF44&lt;=$BD$4,"2nd Quartile (25–50%)",
AF44&lt;=$BE$4,"3rd Quartile (50–75%)",
TRUE,"4th Quartile (Highest 25%)"
)</f>
        <v>3rd Quartile (50–75%)</v>
      </c>
      <c r="AH44" s="46" t="s">
        <v>674</v>
      </c>
      <c r="AI44" s="193" t="str">
        <f t="array" ref="AI44">_xlfn.IFS(
AND(AE44="1st Quartile (Lowest 25%)",AG44="4th Quartile (Highest 25%)"),"Group 1",
AND(AE44="4th Quartile (Highest 25%)",AG44="1st Quartile (Lowest 25%)"),"Group 3",
OR(AE44="1st Quartile (Lowest 25%)",AE44="2nd Quartile (25–50%)"),"Group 2A (Low Stability)",
TRUE,"Group 2B (High Inflation)"
)</f>
        <v>Group 2A (Low Stability)</v>
      </c>
      <c r="AN44" t="str">
        <f t="array" ref="AN44">_xlfn.IFS(
AND(AE44="1st Quartile (Lowest 25%)",AG44="4th Quartile (Highest 25%)",K44&lt;=5),"Group 1 - Short",
AND(AE44="1st Quartile (Lowest 25%)",AG44="4th Quartile (Highest 25%)",K44&lt;10),"Group 1 - Medium",
AND(AE44="1st Quartile (Lowest 25%)",AG44="4th Quartile (Highest 25%)",TRUE),"Group 1 - Long",
AND(AE44="4th Quartile (Highest 25%)",AG44="1st Quartile (Lowest 25%)",K44&lt;=5),"Group 3 - Short",
AND(AE44="4th Quartile (Highest 25%)",AG44="1st Quartile (Lowest 25%)",K44&lt;10),"Group 3 - Medium",
AND(AE44="4th Quartile (Highest 25%)",AG44="1st Quartile (Lowest 25%)",TRUE),"Group 3 - Long",
AND(OR(AE44="1st Quartile (Lowest 25%)",AE44="2nd Quartile (25–50%)"),K44&lt;=5),"Group 2A - Short",
AND(OR(AE44="1st Quartile (Lowest 25%)",AE44="2nd Quartile (25–50%)"),K44&lt;10),"Group 2A - Medium",
AND(OR(AE44="1st Quartile (Lowest 25%)",AE44="2nd Quartile (25–50%)"),TRUE),"Group 2A - Long",
K44&lt;=5,"Group 2B - Short",
K44&lt;10,"Group 2B - Medium",
TRUE,"Group 2B - Long"
)</f>
        <v>Group 2A - Short</v>
      </c>
    </row>
    <row r="45" spans="1:40" ht="14.45" customHeight="1" x14ac:dyDescent="0.25">
      <c r="A45" s="36" t="s">
        <v>608</v>
      </c>
      <c r="B45" s="36" t="s">
        <v>340</v>
      </c>
      <c r="C45" s="36" t="s">
        <v>104</v>
      </c>
      <c r="D45" s="36"/>
      <c r="E45" s="36"/>
      <c r="F45" s="36"/>
      <c r="G45" s="35" t="s">
        <v>74</v>
      </c>
      <c r="H45" s="352" t="e" vm="1">
        <v>#VALUE!</v>
      </c>
      <c r="I45" s="36">
        <v>2016</v>
      </c>
      <c r="J45" s="36">
        <v>2025</v>
      </c>
      <c r="K45" s="36">
        <f t="shared" si="1"/>
        <v>9</v>
      </c>
      <c r="L45" s="36" t="s">
        <v>39</v>
      </c>
      <c r="M45" s="35" t="s">
        <v>594</v>
      </c>
      <c r="N45" s="458">
        <v>17900000</v>
      </c>
      <c r="O45" s="458">
        <f>Table9[[#This Row],[Cost (USD)]]/Table9[[#This Row],[Programme Length]]</f>
        <v>1988888.888888889</v>
      </c>
      <c r="P45" s="353" t="str">
        <f t="array" ref="P45">IF(N45=0,"N/A",
_xlfn.IFS(
N45&lt;=$BC$6,"1st Quartile (Lowest 25%)",
N45&lt;=$BD$6,"2nd Quartile (25–50%)",
N45&lt;=$BE$6,"3rd Quartile (50–75%)",
TRUE,"4th Quartile (Highest 25%)"
))</f>
        <v>2nd Quartile (25–50%)</v>
      </c>
      <c r="Q45" s="38">
        <v>132.465622476475</v>
      </c>
      <c r="R45" s="37">
        <f>IFERROR(Q45/AC45,"")</f>
        <v>2.6493124495294999E-2</v>
      </c>
      <c r="S45" s="37">
        <v>6.5921787709497207E-2</v>
      </c>
      <c r="T45" s="37">
        <v>10.851955307262569</v>
      </c>
      <c r="U45" s="37"/>
      <c r="V45" s="38">
        <v>4772.0607837909893</v>
      </c>
      <c r="W45" s="38">
        <v>209.55307262569829</v>
      </c>
      <c r="X45" s="38">
        <v>192.67822736030831</v>
      </c>
      <c r="Y45" s="38">
        <v>5190</v>
      </c>
      <c r="Z45" s="37">
        <v>0.68749658065290509</v>
      </c>
      <c r="AA45" s="65" t="s">
        <v>49</v>
      </c>
      <c r="AB45" s="35" t="s">
        <v>583</v>
      </c>
      <c r="AC45" s="458">
        <v>5000</v>
      </c>
      <c r="AD45" s="37">
        <f>'VfM MSD Mastersheet'!$O39</f>
        <v>-1.8838691628640797E-3</v>
      </c>
      <c r="AE45" s="459" t="str">
        <f t="array" ref="AE45">_xlfn.IFS(
AD45&lt;=$BC$3,"1st Quartile (Lowest 25%)",
AD45&lt;=$BD$3,"2nd Quartile (25–50%)",
AD45&lt;=$BE$3,"3rd Quartile (50–75%)",
TRUE,"4th Quartile (Highest 25%)"
)</f>
        <v>4th Quartile (Highest 25%)</v>
      </c>
      <c r="AF45" s="149">
        <f>'VfM MSD Mastersheet'!$P39</f>
        <v>2.9575320693461555</v>
      </c>
      <c r="AG45" s="509" t="str">
        <f t="array" ref="AG45">_xlfn.IFS(
AF45&lt;=$BC$4,"1st Quartile (Lowest 25%)",
AF45&lt;=$BD$4,"2nd Quartile (25–50%)",
AF45&lt;=$BE$4,"3rd Quartile (50–75%)",
TRUE,"4th Quartile (Highest 25%)"
)</f>
        <v>1st Quartile (Lowest 25%)</v>
      </c>
      <c r="AH45" s="352" t="s">
        <v>673</v>
      </c>
      <c r="AI45" s="193" t="str">
        <f t="array" ref="AI45">_xlfn.IFS(
AND(AE45="1st Quartile (Lowest 25%)",AG45="4th Quartile (Highest 25%)"),"Group 1",
AND(AE45="4th Quartile (Highest 25%)",AG45="1st Quartile (Lowest 25%)"),"Group 3",
OR(AE45="1st Quartile (Lowest 25%)",AE45="2nd Quartile (25–50%)"),"Group 2A (Low Stability)",
TRUE,"Group 2B (High Inflation)"
)</f>
        <v>Group 3</v>
      </c>
      <c r="AN45" t="str">
        <f t="array" ref="AN45">_xlfn.IFS(
AND(AE45="1st Quartile (Lowest 25%)",AG45="4th Quartile (Highest 25%)",K45&lt;=5),"Group 1 - Short",
AND(AE45="1st Quartile (Lowest 25%)",AG45="4th Quartile (Highest 25%)",K45&lt;10),"Group 1 - Medium",
AND(AE45="1st Quartile (Lowest 25%)",AG45="4th Quartile (Highest 25%)",TRUE),"Group 1 - Long",
AND(AE45="4th Quartile (Highest 25%)",AG45="1st Quartile (Lowest 25%)",K45&lt;=5),"Group 3 - Short",
AND(AE45="4th Quartile (Highest 25%)",AG45="1st Quartile (Lowest 25%)",K45&lt;10),"Group 3 - Medium",
AND(AE45="4th Quartile (Highest 25%)",AG45="1st Quartile (Lowest 25%)",TRUE),"Group 3 - Long",
AND(OR(AE45="1st Quartile (Lowest 25%)",AE45="2nd Quartile (25–50%)"),K45&lt;=5),"Group 2A - Short",
AND(OR(AE45="1st Quartile (Lowest 25%)",AE45="2nd Quartile (25–50%)"),K45&lt;10),"Group 2A - Medium",
AND(OR(AE45="1st Quartile (Lowest 25%)",AE45="2nd Quartile (25–50%)"),TRUE),"Group 2A - Long",
K45&lt;=5,"Group 2B - Short",
K45&lt;10,"Group 2B - Medium",
TRUE,"Group 2B - Long"
)</f>
        <v>Group 3 - Medium</v>
      </c>
    </row>
    <row r="46" spans="1:40" ht="14.45" customHeight="1" x14ac:dyDescent="0.25">
      <c r="A46" t="s">
        <v>547</v>
      </c>
      <c r="B46" t="s">
        <v>251</v>
      </c>
      <c r="C46" s="17" t="s">
        <v>171</v>
      </c>
      <c r="G46" t="s">
        <v>182</v>
      </c>
      <c r="H46" s="46" t="e" vm="28">
        <v>#VALUE!</v>
      </c>
      <c r="I46">
        <v>2022</v>
      </c>
      <c r="J46">
        <v>2025</v>
      </c>
      <c r="K46">
        <f t="shared" si="1"/>
        <v>3</v>
      </c>
      <c r="L46" t="s">
        <v>39</v>
      </c>
      <c r="M46" t="s">
        <v>615</v>
      </c>
      <c r="N46" s="448">
        <v>18221339</v>
      </c>
      <c r="O46" s="448">
        <f>Table9[[#This Row],[Cost (USD)]]/Table9[[#This Row],[Programme Length]]</f>
        <v>6073779.666666667</v>
      </c>
      <c r="P46" s="46" t="str">
        <f t="array" ref="P46">IF(N46=0,"N/A",
_xlfn.IFS(
N46&lt;=$BC$6,"1st Quartile (Lowest 25%)",
N46&lt;=$BD$6,"2nd Quartile (25–50%)",
N46&lt;=$BE$6,"3rd Quartile (50–75%)",
TRUE,"4th Quartile (Highest 25%)"
))</f>
        <v>3rd Quartile (50–75%)</v>
      </c>
      <c r="Q46" s="13"/>
      <c r="R46" s="13"/>
      <c r="S46" s="13">
        <v>2.2226687072777689</v>
      </c>
      <c r="T46" s="13"/>
      <c r="U46" s="13"/>
      <c r="V46" s="130">
        <v>25413.3040446304</v>
      </c>
      <c r="W46" s="130">
        <v>39.349468225139773</v>
      </c>
      <c r="X46" s="13"/>
      <c r="Y46" s="13"/>
      <c r="Z46" s="13"/>
      <c r="AA46" s="63" t="s">
        <v>49</v>
      </c>
      <c r="AB46" s="17" t="s">
        <v>589</v>
      </c>
      <c r="AC46" s="448">
        <v>28000</v>
      </c>
      <c r="AD46" s="28">
        <f>'VfM MSD Mastersheet'!$O66</f>
        <v>-0.74357183277606964</v>
      </c>
      <c r="AE46" s="317" t="str">
        <f t="array" ref="AE46">_xlfn.IFS(
AD46&lt;=$BC$3,"1st Quartile (Lowest 25%)",
AD46&lt;=$BD$3,"2nd Quartile (25–50%)",
AD46&lt;=$BE$3,"3rd Quartile (50–75%)",
TRUE,"4th Quartile (Highest 25%)"
)</f>
        <v>2nd Quartile (25–50%)</v>
      </c>
      <c r="AF46" s="28">
        <f>'VfM MSD Mastersheet'!$P66</f>
        <v>4.3378827393238089</v>
      </c>
      <c r="AG46" s="318" t="str">
        <f t="array" ref="AG46">_xlfn.IFS(
AF46&lt;=$BC$4,"1st Quartile (Lowest 25%)",
AF46&lt;=$BD$4,"2nd Quartile (25–50%)",
AF46&lt;=$BE$4,"3rd Quartile (50–75%)",
TRUE,"4th Quartile (Highest 25%)"
)</f>
        <v>1st Quartile (Lowest 25%)</v>
      </c>
      <c r="AH46" s="46" t="s">
        <v>673</v>
      </c>
      <c r="AI46" s="193" t="str">
        <f t="array" ref="AI46">_xlfn.IFS(
AND(AE46="1st Quartile (Lowest 25%)",AG46="4th Quartile (Highest 25%)"),"Group 1",
AND(AE46="4th Quartile (Highest 25%)",AG46="1st Quartile (Lowest 25%)"),"Group 3",
OR(AE46="1st Quartile (Lowest 25%)",AE46="2nd Quartile (25–50%)"),"Group 2A (Low Stability)",
TRUE,"Group 2B (High Inflation)"
)</f>
        <v>Group 2A (Low Stability)</v>
      </c>
      <c r="AN46" t="str">
        <f t="array" ref="AN46">_xlfn.IFS(
AND(AE46="1st Quartile (Lowest 25%)",AG46="4th Quartile (Highest 25%)",K46&lt;=5),"Group 1 - Short",
AND(AE46="1st Quartile (Lowest 25%)",AG46="4th Quartile (Highest 25%)",K46&lt;10),"Group 1 - Medium",
AND(AE46="1st Quartile (Lowest 25%)",AG46="4th Quartile (Highest 25%)",TRUE),"Group 1 - Long",
AND(AE46="4th Quartile (Highest 25%)",AG46="1st Quartile (Lowest 25%)",K46&lt;=5),"Group 3 - Short",
AND(AE46="4th Quartile (Highest 25%)",AG46="1st Quartile (Lowest 25%)",K46&lt;10),"Group 3 - Medium",
AND(AE46="4th Quartile (Highest 25%)",AG46="1st Quartile (Lowest 25%)",TRUE),"Group 3 - Long",
AND(OR(AE46="1st Quartile (Lowest 25%)",AE46="2nd Quartile (25–50%)"),K46&lt;=5),"Group 2A - Short",
AND(OR(AE46="1st Quartile (Lowest 25%)",AE46="2nd Quartile (25–50%)"),K46&lt;10),"Group 2A - Medium",
AND(OR(AE46="1st Quartile (Lowest 25%)",AE46="2nd Quartile (25–50%)"),TRUE),"Group 2A - Long",
K46&lt;=5,"Group 2B - Short",
K46&lt;10,"Group 2B - Medium",
TRUE,"Group 2B - Long"
)</f>
        <v>Group 2A - Short</v>
      </c>
    </row>
    <row r="47" spans="1:40" ht="14.45" customHeight="1" x14ac:dyDescent="0.25">
      <c r="A47" s="17" t="s">
        <v>252</v>
      </c>
      <c r="B47" t="s">
        <v>253</v>
      </c>
      <c r="C47" t="s">
        <v>137</v>
      </c>
      <c r="D47" t="s">
        <v>254</v>
      </c>
      <c r="G47" s="17" t="s">
        <v>230</v>
      </c>
      <c r="H47" s="354" t="e" vm="29">
        <v>#VALUE!</v>
      </c>
      <c r="I47">
        <v>2015</v>
      </c>
      <c r="J47">
        <v>2019</v>
      </c>
      <c r="K47">
        <f t="shared" si="1"/>
        <v>4</v>
      </c>
      <c r="L47" t="s">
        <v>39</v>
      </c>
      <c r="M47" t="s">
        <v>594</v>
      </c>
      <c r="N47" s="448">
        <v>18300000</v>
      </c>
      <c r="O47" s="448">
        <f>Table9[[#This Row],[Cost (USD)]]/Table9[[#This Row],[Programme Length]]</f>
        <v>4575000</v>
      </c>
      <c r="P47" s="46" t="str">
        <f t="array" ref="P47">IF(N47=0,"N/A",
_xlfn.IFS(
N47&lt;=$BC$6,"1st Quartile (Lowest 25%)",
N47&lt;=$BD$6,"2nd Quartile (25–50%)",
N47&lt;=$BE$6,"3rd Quartile (50–75%)",
TRUE,"4th Quartile (Highest 25%)"
))</f>
        <v>3rd Quartile (50–75%)</v>
      </c>
      <c r="Q47" s="130">
        <v>502.86619067864939</v>
      </c>
      <c r="R47" s="13">
        <f>IFERROR(Q47/AC47,"")</f>
        <v>0.27937010593258299</v>
      </c>
      <c r="S47" s="13">
        <v>0.94535519125683065</v>
      </c>
      <c r="T47" s="13"/>
      <c r="U47" s="13">
        <v>3.3224043715846989E-3</v>
      </c>
      <c r="V47" s="130">
        <v>1572.57025006445</v>
      </c>
      <c r="W47" s="130">
        <v>635.90163934426232</v>
      </c>
      <c r="X47" s="130"/>
      <c r="Y47" s="130"/>
      <c r="Z47" s="13">
        <v>1.87431693989071</v>
      </c>
      <c r="AA47" s="63" t="s">
        <v>42</v>
      </c>
      <c r="AB47" s="17" t="s">
        <v>586</v>
      </c>
      <c r="AC47" s="448">
        <v>1800</v>
      </c>
      <c r="AD47" s="28">
        <f>'VfM MSD Mastersheet'!$O19</f>
        <v>-0.46441576257348077</v>
      </c>
      <c r="AE47" s="317" t="str">
        <f t="array" ref="AE47">_xlfn.IFS(
AD47&lt;=$BC$3,"1st Quartile (Lowest 25%)",
AD47&lt;=$BD$3,"2nd Quartile (25–50%)",
AD47&lt;=$BE$3,"3rd Quartile (50–75%)",
TRUE,"4th Quartile (Highest 25%)"
)</f>
        <v>3rd Quartile (50–75%)</v>
      </c>
      <c r="AF47" s="17"/>
      <c r="AG47" s="317" t="str">
        <f t="array" ref="AG47">_xlfn.IFS(
AF47&lt;=$BC$4,"1st Quartile (Lowest 25%)",
AF47&lt;=$BD$4,"2nd Quartile (25–50%)",
AF47&lt;=$BE$4,"3rd Quartile (50–75%)",
TRUE,"4th Quartile (Highest 25%)"
)</f>
        <v>1st Quartile (Lowest 25%)</v>
      </c>
      <c r="AH47" s="46" t="s">
        <v>674</v>
      </c>
      <c r="AI47" s="193" t="str">
        <f t="array" ref="AI47">_xlfn.IFS(
AND(AE47="1st Quartile (Lowest 25%)",AG47="4th Quartile (Highest 25%)"),"Group 1",
AND(AE47="4th Quartile (Highest 25%)",AG47="1st Quartile (Lowest 25%)"),"Group 3",
OR(AE47="1st Quartile (Lowest 25%)",AE47="2nd Quartile (25–50%)"),"Group 2A (Low Stability)",
TRUE,"Group 2B (High Inflation)"
)</f>
        <v>Group 2B (High Inflation)</v>
      </c>
      <c r="AN47" t="str">
        <f t="array" ref="AN47">_xlfn.IFS(
AND(AE47="1st Quartile (Lowest 25%)",AG47="4th Quartile (Highest 25%)",K47&lt;=5),"Group 1 - Short",
AND(AE47="1st Quartile (Lowest 25%)",AG47="4th Quartile (Highest 25%)",K47&lt;10),"Group 1 - Medium",
AND(AE47="1st Quartile (Lowest 25%)",AG47="4th Quartile (Highest 25%)",TRUE),"Group 1 - Long",
AND(AE47="4th Quartile (Highest 25%)",AG47="1st Quartile (Lowest 25%)",K47&lt;=5),"Group 3 - Short",
AND(AE47="4th Quartile (Highest 25%)",AG47="1st Quartile (Lowest 25%)",K47&lt;10),"Group 3 - Medium",
AND(AE47="4th Quartile (Highest 25%)",AG47="1st Quartile (Lowest 25%)",TRUE),"Group 3 - Long",
AND(OR(AE47="1st Quartile (Lowest 25%)",AE47="2nd Quartile (25–50%)"),K47&lt;=5),"Group 2A - Short",
AND(OR(AE47="1st Quartile (Lowest 25%)",AE47="2nd Quartile (25–50%)"),K47&lt;10),"Group 2A - Medium",
AND(OR(AE47="1st Quartile (Lowest 25%)",AE47="2nd Quartile (25–50%)"),TRUE),"Group 2A - Long",
K47&lt;=5,"Group 2B - Short",
K47&lt;10,"Group 2B - Medium",
TRUE,"Group 2B - Long"
)</f>
        <v>Group 2B - Short</v>
      </c>
    </row>
    <row r="48" spans="1:40" ht="14.45" customHeight="1" x14ac:dyDescent="0.25">
      <c r="A48" t="s">
        <v>256</v>
      </c>
      <c r="B48" t="s">
        <v>257</v>
      </c>
      <c r="C48" t="s">
        <v>80</v>
      </c>
      <c r="G48" t="s">
        <v>53</v>
      </c>
      <c r="H48" s="46" t="e" vm="30">
        <v>#VALUE!</v>
      </c>
      <c r="I48">
        <v>2017</v>
      </c>
      <c r="J48">
        <v>2024</v>
      </c>
      <c r="K48">
        <f t="shared" si="1"/>
        <v>7</v>
      </c>
      <c r="L48" t="s">
        <v>259</v>
      </c>
      <c r="M48" t="s">
        <v>617</v>
      </c>
      <c r="N48" s="448">
        <v>18621981.210000001</v>
      </c>
      <c r="O48" s="448">
        <f>Table9[[#This Row],[Cost (USD)]]/Table9[[#This Row],[Programme Length]]</f>
        <v>2660283.0300000003</v>
      </c>
      <c r="P48" s="355" t="str">
        <f t="array" ref="P48">IF(N48=0,"N/A",
_xlfn.IFS(
N48&lt;=$BC$6,"1st Quartile (Lowest 25%)",
N48&lt;=$BD$6,"2nd Quartile (25–50%)",
N48&lt;=$BE$6,"3rd Quartile (50–75%)",
TRUE,"4th Quartile (Highest 25%)"
))</f>
        <v>3rd Quartile (50–75%)</v>
      </c>
      <c r="Q48" s="13"/>
      <c r="R48" s="13"/>
      <c r="S48" s="13">
        <v>0.27439534843134977</v>
      </c>
      <c r="T48" s="13"/>
      <c r="U48" s="13"/>
      <c r="V48" s="130">
        <v>90.833172579299855</v>
      </c>
      <c r="W48" s="130">
        <v>11009.193795658441</v>
      </c>
      <c r="X48" s="130">
        <v>260.46186094326958</v>
      </c>
      <c r="Y48" s="130">
        <v>3839.333698908828</v>
      </c>
      <c r="Z48" s="13"/>
      <c r="AA48" s="63" t="s">
        <v>49</v>
      </c>
      <c r="AB48" s="17" t="s">
        <v>586</v>
      </c>
      <c r="AC48" s="448">
        <v>4000</v>
      </c>
      <c r="AD48" s="28">
        <f>'VfM MSD Mastersheet'!$O88</f>
        <v>-1.0060987472534193</v>
      </c>
      <c r="AE48" s="318" t="str">
        <f t="array" ref="AE48">_xlfn.IFS(
AD48&lt;=$BC$3,"1st Quartile (Lowest 25%)",
AD48&lt;=$BD$3,"2nd Quartile (25–50%)",
AD48&lt;=$BE$3,"3rd Quartile (50–75%)",
TRUE,"4th Quartile (Highest 25%)"
)</f>
        <v>2nd Quartile (25–50%)</v>
      </c>
      <c r="AF48" s="13">
        <f>'VfM MSD Mastersheet'!$P88</f>
        <v>6.0956306065040566</v>
      </c>
      <c r="AG48" s="318" t="str">
        <f t="array" ref="AG48">_xlfn.IFS(
AF48&lt;=$BC$4,"1st Quartile (Lowest 25%)",
AF48&lt;=$BD$4,"2nd Quartile (25–50%)",
AF48&lt;=$BE$4,"3rd Quartile (50–75%)",
TRUE,"4th Quartile (Highest 25%)"
)</f>
        <v>2nd Quartile (25–50%)</v>
      </c>
      <c r="AH48" s="46" t="s">
        <v>587</v>
      </c>
      <c r="AI48" s="193" t="str">
        <f t="array" ref="AI48">_xlfn.IFS(
AND(AE48="1st Quartile (Lowest 25%)",AG48="4th Quartile (Highest 25%)"),"Group 1",
AND(AE48="4th Quartile (Highest 25%)",AG48="1st Quartile (Lowest 25%)"),"Group 3",
OR(AE48="1st Quartile (Lowest 25%)",AE48="2nd Quartile (25–50%)"),"Group 2A (Low Stability)",
TRUE,"Group 2B (High Inflation)"
)</f>
        <v>Group 2A (Low Stability)</v>
      </c>
      <c r="AN48" t="str">
        <f t="array" ref="AN48">_xlfn.IFS(
AND(AE48="1st Quartile (Lowest 25%)",AG48="4th Quartile (Highest 25%)",K48&lt;=5),"Group 1 - Short",
AND(AE48="1st Quartile (Lowest 25%)",AG48="4th Quartile (Highest 25%)",K48&lt;10),"Group 1 - Medium",
AND(AE48="1st Quartile (Lowest 25%)",AG48="4th Quartile (Highest 25%)",TRUE),"Group 1 - Long",
AND(AE48="4th Quartile (Highest 25%)",AG48="1st Quartile (Lowest 25%)",K48&lt;=5),"Group 3 - Short",
AND(AE48="4th Quartile (Highest 25%)",AG48="1st Quartile (Lowest 25%)",K48&lt;10),"Group 3 - Medium",
AND(AE48="4th Quartile (Highest 25%)",AG48="1st Quartile (Lowest 25%)",TRUE),"Group 3 - Long",
AND(OR(AE48="1st Quartile (Lowest 25%)",AE48="2nd Quartile (25–50%)"),K48&lt;=5),"Group 2A - Short",
AND(OR(AE48="1st Quartile (Lowest 25%)",AE48="2nd Quartile (25–50%)"),K48&lt;10),"Group 2A - Medium",
AND(OR(AE48="1st Quartile (Lowest 25%)",AE48="2nd Quartile (25–50%)"),TRUE),"Group 2A - Long",
K48&lt;=5,"Group 2B - Short",
K48&lt;10,"Group 2B - Medium",
TRUE,"Group 2B - Long"
)</f>
        <v>Group 2A - Medium</v>
      </c>
    </row>
    <row r="49" spans="1:40" ht="14.45" customHeight="1" x14ac:dyDescent="0.25">
      <c r="A49" t="s">
        <v>260</v>
      </c>
      <c r="B49" t="s">
        <v>261</v>
      </c>
      <c r="C49" s="17" t="s">
        <v>137</v>
      </c>
      <c r="D49" s="17"/>
      <c r="E49" s="17"/>
      <c r="F49" s="17"/>
      <c r="G49" s="17" t="s">
        <v>230</v>
      </c>
      <c r="H49" s="46" t="e" vm="31">
        <v>#VALUE!</v>
      </c>
      <c r="I49">
        <v>2013</v>
      </c>
      <c r="J49">
        <v>2020</v>
      </c>
      <c r="K49">
        <f t="shared" si="1"/>
        <v>7</v>
      </c>
      <c r="L49" t="s">
        <v>39</v>
      </c>
      <c r="M49" s="17" t="s">
        <v>613</v>
      </c>
      <c r="N49" s="448">
        <v>19000000</v>
      </c>
      <c r="O49" s="448">
        <f>Table9[[#This Row],[Cost (USD)]]/Table9[[#This Row],[Programme Length]]</f>
        <v>2714285.7142857141</v>
      </c>
      <c r="P49" s="354" t="str">
        <f t="array" ref="P49">IF(N49=0,"N/A",
_xlfn.IFS(
N49&lt;=$BC$6,"1st Quartile (Lowest 25%)",
N49&lt;=$BD$6,"2nd Quartile (25–50%)",
N49&lt;=$BE$6,"3rd Quartile (50–75%)",
TRUE,"4th Quartile (Highest 25%)"
))</f>
        <v>3rd Quartile (50–75%)</v>
      </c>
      <c r="Q49" s="32">
        <v>613</v>
      </c>
      <c r="R49" s="28">
        <f>IFERROR(Q49/AC49,"")</f>
        <v>8.0657894736842109E-2</v>
      </c>
      <c r="S49" s="28">
        <v>3.7129736842105259</v>
      </c>
      <c r="T49" s="28"/>
      <c r="U49" s="28"/>
      <c r="V49" s="32"/>
      <c r="W49" s="32"/>
      <c r="X49" s="32">
        <v>90.909090909090907</v>
      </c>
      <c r="Y49" s="32">
        <v>11000</v>
      </c>
      <c r="Z49" s="28">
        <v>4.4847975393789472</v>
      </c>
      <c r="AA49" s="63" t="s">
        <v>49</v>
      </c>
      <c r="AB49" s="17" t="s">
        <v>583</v>
      </c>
      <c r="AC49" s="448">
        <v>7600</v>
      </c>
      <c r="AD49" s="28">
        <f>'VfM MSD Mastersheet'!$O63</f>
        <v>-0.53405618071556105</v>
      </c>
      <c r="AE49" s="317" t="str">
        <f t="array" ref="AE49">_xlfn.IFS(
AD49&lt;=$BC$3,"1st Quartile (Lowest 25%)",
AD49&lt;=$BD$3,"2nd Quartile (25–50%)",
AD49&lt;=$BE$3,"3rd Quartile (50–75%)",
TRUE,"4th Quartile (Highest 25%)"
)</f>
        <v>3rd Quartile (50–75%)</v>
      </c>
      <c r="AF49" s="13">
        <f>'VfM MSD Mastersheet'!$P63</f>
        <v>9.288199524690981</v>
      </c>
      <c r="AG49" s="317" t="str">
        <f t="array" ref="AG49">_xlfn.IFS(
AF49&lt;=$BC$4,"1st Quartile (Lowest 25%)",
AF49&lt;=$BD$4,"2nd Quartile (25–50%)",
AF49&lt;=$BE$4,"3rd Quartile (50–75%)",
TRUE,"4th Quartile (Highest 25%)"
)</f>
        <v>4th Quartile (Highest 25%)</v>
      </c>
      <c r="AH49" s="46" t="s">
        <v>673</v>
      </c>
      <c r="AI49" s="193" t="str">
        <f t="array" ref="AI49">_xlfn.IFS(
AND(AE49="1st Quartile (Lowest 25%)",AG49="4th Quartile (Highest 25%)"),"Group 1",
AND(AE49="4th Quartile (Highest 25%)",AG49="1st Quartile (Lowest 25%)"),"Group 3",
OR(AE49="1st Quartile (Lowest 25%)",AE49="2nd Quartile (25–50%)"),"Group 2A (Low Stability)",
TRUE,"Group 2B (High Inflation)"
)</f>
        <v>Group 2B (High Inflation)</v>
      </c>
      <c r="AN49" t="str">
        <f t="array" ref="AN49">_xlfn.IFS(
AND(AE49="1st Quartile (Lowest 25%)",AG49="4th Quartile (Highest 25%)",K49&lt;=5),"Group 1 - Short",
AND(AE49="1st Quartile (Lowest 25%)",AG49="4th Quartile (Highest 25%)",K49&lt;10),"Group 1 - Medium",
AND(AE49="1st Quartile (Lowest 25%)",AG49="4th Quartile (Highest 25%)",TRUE),"Group 1 - Long",
AND(AE49="4th Quartile (Highest 25%)",AG49="1st Quartile (Lowest 25%)",K49&lt;=5),"Group 3 - Short",
AND(AE49="4th Quartile (Highest 25%)",AG49="1st Quartile (Lowest 25%)",K49&lt;10),"Group 3 - Medium",
AND(AE49="4th Quartile (Highest 25%)",AG49="1st Quartile (Lowest 25%)",TRUE),"Group 3 - Long",
AND(OR(AE49="1st Quartile (Lowest 25%)",AE49="2nd Quartile (25–50%)"),K49&lt;=5),"Group 2A - Short",
AND(OR(AE49="1st Quartile (Lowest 25%)",AE49="2nd Quartile (25–50%)"),K49&lt;10),"Group 2A - Medium",
AND(OR(AE49="1st Quartile (Lowest 25%)",AE49="2nd Quartile (25–50%)"),TRUE),"Group 2A - Long",
K49&lt;=5,"Group 2B - Short",
K49&lt;10,"Group 2B - Medium",
TRUE,"Group 2B - Long"
)</f>
        <v>Group 2B - Medium</v>
      </c>
    </row>
    <row r="50" spans="1:40" ht="14.45" customHeight="1" x14ac:dyDescent="0.25">
      <c r="A50" t="s">
        <v>614</v>
      </c>
      <c r="B50" t="s">
        <v>264</v>
      </c>
      <c r="C50" s="17" t="s">
        <v>171</v>
      </c>
      <c r="G50" t="s">
        <v>182</v>
      </c>
      <c r="H50" s="46" t="e" vm="32">
        <v>#VALUE!</v>
      </c>
      <c r="I50">
        <v>2022</v>
      </c>
      <c r="J50">
        <v>2025</v>
      </c>
      <c r="K50">
        <f t="shared" si="1"/>
        <v>3</v>
      </c>
      <c r="L50" t="s">
        <v>39</v>
      </c>
      <c r="M50" t="s">
        <v>602</v>
      </c>
      <c r="N50" s="448">
        <v>19000000</v>
      </c>
      <c r="O50" s="448">
        <f>Table9[[#This Row],[Cost (USD)]]/Table9[[#This Row],[Programme Length]]</f>
        <v>6333333.333333333</v>
      </c>
      <c r="P50" s="46" t="str">
        <f t="array" ref="P50">IF(N50=0,"N/A",
_xlfn.IFS(
N50&lt;=$BC$6,"1st Quartile (Lowest 25%)",
N50&lt;=$BD$6,"2nd Quartile (25–50%)",
N50&lt;=$BE$6,"3rd Quartile (50–75%)",
TRUE,"4th Quartile (Highest 25%)"
))</f>
        <v>3rd Quartile (50–75%)</v>
      </c>
      <c r="Q50" s="5"/>
      <c r="R50" s="13"/>
      <c r="S50" s="28">
        <v>0.1154528947368421</v>
      </c>
      <c r="T50" s="28">
        <v>0.48793510526315792</v>
      </c>
      <c r="U50" s="28"/>
      <c r="V50" s="28"/>
      <c r="W50" s="32"/>
      <c r="X50" s="32">
        <v>1713.100712289244</v>
      </c>
      <c r="Y50" s="32">
        <v>583.73684210526312</v>
      </c>
      <c r="Z50" s="28"/>
      <c r="AA50" s="428" t="s">
        <v>49</v>
      </c>
      <c r="AB50" s="17" t="s">
        <v>583</v>
      </c>
      <c r="AC50" s="448">
        <v>5500</v>
      </c>
      <c r="AD50" s="28">
        <f>'VfM MSD Mastersheet'!$O64</f>
        <v>-0.44506169358889264</v>
      </c>
      <c r="AE50" s="317" t="str">
        <f t="array" ref="AE50">_xlfn.IFS(
AD50&lt;=$BC$3,"1st Quartile (Lowest 25%)",
AD50&lt;=$BD$3,"2nd Quartile (25–50%)",
AD50&lt;=$BE$3,"3rd Quartile (50–75%)",
TRUE,"4th Quartile (Highest 25%)"
)</f>
        <v>3rd Quartile (50–75%)</v>
      </c>
      <c r="AF50" s="13"/>
      <c r="AG50" s="317"/>
      <c r="AH50" s="46" t="s">
        <v>673</v>
      </c>
      <c r="AI50" s="193" t="str">
        <f t="array" ref="AI50">_xlfn.IFS(
AND(AE50="1st Quartile (Lowest 25%)",AG50="4th Quartile (Highest 25%)"),"Group 1",
AND(AE50="4th Quartile (Highest 25%)",AG50="1st Quartile (Lowest 25%)"),"Group 3",
OR(AE50="1st Quartile (Lowest 25%)",AE50="2nd Quartile (25–50%)"),"Group 2A (Low Stability)",
TRUE,"Group 2B (High Inflation)"
)</f>
        <v>Group 2B (High Inflation)</v>
      </c>
      <c r="AN50" t="str">
        <f t="array" ref="AN50">_xlfn.IFS(
AND(AE50="1st Quartile (Lowest 25%)",AG50="4th Quartile (Highest 25%)",K50&lt;=5),"Group 1 - Short",
AND(AE50="1st Quartile (Lowest 25%)",AG50="4th Quartile (Highest 25%)",K50&lt;10),"Group 1 - Medium",
AND(AE50="1st Quartile (Lowest 25%)",AG50="4th Quartile (Highest 25%)",TRUE),"Group 1 - Long",
AND(AE50="4th Quartile (Highest 25%)",AG50="1st Quartile (Lowest 25%)",K50&lt;=5),"Group 3 - Short",
AND(AE50="4th Quartile (Highest 25%)",AG50="1st Quartile (Lowest 25%)",K50&lt;10),"Group 3 - Medium",
AND(AE50="4th Quartile (Highest 25%)",AG50="1st Quartile (Lowest 25%)",TRUE),"Group 3 - Long",
AND(OR(AE50="1st Quartile (Lowest 25%)",AE50="2nd Quartile (25–50%)"),K50&lt;=5),"Group 2A - Short",
AND(OR(AE50="1st Quartile (Lowest 25%)",AE50="2nd Quartile (25–50%)"),K50&lt;10),"Group 2A - Medium",
AND(OR(AE50="1st Quartile (Lowest 25%)",AE50="2nd Quartile (25–50%)"),TRUE),"Group 2A - Long",
K50&lt;=5,"Group 2B - Short",
K50&lt;10,"Group 2B - Medium",
TRUE,"Group 2B - Long"
)</f>
        <v>Group 2B - Short</v>
      </c>
    </row>
    <row r="51" spans="1:40" ht="14.45" customHeight="1" x14ac:dyDescent="0.25">
      <c r="A51" s="35" t="s">
        <v>380</v>
      </c>
      <c r="B51" s="35" t="s">
        <v>381</v>
      </c>
      <c r="C51" s="36" t="s">
        <v>104</v>
      </c>
      <c r="D51" s="36"/>
      <c r="E51" s="36"/>
      <c r="F51" s="36"/>
      <c r="G51" s="35" t="s">
        <v>105</v>
      </c>
      <c r="H51" s="353" t="e" vm="11">
        <v>#VALUE!</v>
      </c>
      <c r="I51" s="35">
        <v>2013</v>
      </c>
      <c r="J51" s="35">
        <v>2024</v>
      </c>
      <c r="K51" s="36">
        <f t="shared" si="1"/>
        <v>11</v>
      </c>
      <c r="L51" s="36" t="s">
        <v>106</v>
      </c>
      <c r="M51" s="36" t="s">
        <v>107</v>
      </c>
      <c r="N51" s="458">
        <v>20200000</v>
      </c>
      <c r="O51" s="458">
        <f>Table9[[#This Row],[Cost (USD)]]/Table9[[#This Row],[Programme Length]]</f>
        <v>1836363.6363636365</v>
      </c>
      <c r="P51" s="352" t="str">
        <f t="array" ref="P51">IF(N51=0,"N/A",
_xlfn.IFS(
N51&lt;=$BC$6,"1st Quartile (Lowest 25%)",
N51&lt;=$BD$6,"2nd Quartile (25–50%)",
N51&lt;=$BE$6,"3rd Quartile (50–75%)",
TRUE,"4th Quartile (Highest 25%)"
))</f>
        <v>3rd Quartile (50–75%)</v>
      </c>
      <c r="Q51" s="199"/>
      <c r="R51" s="149"/>
      <c r="S51" s="149">
        <v>0.52782178217821785</v>
      </c>
      <c r="T51" s="149">
        <v>1.237623762376238E-2</v>
      </c>
      <c r="U51" s="149"/>
      <c r="V51" s="199">
        <v>3371.1615487316421</v>
      </c>
      <c r="W51" s="199">
        <v>296.63366336633658</v>
      </c>
      <c r="X51" s="199">
        <v>8080</v>
      </c>
      <c r="Y51" s="199">
        <v>123.7623762376238</v>
      </c>
      <c r="Z51" s="149"/>
      <c r="AA51" s="65" t="s">
        <v>49</v>
      </c>
      <c r="AB51" s="35" t="s">
        <v>589</v>
      </c>
      <c r="AC51" s="458">
        <v>18600</v>
      </c>
      <c r="AD51" s="37">
        <f>'VfM MSD Mastersheet'!$O9</f>
        <v>-0.37709590196609499</v>
      </c>
      <c r="AE51" s="459" t="str">
        <f t="array" ref="AE51">_xlfn.IFS(
AD51&lt;=$BC$3,"1st Quartile (Lowest 25%)",
AD51&lt;=$BD$3,"2nd Quartile (25–50%)",
AD51&lt;=$BE$3,"3rd Quartile (50–75%)",
TRUE,"4th Quartile (Highest 25%)"
)</f>
        <v>3rd Quartile (50–75%)</v>
      </c>
      <c r="AF51" s="37">
        <f>'VfM MSD Mastersheet'!$P9</f>
        <v>4.6631035142398671</v>
      </c>
      <c r="AG51" s="459" t="str">
        <f t="array" ref="AG51">_xlfn.IFS(
AF51&lt;=$BC$4,"1st Quartile (Lowest 25%)",
AF51&lt;=$BD$4,"2nd Quartile (25–50%)",
AF51&lt;=$BE$4,"3rd Quartile (50–75%)",
TRUE,"4th Quartile (Highest 25%)"
)</f>
        <v>1st Quartile (Lowest 25%)</v>
      </c>
      <c r="AH51" s="352" t="s">
        <v>673</v>
      </c>
      <c r="AI51" s="193" t="str">
        <f t="array" ref="AI51">_xlfn.IFS(
AND(AE51="1st Quartile (Lowest 25%)",AG51="4th Quartile (Highest 25%)"),"Group 1",
AND(AE51="4th Quartile (Highest 25%)",AG51="1st Quartile (Lowest 25%)"),"Group 3",
OR(AE51="1st Quartile (Lowest 25%)",AE51="2nd Quartile (25–50%)"),"Group 2A (Low Stability)",
TRUE,"Group 2B (High Inflation)"
)</f>
        <v>Group 2B (High Inflation)</v>
      </c>
      <c r="AN51" t="str">
        <f t="array" ref="AN51">_xlfn.IFS(
AND(AE51="1st Quartile (Lowest 25%)",AG51="4th Quartile (Highest 25%)",K51&lt;=5),"Group 1 - Short",
AND(AE51="1st Quartile (Lowest 25%)",AG51="4th Quartile (Highest 25%)",K51&lt;10),"Group 1 - Medium",
AND(AE51="1st Quartile (Lowest 25%)",AG51="4th Quartile (Highest 25%)",TRUE),"Group 1 - Long",
AND(AE51="4th Quartile (Highest 25%)",AG51="1st Quartile (Lowest 25%)",K51&lt;=5),"Group 3 - Short",
AND(AE51="4th Quartile (Highest 25%)",AG51="1st Quartile (Lowest 25%)",K51&lt;10),"Group 3 - Medium",
AND(AE51="4th Quartile (Highest 25%)",AG51="1st Quartile (Lowest 25%)",TRUE),"Group 3 - Long",
AND(OR(AE51="1st Quartile (Lowest 25%)",AE51="2nd Quartile (25–50%)"),K51&lt;=5),"Group 2A - Short",
AND(OR(AE51="1st Quartile (Lowest 25%)",AE51="2nd Quartile (25–50%)"),K51&lt;10),"Group 2A - Medium",
AND(OR(AE51="1st Quartile (Lowest 25%)",AE51="2nd Quartile (25–50%)"),TRUE),"Group 2A - Long",
K51&lt;=5,"Group 2B - Short",
K51&lt;10,"Group 2B - Medium",
TRUE,"Group 2B - Long"
)</f>
        <v>Group 2B - Long</v>
      </c>
    </row>
    <row r="52" spans="1:40" ht="14.45" customHeight="1" x14ac:dyDescent="0.25">
      <c r="A52" t="s">
        <v>265</v>
      </c>
      <c r="B52" t="s">
        <v>266</v>
      </c>
      <c r="C52" s="17" t="s">
        <v>171</v>
      </c>
      <c r="D52" s="251"/>
      <c r="E52" s="251"/>
      <c r="F52" s="251"/>
      <c r="G52" t="s">
        <v>243</v>
      </c>
      <c r="H52" s="46" t="e" vm="16">
        <v>#VALUE!</v>
      </c>
      <c r="I52">
        <v>2013</v>
      </c>
      <c r="J52">
        <v>2018</v>
      </c>
      <c r="K52">
        <f t="shared" si="1"/>
        <v>5</v>
      </c>
      <c r="L52" t="s">
        <v>39</v>
      </c>
      <c r="M52" t="s">
        <v>617</v>
      </c>
      <c r="N52" s="448">
        <v>20836925</v>
      </c>
      <c r="O52" s="448">
        <f>Table9[[#This Row],[Cost (USD)]]/Table9[[#This Row],[Programme Length]]</f>
        <v>4167385</v>
      </c>
      <c r="P52" s="46" t="str">
        <f t="array" ref="P52">IF(N52=0,"N/A",
_xlfn.IFS(
N52&lt;=$BC$6,"1st Quartile (Lowest 25%)",
N52&lt;=$BD$6,"2nd Quartile (25–50%)",
N52&lt;=$BE$6,"3rd Quartile (50–75%)",
TRUE,"4th Quartile (Highest 25%)"
))</f>
        <v>3rd Quartile (50–75%)</v>
      </c>
      <c r="Q52" s="13"/>
      <c r="R52" s="13"/>
      <c r="S52" s="13">
        <v>0.84418295885789285</v>
      </c>
      <c r="T52" s="13">
        <v>18.8265999901617</v>
      </c>
      <c r="U52" s="13">
        <v>0.1122911370079798</v>
      </c>
      <c r="V52" s="130">
        <v>11745.72998872604</v>
      </c>
      <c r="W52" s="130">
        <v>85.137322325631061</v>
      </c>
      <c r="X52" s="130">
        <v>34.911844636119319</v>
      </c>
      <c r="Y52" s="130">
        <v>28643.573847868629</v>
      </c>
      <c r="Z52" s="13"/>
      <c r="AA52" s="63" t="s">
        <v>49</v>
      </c>
      <c r="AB52" s="17" t="s">
        <v>586</v>
      </c>
      <c r="AC52" s="448">
        <v>3200</v>
      </c>
      <c r="AD52" s="500">
        <f>'VfM MSD Mastersheet'!$O73</f>
        <v>-0.76991668939590441</v>
      </c>
      <c r="AE52" s="317" t="str">
        <f t="array" ref="AE52">_xlfn.IFS(
AD52&lt;=$BC$3,"1st Quartile (Lowest 25%)",
AD52&lt;=$BD$3,"2nd Quartile (25–50%)",
AD52&lt;=$BE$3,"3rd Quartile (50–75%)",
TRUE,"4th Quartile (Highest 25%)"
)</f>
        <v>2nd Quartile (25–50%)</v>
      </c>
      <c r="AF52" s="501">
        <f>'VfM MSD Mastersheet'!$P73</f>
        <v>-0.76991668939590441</v>
      </c>
      <c r="AG52" s="318" t="str">
        <f t="array" ref="AG52">_xlfn.IFS(
AF52&lt;=$BC$4,"1st Quartile (Lowest 25%)",
AF52&lt;=$BD$4,"2nd Quartile (25–50%)",
AF52&lt;=$BE$4,"3rd Quartile (50–75%)",
TRUE,"4th Quartile (Highest 25%)"
)</f>
        <v>1st Quartile (Lowest 25%)</v>
      </c>
      <c r="AH52" s="46" t="s">
        <v>674</v>
      </c>
      <c r="AI52" s="193" t="str">
        <f t="array" ref="AI52">_xlfn.IFS(
AND(AE52="1st Quartile (Lowest 25%)",AG52="4th Quartile (Highest 25%)"),"Group 1",
AND(AE52="4th Quartile (Highest 25%)",AG52="1st Quartile (Lowest 25%)"),"Group 3",
OR(AE52="1st Quartile (Lowest 25%)",AE52="2nd Quartile (25–50%)"),"Group 2A (Low Stability)",
TRUE,"Group 2B (High Inflation)"
)</f>
        <v>Group 2A (Low Stability)</v>
      </c>
      <c r="AN52" t="str">
        <f t="array" ref="AN52">_xlfn.IFS(
AND(AE52="1st Quartile (Lowest 25%)",AG52="4th Quartile (Highest 25%)",K52&lt;=5),"Group 1 - Short",
AND(AE52="1st Quartile (Lowest 25%)",AG52="4th Quartile (Highest 25%)",K52&lt;10),"Group 1 - Medium",
AND(AE52="1st Quartile (Lowest 25%)",AG52="4th Quartile (Highest 25%)",TRUE),"Group 1 - Long",
AND(AE52="4th Quartile (Highest 25%)",AG52="1st Quartile (Lowest 25%)",K52&lt;=5),"Group 3 - Short",
AND(AE52="4th Quartile (Highest 25%)",AG52="1st Quartile (Lowest 25%)",K52&lt;10),"Group 3 - Medium",
AND(AE52="4th Quartile (Highest 25%)",AG52="1st Quartile (Lowest 25%)",TRUE),"Group 3 - Long",
AND(OR(AE52="1st Quartile (Lowest 25%)",AE52="2nd Quartile (25–50%)"),K52&lt;=5),"Group 2A - Short",
AND(OR(AE52="1st Quartile (Lowest 25%)",AE52="2nd Quartile (25–50%)"),K52&lt;10),"Group 2A - Medium",
AND(OR(AE52="1st Quartile (Lowest 25%)",AE52="2nd Quartile (25–50%)"),TRUE),"Group 2A - Long",
K52&lt;=5,"Group 2B - Short",
K52&lt;10,"Group 2B - Medium",
TRUE,"Group 2B - Long"
)</f>
        <v>Group 2A - Short</v>
      </c>
    </row>
    <row r="53" spans="1:40" ht="14.45" customHeight="1" x14ac:dyDescent="0.25">
      <c r="A53" t="s">
        <v>267</v>
      </c>
      <c r="B53" t="s">
        <v>268</v>
      </c>
      <c r="C53" t="s">
        <v>171</v>
      </c>
      <c r="G53" s="17" t="s">
        <v>230</v>
      </c>
      <c r="H53" s="354" t="e" vm="15">
        <v>#VALUE!</v>
      </c>
      <c r="I53">
        <v>2017</v>
      </c>
      <c r="J53">
        <v>2022</v>
      </c>
      <c r="K53">
        <f t="shared" si="1"/>
        <v>5</v>
      </c>
      <c r="L53" t="s">
        <v>39</v>
      </c>
      <c r="M53" t="s">
        <v>602</v>
      </c>
      <c r="N53" s="448">
        <v>20900000</v>
      </c>
      <c r="O53" s="448">
        <f>Table9[[#This Row],[Cost (USD)]]/Table9[[#This Row],[Programme Length]]</f>
        <v>4180000</v>
      </c>
      <c r="P53" s="46" t="str">
        <f t="array" ref="P53">IF(N53=0,"N/A",
_xlfn.IFS(
N53&lt;=$BC$6,"1st Quartile (Lowest 25%)",
N53&lt;=$BD$6,"2nd Quartile (25–50%)",
N53&lt;=$BE$6,"3rd Quartile (50–75%)",
TRUE,"4th Quartile (Highest 25%)"
))</f>
        <v>3rd Quartile (50–75%)</v>
      </c>
      <c r="Q53" s="130"/>
      <c r="R53" s="13"/>
      <c r="S53" s="13">
        <v>9.0909090909090912E-2</v>
      </c>
      <c r="T53" s="13">
        <v>0.82296650717703346</v>
      </c>
      <c r="U53" s="13"/>
      <c r="V53" s="130"/>
      <c r="W53" s="130"/>
      <c r="X53" s="130">
        <v>3650.6550218340608</v>
      </c>
      <c r="Y53" s="130">
        <v>273.92344497607661</v>
      </c>
      <c r="Z53" s="13"/>
      <c r="AA53" s="63" t="s">
        <v>42</v>
      </c>
      <c r="AB53" s="17" t="s">
        <v>586</v>
      </c>
      <c r="AC53" s="448">
        <v>1700</v>
      </c>
      <c r="AD53" s="28">
        <f>'VfM MSD Mastersheet'!$O36</f>
        <v>-1.0842901979173927</v>
      </c>
      <c r="AE53" s="317" t="str">
        <f t="array" ref="AE53">_xlfn.IFS(
AD53&lt;=$BC$3,"1st Quartile (Lowest 25%)",
AD53&lt;=$BD$3,"2nd Quartile (25–50%)",
AD53&lt;=$BE$3,"3rd Quartile (50–75%)",
TRUE,"4th Quartile (Highest 25%)"
)</f>
        <v>2nd Quartile (25–50%)</v>
      </c>
      <c r="AF53" s="28">
        <f>'VfM MSD Mastersheet'!$P36</f>
        <v>5.6831747090457245</v>
      </c>
      <c r="AG53" s="323" t="str">
        <f t="array" ref="AG53">_xlfn.IFS(
AF53&lt;=$BC$4,"1st Quartile (Lowest 25%)",
AF53&lt;=$BD$4,"2nd Quartile (25–50%)",
AF53&lt;=$BE$4,"3rd Quartile (50–75%)",
TRUE,"4th Quartile (Highest 25%)"
)</f>
        <v>2nd Quartile (25–50%)</v>
      </c>
      <c r="AH53" s="46" t="s">
        <v>674</v>
      </c>
      <c r="AI53" s="193" t="str">
        <f t="array" ref="AI53">_xlfn.IFS(
AND(AE53="1st Quartile (Lowest 25%)",AG53="4th Quartile (Highest 25%)"),"Group 1",
AND(AE53="4th Quartile (Highest 25%)",AG53="1st Quartile (Lowest 25%)"),"Group 3",
OR(AE53="1st Quartile (Lowest 25%)",AE53="2nd Quartile (25–50%)"),"Group 2A (Low Stability)",
TRUE,"Group 2B (High Inflation)"
)</f>
        <v>Group 2A (Low Stability)</v>
      </c>
      <c r="AN53" t="str">
        <f t="array" ref="AN53">_xlfn.IFS(
AND(AE53="1st Quartile (Lowest 25%)",AG53="4th Quartile (Highest 25%)",K53&lt;=5),"Group 1 - Short",
AND(AE53="1st Quartile (Lowest 25%)",AG53="4th Quartile (Highest 25%)",K53&lt;10),"Group 1 - Medium",
AND(AE53="1st Quartile (Lowest 25%)",AG53="4th Quartile (Highest 25%)",TRUE),"Group 1 - Long",
AND(AE53="4th Quartile (Highest 25%)",AG53="1st Quartile (Lowest 25%)",K53&lt;=5),"Group 3 - Short",
AND(AE53="4th Quartile (Highest 25%)",AG53="1st Quartile (Lowest 25%)",K53&lt;10),"Group 3 - Medium",
AND(AE53="4th Quartile (Highest 25%)",AG53="1st Quartile (Lowest 25%)",TRUE),"Group 3 - Long",
AND(OR(AE53="1st Quartile (Lowest 25%)",AE53="2nd Quartile (25–50%)"),K53&lt;=5),"Group 2A - Short",
AND(OR(AE53="1st Quartile (Lowest 25%)",AE53="2nd Quartile (25–50%)"),K53&lt;10),"Group 2A - Medium",
AND(OR(AE53="1st Quartile (Lowest 25%)",AE53="2nd Quartile (25–50%)"),TRUE),"Group 2A - Long",
K53&lt;=5,"Group 2B - Short",
K53&lt;10,"Group 2B - Medium",
TRUE,"Group 2B - Long"
)</f>
        <v>Group 2A - Short</v>
      </c>
    </row>
    <row r="54" spans="1:40" ht="14.45" customHeight="1" x14ac:dyDescent="0.25">
      <c r="A54" s="4" t="s">
        <v>270</v>
      </c>
      <c r="B54" t="s">
        <v>271</v>
      </c>
      <c r="C54" s="17" t="s">
        <v>104</v>
      </c>
      <c r="G54" t="s">
        <v>272</v>
      </c>
      <c r="H54" s="354" t="e" vm="8">
        <v>#VALUE!</v>
      </c>
      <c r="I54">
        <v>2012</v>
      </c>
      <c r="J54">
        <v>2024</v>
      </c>
      <c r="K54">
        <f t="shared" si="1"/>
        <v>12</v>
      </c>
      <c r="L54" t="s">
        <v>683</v>
      </c>
      <c r="M54" t="s">
        <v>602</v>
      </c>
      <c r="N54" s="448">
        <v>20900000</v>
      </c>
      <c r="O54" s="448">
        <f>Table9[[#This Row],[Cost (USD)]]/Table9[[#This Row],[Programme Length]]</f>
        <v>1741666.6666666667</v>
      </c>
      <c r="P54" s="46" t="str">
        <f t="array" ref="P54">IF(N54=0,"N/A",
_xlfn.IFS(
N54&lt;=$BC$6,"1st Quartile (Lowest 25%)",
N54&lt;=$BD$6,"2nd Quartile (25–50%)",
N54&lt;=$BE$6,"3rd Quartile (50–75%)",
TRUE,"4th Quartile (Highest 25%)"
))</f>
        <v>3rd Quartile (50–75%)</v>
      </c>
      <c r="Q54" s="130">
        <v>188.66995073891621</v>
      </c>
      <c r="R54" s="13">
        <f>IFERROR(Q54/AC54,"")</f>
        <v>2.0287091477302819E-2</v>
      </c>
      <c r="S54" s="13"/>
      <c r="T54" s="13"/>
      <c r="U54" s="13"/>
      <c r="V54" s="130"/>
      <c r="W54" s="130"/>
      <c r="X54" s="130">
        <v>102.95566502463051</v>
      </c>
      <c r="Y54" s="130">
        <v>9712.9186602870814</v>
      </c>
      <c r="Z54" s="13">
        <v>1.832535885167464</v>
      </c>
      <c r="AA54" s="63" t="s">
        <v>49</v>
      </c>
      <c r="AB54" s="17" t="s">
        <v>583</v>
      </c>
      <c r="AC54" s="448">
        <v>9300</v>
      </c>
      <c r="AD54" s="28">
        <f>'VfM MSD Mastersheet'!$O55</f>
        <v>1.3810529373586086E-2</v>
      </c>
      <c r="AE54" s="317" t="str">
        <f t="array" ref="AE54">_xlfn.IFS(
AD54&lt;=$BC$3,"1st Quartile (Lowest 25%)",
AD54&lt;=$BD$3,"2nd Quartile (25–50%)",
AD54&lt;=$BE$3,"3rd Quartile (50–75%)",
TRUE,"4th Quartile (Highest 25%)"
)</f>
        <v>4th Quartile (Highest 25%)</v>
      </c>
      <c r="AF54" s="501">
        <f>'VfM MSD Mastersheet'!$P55</f>
        <v>12.371503607649888</v>
      </c>
      <c r="AG54" s="317" t="str">
        <f t="array" ref="AG54">_xlfn.IFS(
AF54&lt;=$BC$4,"1st Quartile (Lowest 25%)",
AF54&lt;=$BD$4,"2nd Quartile (25–50%)",
AF54&lt;=$BE$4,"3rd Quartile (50–75%)",
TRUE,"4th Quartile (Highest 25%)"
)</f>
        <v>4th Quartile (Highest 25%)</v>
      </c>
      <c r="AH54" s="46" t="s">
        <v>674</v>
      </c>
      <c r="AI54" s="193" t="str">
        <f t="array" ref="AI54">_xlfn.IFS(
AND(AE54="1st Quartile (Lowest 25%)",AG54="4th Quartile (Highest 25%)"),"Group 1",
AND(AE54="4th Quartile (Highest 25%)",AG54="1st Quartile (Lowest 25%)"),"Group 3",
OR(AE54="1st Quartile (Lowest 25%)",AE54="2nd Quartile (25–50%)"),"Group 2A (Low Stability)",
TRUE,"Group 2B (High Inflation)"
)</f>
        <v>Group 2B (High Inflation)</v>
      </c>
      <c r="AN54" t="str">
        <f t="array" ref="AN54">_xlfn.IFS(
AND(AE54="1st Quartile (Lowest 25%)",AG54="4th Quartile (Highest 25%)",K54&lt;=5),"Group 1 - Short",
AND(AE54="1st Quartile (Lowest 25%)",AG54="4th Quartile (Highest 25%)",K54&lt;10),"Group 1 - Medium",
AND(AE54="1st Quartile (Lowest 25%)",AG54="4th Quartile (Highest 25%)",TRUE),"Group 1 - Long",
AND(AE54="4th Quartile (Highest 25%)",AG54="1st Quartile (Lowest 25%)",K54&lt;=5),"Group 3 - Short",
AND(AE54="4th Quartile (Highest 25%)",AG54="1st Quartile (Lowest 25%)",K54&lt;10),"Group 3 - Medium",
AND(AE54="4th Quartile (Highest 25%)",AG54="1st Quartile (Lowest 25%)",TRUE),"Group 3 - Long",
AND(OR(AE54="1st Quartile (Lowest 25%)",AE54="2nd Quartile (25–50%)"),K54&lt;=5),"Group 2A - Short",
AND(OR(AE54="1st Quartile (Lowest 25%)",AE54="2nd Quartile (25–50%)"),K54&lt;10),"Group 2A - Medium",
AND(OR(AE54="1st Quartile (Lowest 25%)",AE54="2nd Quartile (25–50%)"),TRUE),"Group 2A - Long",
K54&lt;=5,"Group 2B - Short",
K54&lt;10,"Group 2B - Medium",
TRUE,"Group 2B - Long"
)</f>
        <v>Group 2B - Long</v>
      </c>
    </row>
    <row r="55" spans="1:40" ht="14.45" customHeight="1" x14ac:dyDescent="0.25">
      <c r="A55" s="4" t="s">
        <v>275</v>
      </c>
      <c r="B55" t="s">
        <v>276</v>
      </c>
      <c r="C55" t="s">
        <v>137</v>
      </c>
      <c r="G55" s="17" t="s">
        <v>277</v>
      </c>
      <c r="H55" s="46" t="e" vm="20">
        <v>#VALUE!</v>
      </c>
      <c r="I55">
        <v>2014</v>
      </c>
      <c r="J55">
        <v>2020</v>
      </c>
      <c r="K55">
        <f t="shared" si="1"/>
        <v>6</v>
      </c>
      <c r="L55" t="s">
        <v>684</v>
      </c>
      <c r="M55" t="s">
        <v>594</v>
      </c>
      <c r="N55" s="448">
        <v>21100000</v>
      </c>
      <c r="O55" s="448">
        <f>Table9[[#This Row],[Cost (USD)]]/Table9[[#This Row],[Programme Length]]</f>
        <v>3516666.6666666665</v>
      </c>
      <c r="P55" s="46" t="str">
        <f t="array" ref="P55">IF(N55=0,"N/A",
_xlfn.IFS(
N55&lt;=$BC$6,"1st Quartile (Lowest 25%)",
N55&lt;=$BD$6,"2nd Quartile (25–50%)",
N55&lt;=$BE$6,"3rd Quartile (50–75%)",
TRUE,"4th Quartile (Highest 25%)"
))</f>
        <v>3rd Quartile (50–75%)</v>
      </c>
      <c r="Q55" s="130"/>
      <c r="R55" s="13"/>
      <c r="S55" s="13">
        <v>27.261512495924169</v>
      </c>
      <c r="T55" s="13">
        <v>4.9137239241706147E-2</v>
      </c>
      <c r="U55" s="13"/>
      <c r="V55" s="130">
        <v>535.05768986940529</v>
      </c>
      <c r="W55" s="130">
        <v>1868.9573459715641</v>
      </c>
      <c r="X55" s="130"/>
      <c r="Y55" s="130"/>
      <c r="Z55" s="13"/>
      <c r="AA55" s="151" t="s">
        <v>49</v>
      </c>
      <c r="AB55" s="17" t="s">
        <v>583</v>
      </c>
      <c r="AC55" s="448">
        <v>4300</v>
      </c>
      <c r="AD55" s="28">
        <f>'VfM MSD Mastersheet'!$O13</f>
        <v>0.50380232746564702</v>
      </c>
      <c r="AE55" s="317" t="str">
        <f t="array" ref="AE55">_xlfn.IFS(
AD55&lt;=$BC$3,"1st Quartile (Lowest 25%)",
AD55&lt;=$BD$3,"2nd Quartile (25–50%)",
AD55&lt;=$BE$3,"3rd Quartile (50–75%)",
TRUE,"4th Quartile (Highest 25%)"
)</f>
        <v>4th Quartile (Highest 25%)</v>
      </c>
      <c r="AF55" s="28">
        <f>'VfM MSD Mastersheet'!$P13</f>
        <v>3.7387947506717452</v>
      </c>
      <c r="AG55" s="317" t="str">
        <f t="array" ref="AG55">_xlfn.IFS(
AF55&lt;=$BC$4,"1st Quartile (Lowest 25%)",
AF55&lt;=$BD$4,"2nd Quartile (25–50%)",
AF55&lt;=$BE$4,"3rd Quartile (50–75%)",
TRUE,"4th Quartile (Highest 25%)"
)</f>
        <v>1st Quartile (Lowest 25%)</v>
      </c>
      <c r="AH55" s="46" t="s">
        <v>673</v>
      </c>
      <c r="AI55" s="193" t="str">
        <f t="array" ref="AI55">_xlfn.IFS(
AND(AE55="1st Quartile (Lowest 25%)",AG55="4th Quartile (Highest 25%)"),"Group 1",
AND(AE55="4th Quartile (Highest 25%)",AG55="1st Quartile (Lowest 25%)"),"Group 3",
OR(AE55="1st Quartile (Lowest 25%)",AE55="2nd Quartile (25–50%)"),"Group 2A (Low Stability)",
TRUE,"Group 2B (High Inflation)"
)</f>
        <v>Group 3</v>
      </c>
      <c r="AN55" t="str">
        <f t="array" ref="AN55">_xlfn.IFS(
AND(AE55="1st Quartile (Lowest 25%)",AG55="4th Quartile (Highest 25%)",K55&lt;=5),"Group 1 - Short",
AND(AE55="1st Quartile (Lowest 25%)",AG55="4th Quartile (Highest 25%)",K55&lt;10),"Group 1 - Medium",
AND(AE55="1st Quartile (Lowest 25%)",AG55="4th Quartile (Highest 25%)",TRUE),"Group 1 - Long",
AND(AE55="4th Quartile (Highest 25%)",AG55="1st Quartile (Lowest 25%)",K55&lt;=5),"Group 3 - Short",
AND(AE55="4th Quartile (Highest 25%)",AG55="1st Quartile (Lowest 25%)",K55&lt;10),"Group 3 - Medium",
AND(AE55="4th Quartile (Highest 25%)",AG55="1st Quartile (Lowest 25%)",TRUE),"Group 3 - Long",
AND(OR(AE55="1st Quartile (Lowest 25%)",AE55="2nd Quartile (25–50%)"),K55&lt;=5),"Group 2A - Short",
AND(OR(AE55="1st Quartile (Lowest 25%)",AE55="2nd Quartile (25–50%)"),K55&lt;10),"Group 2A - Medium",
AND(OR(AE55="1st Quartile (Lowest 25%)",AE55="2nd Quartile (25–50%)"),TRUE),"Group 2A - Long",
K55&lt;=5,"Group 2B - Short",
K55&lt;10,"Group 2B - Medium",
TRUE,"Group 2B - Long"
)</f>
        <v>Group 3 - Medium</v>
      </c>
    </row>
    <row r="56" spans="1:40" ht="14.45" customHeight="1" x14ac:dyDescent="0.25">
      <c r="A56" s="17" t="s">
        <v>601</v>
      </c>
      <c r="B56" t="s">
        <v>281</v>
      </c>
      <c r="C56" s="4" t="s">
        <v>104</v>
      </c>
      <c r="G56" s="17" t="s">
        <v>230</v>
      </c>
      <c r="H56" s="456" t="e" vm="15">
        <v>#VALUE!</v>
      </c>
      <c r="I56">
        <v>2010</v>
      </c>
      <c r="J56">
        <v>2021</v>
      </c>
      <c r="K56">
        <f t="shared" si="1"/>
        <v>11</v>
      </c>
      <c r="L56" s="148" t="s">
        <v>39</v>
      </c>
      <c r="M56" s="141" t="s">
        <v>84</v>
      </c>
      <c r="N56" s="448">
        <v>21700000</v>
      </c>
      <c r="O56" s="448">
        <f>Table9[[#This Row],[Cost (USD)]]/Table9[[#This Row],[Programme Length]]</f>
        <v>1972727.2727272727</v>
      </c>
      <c r="P56" s="46" t="str">
        <f t="array" ref="P56">IF(N56=0,"N/A",
_xlfn.IFS(
N56&lt;=$BC$6,"1st Quartile (Lowest 25%)",
N56&lt;=$BD$6,"2nd Quartile (25–50%)",
N56&lt;=$BE$6,"3rd Quartile (50–75%)",
TRUE,"4th Quartile (Highest 25%)"
))</f>
        <v>3rd Quartile (50–75%)</v>
      </c>
      <c r="Q56" s="127">
        <v>909.59614672100781</v>
      </c>
      <c r="R56" s="13">
        <f>IFERROR(Q56/AC56,"")</f>
        <v>0.53505655689471043</v>
      </c>
      <c r="S56" s="13"/>
      <c r="T56" s="13">
        <v>0.48617511520737328</v>
      </c>
      <c r="U56" s="13"/>
      <c r="V56" s="130"/>
      <c r="W56" s="130"/>
      <c r="X56" s="130">
        <v>574.28677287884398</v>
      </c>
      <c r="Y56" s="130">
        <v>1741.2903225806449</v>
      </c>
      <c r="Z56" s="13">
        <v>1.583870967741936</v>
      </c>
      <c r="AA56" s="17" t="s">
        <v>42</v>
      </c>
      <c r="AB56" s="17" t="s">
        <v>586</v>
      </c>
      <c r="AC56" s="448">
        <v>1700</v>
      </c>
      <c r="AD56" s="28">
        <f>'VfM MSD Mastersheet'!$O18</f>
        <v>-0.22211006972938768</v>
      </c>
      <c r="AE56" s="317" t="str">
        <f t="array" ref="AE56">_xlfn.IFS(
AD56&lt;=$BC$3,"1st Quartile (Lowest 25%)",
AD56&lt;=$BD$3,"2nd Quartile (25–50%)",
AD56&lt;=$BE$3,"3rd Quartile (50–75%)",
TRUE,"4th Quartile (Highest 25%)"
)</f>
        <v>4th Quartile (Highest 25%)</v>
      </c>
      <c r="AF56" s="28">
        <f>'VfM MSD Mastersheet'!$P18</f>
        <v>0.60743203839786963</v>
      </c>
      <c r="AG56" s="317" t="str">
        <f t="array" ref="AG56">_xlfn.IFS(
AF56&lt;=$BC$4,"1st Quartile (Lowest 25%)",
AF56&lt;=$BD$4,"2nd Quartile (25–50%)",
AF56&lt;=$BE$4,"3rd Quartile (50–75%)",
TRUE,"4th Quartile (Highest 25%)"
)</f>
        <v>1st Quartile (Lowest 25%)</v>
      </c>
      <c r="AH56" s="46" t="s">
        <v>673</v>
      </c>
      <c r="AI56" s="193" t="str">
        <f t="array" ref="AI56">_xlfn.IFS(
AND(AE56="1st Quartile (Lowest 25%)",AG56="4th Quartile (Highest 25%)"),"Group 1",
AND(AE56="4th Quartile (Highest 25%)",AG56="1st Quartile (Lowest 25%)"),"Group 3",
OR(AE56="1st Quartile (Lowest 25%)",AE56="2nd Quartile (25–50%)"),"Group 2A (Low Stability)",
TRUE,"Group 2B (High Inflation)"
)</f>
        <v>Group 3</v>
      </c>
      <c r="AN56" t="str">
        <f t="array" ref="AN56">_xlfn.IFS(
AND(AE56="1st Quartile (Lowest 25%)",AG56="4th Quartile (Highest 25%)",K56&lt;=5),"Group 1 - Short",
AND(AE56="1st Quartile (Lowest 25%)",AG56="4th Quartile (Highest 25%)",K56&lt;10),"Group 1 - Medium",
AND(AE56="1st Quartile (Lowest 25%)",AG56="4th Quartile (Highest 25%)",TRUE),"Group 1 - Long",
AND(AE56="4th Quartile (Highest 25%)",AG56="1st Quartile (Lowest 25%)",K56&lt;=5),"Group 3 - Short",
AND(AE56="4th Quartile (Highest 25%)",AG56="1st Quartile (Lowest 25%)",K56&lt;10),"Group 3 - Medium",
AND(AE56="4th Quartile (Highest 25%)",AG56="1st Quartile (Lowest 25%)",TRUE),"Group 3 - Long",
AND(OR(AE56="1st Quartile (Lowest 25%)",AE56="2nd Quartile (25–50%)"),K56&lt;=5),"Group 2A - Short",
AND(OR(AE56="1st Quartile (Lowest 25%)",AE56="2nd Quartile (25–50%)"),K56&lt;10),"Group 2A - Medium",
AND(OR(AE56="1st Quartile (Lowest 25%)",AE56="2nd Quartile (25–50%)"),TRUE),"Group 2A - Long",
K56&lt;=5,"Group 2B - Short",
K56&lt;10,"Group 2B - Medium",
TRUE,"Group 2B - Long"
)</f>
        <v>Group 3 - Long</v>
      </c>
    </row>
    <row r="57" spans="1:40" ht="14.45" customHeight="1" x14ac:dyDescent="0.25">
      <c r="A57" t="s">
        <v>549</v>
      </c>
      <c r="B57" t="s">
        <v>284</v>
      </c>
      <c r="C57" s="29" t="s">
        <v>171</v>
      </c>
      <c r="G57" t="s">
        <v>182</v>
      </c>
      <c r="H57" s="46" t="e" vm="23">
        <v>#VALUE!</v>
      </c>
      <c r="I57">
        <v>2016</v>
      </c>
      <c r="J57">
        <v>2021</v>
      </c>
      <c r="K57">
        <f t="shared" si="1"/>
        <v>5</v>
      </c>
      <c r="L57" s="148" t="s">
        <v>39</v>
      </c>
      <c r="M57" s="66" t="s">
        <v>616</v>
      </c>
      <c r="N57" s="448">
        <v>21700000</v>
      </c>
      <c r="O57" s="448">
        <f>Table9[[#This Row],[Cost (USD)]]/Table9[[#This Row],[Programme Length]]</f>
        <v>4340000</v>
      </c>
      <c r="P57" s="46" t="str">
        <f t="array" ref="P57">IF(N57=0,"N/A",
_xlfn.IFS(
N57&lt;=$BC$6,"1st Quartile (Lowest 25%)",
N57&lt;=$BD$6,"2nd Quartile (25–50%)",
N57&lt;=$BE$6,"3rd Quartile (50–75%)",
TRUE,"4th Quartile (Highest 25%)"
))</f>
        <v>3rd Quartile (50–75%)</v>
      </c>
      <c r="Q57" s="13"/>
      <c r="R57" s="13"/>
      <c r="S57" s="13">
        <v>0.16233092165898619</v>
      </c>
      <c r="T57" s="13">
        <v>4.2761399078341018</v>
      </c>
      <c r="U57" s="13"/>
      <c r="V57" s="130"/>
      <c r="W57" s="130"/>
      <c r="X57" s="130">
        <v>78.463418690926446</v>
      </c>
      <c r="Y57" s="130">
        <v>12744.792626728109</v>
      </c>
      <c r="Z57" s="13"/>
      <c r="AA57" s="63" t="s">
        <v>49</v>
      </c>
      <c r="AB57" s="17" t="s">
        <v>583</v>
      </c>
      <c r="AC57" s="448">
        <v>4200</v>
      </c>
      <c r="AD57" s="28">
        <f>'VfM MSD Mastersheet'!$O68</f>
        <v>-0.42589740157127381</v>
      </c>
      <c r="AE57" s="317" t="str">
        <f t="array" ref="AE57">_xlfn.IFS(
AD57&lt;=$BC$3,"1st Quartile (Lowest 25%)",
AD57&lt;=$BD$3,"2nd Quartile (25–50%)",
AD57&lt;=$BE$3,"3rd Quartile (50–75%)",
TRUE,"4th Quartile (Highest 25%)"
)</f>
        <v>3rd Quartile (50–75%)</v>
      </c>
      <c r="AF57" s="13">
        <f>'VfM MSD Mastersheet'!$P68</f>
        <v>5.8529868352160319</v>
      </c>
      <c r="AG57" s="318" t="str">
        <f t="array" ref="AG57">_xlfn.IFS(
AF57&lt;=$BC$4,"1st Quartile (Lowest 25%)",
AF57&lt;=$BD$4,"2nd Quartile (25–50%)",
AF57&lt;=$BE$4,"3rd Quartile (50–75%)",
TRUE,"4th Quartile (Highest 25%)"
)</f>
        <v>2nd Quartile (25–50%)</v>
      </c>
      <c r="AH57" s="46" t="s">
        <v>673</v>
      </c>
      <c r="AI57" s="193" t="str">
        <f t="array" ref="AI57">_xlfn.IFS(
AND(AE57="1st Quartile (Lowest 25%)",AG57="4th Quartile (Highest 25%)"),"Group 1",
AND(AE57="4th Quartile (Highest 25%)",AG57="1st Quartile (Lowest 25%)"),"Group 3",
OR(AE57="1st Quartile (Lowest 25%)",AE57="2nd Quartile (25–50%)"),"Group 2A (Low Stability)",
TRUE,"Group 2B (High Inflation)"
)</f>
        <v>Group 2B (High Inflation)</v>
      </c>
      <c r="AN57" t="str">
        <f t="array" ref="AN57">_xlfn.IFS(
AND(AE57="1st Quartile (Lowest 25%)",AG57="4th Quartile (Highest 25%)",K57&lt;=5),"Group 1 - Short",
AND(AE57="1st Quartile (Lowest 25%)",AG57="4th Quartile (Highest 25%)",K57&lt;10),"Group 1 - Medium",
AND(AE57="1st Quartile (Lowest 25%)",AG57="4th Quartile (Highest 25%)",TRUE),"Group 1 - Long",
AND(AE57="4th Quartile (Highest 25%)",AG57="1st Quartile (Lowest 25%)",K57&lt;=5),"Group 3 - Short",
AND(AE57="4th Quartile (Highest 25%)",AG57="1st Quartile (Lowest 25%)",K57&lt;10),"Group 3 - Medium",
AND(AE57="4th Quartile (Highest 25%)",AG57="1st Quartile (Lowest 25%)",TRUE),"Group 3 - Long",
AND(OR(AE57="1st Quartile (Lowest 25%)",AE57="2nd Quartile (25–50%)"),K57&lt;=5),"Group 2A - Short",
AND(OR(AE57="1st Quartile (Lowest 25%)",AE57="2nd Quartile (25–50%)"),K57&lt;10),"Group 2A - Medium",
AND(OR(AE57="1st Quartile (Lowest 25%)",AE57="2nd Quartile (25–50%)"),TRUE),"Group 2A - Long",
K57&lt;=5,"Group 2B - Short",
K57&lt;10,"Group 2B - Medium",
TRUE,"Group 2B - Long"
)</f>
        <v>Group 2B - Short</v>
      </c>
    </row>
    <row r="58" spans="1:40" ht="14.45" customHeight="1" x14ac:dyDescent="0.25">
      <c r="A58" t="s">
        <v>285</v>
      </c>
      <c r="B58" t="s">
        <v>286</v>
      </c>
      <c r="C58" s="4" t="s">
        <v>80</v>
      </c>
      <c r="G58" t="s">
        <v>200</v>
      </c>
      <c r="H58" s="46" t="e" vm="10">
        <v>#VALUE!</v>
      </c>
      <c r="I58">
        <v>2013</v>
      </c>
      <c r="J58">
        <v>2022</v>
      </c>
      <c r="K58">
        <f t="shared" si="1"/>
        <v>9</v>
      </c>
      <c r="L58" s="148" t="s">
        <v>39</v>
      </c>
      <c r="M58" s="66" t="s">
        <v>602</v>
      </c>
      <c r="N58" s="448">
        <v>22000000</v>
      </c>
      <c r="O58" s="448">
        <f>Table9[[#This Row],[Cost (USD)]]/Table9[[#This Row],[Programme Length]]</f>
        <v>2444444.4444444445</v>
      </c>
      <c r="P58" s="46" t="str">
        <f t="array" ref="P58">IF(N58=0,"N/A",
_xlfn.IFS(
N58&lt;=$BC$6,"1st Quartile (Lowest 25%)",
N58&lt;=$BD$6,"2nd Quartile (25–50%)",
N58&lt;=$BE$6,"3rd Quartile (50–75%)",
TRUE,"4th Quartile (Highest 25%)"
))</f>
        <v>3rd Quartile (50–75%)</v>
      </c>
      <c r="Q58" s="130">
        <v>350.35714285714278</v>
      </c>
      <c r="R58" s="13">
        <f>IFERROR(Q58/AC58,"")</f>
        <v>0.18439849624060145</v>
      </c>
      <c r="S58" s="13">
        <v>0.17145454545454539</v>
      </c>
      <c r="T58" s="13">
        <v>0.22531818181818181</v>
      </c>
      <c r="U58" s="13">
        <v>0.1606363636363636</v>
      </c>
      <c r="V58" s="130">
        <v>3907.6376554174071</v>
      </c>
      <c r="W58" s="130">
        <v>255.90909090909091</v>
      </c>
      <c r="X58" s="130">
        <v>561.22448979591832</v>
      </c>
      <c r="Y58" s="130">
        <v>1781.818181818182</v>
      </c>
      <c r="Z58" s="13">
        <v>0.62427272727272731</v>
      </c>
      <c r="AA58" s="151" t="s">
        <v>49</v>
      </c>
      <c r="AB58" s="17" t="s">
        <v>586</v>
      </c>
      <c r="AC58" s="448">
        <v>1900</v>
      </c>
      <c r="AD58" s="28">
        <f>'VfM MSD Mastersheet'!$O60</f>
        <v>5.8651084346430619E-2</v>
      </c>
      <c r="AE58" s="317" t="str">
        <f t="array" ref="AE58">_xlfn.IFS(
AD58&lt;=$BC$3,"1st Quartile (Lowest 25%)",
AD58&lt;=$BD$3,"2nd Quartile (25–50%)",
AD58&lt;=$BE$3,"3rd Quartile (50–75%)",
TRUE,"4th Quartile (Highest 25%)"
)</f>
        <v>4th Quartile (Highest 25%)</v>
      </c>
      <c r="AF58" s="13">
        <f>'VfM MSD Mastersheet'!$P60</f>
        <v>10.677494127256198</v>
      </c>
      <c r="AG58" s="317" t="str">
        <f t="array" ref="AG58">_xlfn.IFS(
AF58&lt;=$BC$4,"1st Quartile (Lowest 25%)",
AF58&lt;=$BD$4,"2nd Quartile (25–50%)",
AF58&lt;=$BE$4,"3rd Quartile (50–75%)",
TRUE,"4th Quartile (Highest 25%)"
)</f>
        <v>4th Quartile (Highest 25%)</v>
      </c>
      <c r="AH58" s="46" t="s">
        <v>673</v>
      </c>
      <c r="AI58" s="193" t="str">
        <f t="array" ref="AI58">_xlfn.IFS(
AND(AE58="1st Quartile (Lowest 25%)",AG58="4th Quartile (Highest 25%)"),"Group 1",
AND(AE58="4th Quartile (Highest 25%)",AG58="1st Quartile (Lowest 25%)"),"Group 3",
OR(AE58="1st Quartile (Lowest 25%)",AE58="2nd Quartile (25–50%)"),"Group 2A (Low Stability)",
TRUE,"Group 2B (High Inflation)"
)</f>
        <v>Group 2B (High Inflation)</v>
      </c>
      <c r="AN58" t="str">
        <f t="array" ref="AN58">_xlfn.IFS(
AND(AE58="1st Quartile (Lowest 25%)",AG58="4th Quartile (Highest 25%)",K58&lt;=5),"Group 1 - Short",
AND(AE58="1st Quartile (Lowest 25%)",AG58="4th Quartile (Highest 25%)",K58&lt;10),"Group 1 - Medium",
AND(AE58="1st Quartile (Lowest 25%)",AG58="4th Quartile (Highest 25%)",TRUE),"Group 1 - Long",
AND(AE58="4th Quartile (Highest 25%)",AG58="1st Quartile (Lowest 25%)",K58&lt;=5),"Group 3 - Short",
AND(AE58="4th Quartile (Highest 25%)",AG58="1st Quartile (Lowest 25%)",K58&lt;10),"Group 3 - Medium",
AND(AE58="4th Quartile (Highest 25%)",AG58="1st Quartile (Lowest 25%)",TRUE),"Group 3 - Long",
AND(OR(AE58="1st Quartile (Lowest 25%)",AE58="2nd Quartile (25–50%)"),K58&lt;=5),"Group 2A - Short",
AND(OR(AE58="1st Quartile (Lowest 25%)",AE58="2nd Quartile (25–50%)"),K58&lt;10),"Group 2A - Medium",
AND(OR(AE58="1st Quartile (Lowest 25%)",AE58="2nd Quartile (25–50%)"),TRUE),"Group 2A - Long",
K58&lt;=5,"Group 2B - Short",
K58&lt;10,"Group 2B - Medium",
TRUE,"Group 2B - Long"
)</f>
        <v>Group 2B - Medium</v>
      </c>
    </row>
    <row r="59" spans="1:40" ht="15.6" customHeight="1" x14ac:dyDescent="0.25">
      <c r="A59" t="s">
        <v>552</v>
      </c>
      <c r="B59" t="s">
        <v>289</v>
      </c>
      <c r="C59" s="29" t="s">
        <v>171</v>
      </c>
      <c r="D59" s="251"/>
      <c r="E59" s="251"/>
      <c r="F59" s="251"/>
      <c r="G59" t="s">
        <v>182</v>
      </c>
      <c r="H59" s="46" t="e" vm="33">
        <v>#VALUE!</v>
      </c>
      <c r="I59">
        <v>2018</v>
      </c>
      <c r="J59">
        <v>2023</v>
      </c>
      <c r="K59">
        <f t="shared" si="1"/>
        <v>5</v>
      </c>
      <c r="L59" s="148" t="s">
        <v>685</v>
      </c>
      <c r="M59" s="66" t="s">
        <v>617</v>
      </c>
      <c r="N59" s="448">
        <v>22770653</v>
      </c>
      <c r="O59" s="448">
        <f>Table9[[#This Row],[Cost (USD)]]/Table9[[#This Row],[Programme Length]]</f>
        <v>4554130.5999999996</v>
      </c>
      <c r="P59" s="46" t="str">
        <f t="array" ref="P59">IF(N59=0,"N/A",
_xlfn.IFS(
N59&lt;=$BC$6,"1st Quartile (Lowest 25%)",
N59&lt;=$BD$6,"2nd Quartile (25–50%)",
N59&lt;=$BE$6,"3rd Quartile (50–75%)",
TRUE,"4th Quartile (Highest 25%)"
))</f>
        <v>3rd Quartile (50–75%)</v>
      </c>
      <c r="Q59" s="130">
        <v>672.10389964548676</v>
      </c>
      <c r="R59" s="13">
        <f>IFERROR(Q59/AC59,"")</f>
        <v>9.6014842806498107E-2</v>
      </c>
      <c r="S59" s="13">
        <v>6.3452323040538188</v>
      </c>
      <c r="T59" s="13">
        <v>11.54567086855173</v>
      </c>
      <c r="U59" s="13">
        <v>2.52078849034325</v>
      </c>
      <c r="V59" s="130">
        <v>804.70201788175427</v>
      </c>
      <c r="W59" s="130">
        <v>1242.696026328274</v>
      </c>
      <c r="X59" s="130">
        <v>2103.9132403215381</v>
      </c>
      <c r="Y59" s="130">
        <v>475.30477057465151</v>
      </c>
      <c r="Z59" s="13">
        <v>1.4070683436263329</v>
      </c>
      <c r="AA59" s="151" t="s">
        <v>49</v>
      </c>
      <c r="AB59" s="17" t="s">
        <v>583</v>
      </c>
      <c r="AC59" s="448">
        <v>7000</v>
      </c>
      <c r="AD59" s="28" t="str">
        <f>'VfM MSD Mastersheet'!$O71</f>
        <v>N/A</v>
      </c>
      <c r="AE59" s="318" t="str">
        <f t="array" ref="AE59">_xlfn.IFS(
AD59&lt;=$BC$3,"1st Quartile (Lowest 25%)",
AD59&lt;=$BD$3,"2nd Quartile (25–50%)",
AD59&lt;=$BE$3,"3rd Quartile (50–75%)",
TRUE,"4th Quartile (Highest 25%)"
)</f>
        <v>4th Quartile (Highest 25%)</v>
      </c>
      <c r="AF59" s="13" t="str">
        <f>'VfM MSD Mastersheet'!$P71</f>
        <v>N/A</v>
      </c>
      <c r="AG59" s="318" t="str">
        <f t="array" ref="AG59">_xlfn.IFS(
AF59&lt;=$BC$4,"1st Quartile (Lowest 25%)",
AF59&lt;=$BD$4,"2nd Quartile (25–50%)",
AF59&lt;=$BE$4,"3rd Quartile (50–75%)",
TRUE,"4th Quartile (Highest 25%)"
)</f>
        <v>4th Quartile (Highest 25%)</v>
      </c>
      <c r="AH59" s="46" t="s">
        <v>673</v>
      </c>
      <c r="AI59" s="193" t="str">
        <f t="array" ref="AI59">_xlfn.IFS(
AND(AE59="1st Quartile (Lowest 25%)",AG59="4th Quartile (Highest 25%)"),"Group 1",
AND(AE59="4th Quartile (Highest 25%)",AG59="1st Quartile (Lowest 25%)"),"Group 3",
OR(AE59="1st Quartile (Lowest 25%)",AE59="2nd Quartile (25–50%)"),"Group 2A (Low Stability)",
TRUE,"Group 2B (High Inflation)"
)</f>
        <v>Group 2B (High Inflation)</v>
      </c>
      <c r="AN59" t="str">
        <f t="array" ref="AN59">_xlfn.IFS(
AND(AE59="1st Quartile (Lowest 25%)",AG59="4th Quartile (Highest 25%)",K59&lt;=5),"Group 1 - Short",
AND(AE59="1st Quartile (Lowest 25%)",AG59="4th Quartile (Highest 25%)",K59&lt;10),"Group 1 - Medium",
AND(AE59="1st Quartile (Lowest 25%)",AG59="4th Quartile (Highest 25%)",TRUE),"Group 1 - Long",
AND(AE59="4th Quartile (Highest 25%)",AG59="1st Quartile (Lowest 25%)",K59&lt;=5),"Group 3 - Short",
AND(AE59="4th Quartile (Highest 25%)",AG59="1st Quartile (Lowest 25%)",K59&lt;10),"Group 3 - Medium",
AND(AE59="4th Quartile (Highest 25%)",AG59="1st Quartile (Lowest 25%)",TRUE),"Group 3 - Long",
AND(OR(AE59="1st Quartile (Lowest 25%)",AE59="2nd Quartile (25–50%)"),K59&lt;=5),"Group 2A - Short",
AND(OR(AE59="1st Quartile (Lowest 25%)",AE59="2nd Quartile (25–50%)"),K59&lt;10),"Group 2A - Medium",
AND(OR(AE59="1st Quartile (Lowest 25%)",AE59="2nd Quartile (25–50%)"),TRUE),"Group 2A - Long",
K59&lt;=5,"Group 2B - Short",
K59&lt;10,"Group 2B - Medium",
TRUE,"Group 2B - Long"
)</f>
        <v>Group 2B - Short</v>
      </c>
    </row>
    <row r="60" spans="1:40" ht="13.9" customHeight="1" x14ac:dyDescent="0.25">
      <c r="A60" t="s">
        <v>291</v>
      </c>
      <c r="B60" t="s">
        <v>292</v>
      </c>
      <c r="C60" s="29" t="s">
        <v>171</v>
      </c>
      <c r="G60" t="s">
        <v>293</v>
      </c>
      <c r="H60" s="46" t="e" vm="34">
        <v>#VALUE!</v>
      </c>
      <c r="I60">
        <v>2015</v>
      </c>
      <c r="J60">
        <v>2019</v>
      </c>
      <c r="K60">
        <f t="shared" si="1"/>
        <v>4</v>
      </c>
      <c r="L60" s="148" t="s">
        <v>39</v>
      </c>
      <c r="M60" s="66" t="s">
        <v>617</v>
      </c>
      <c r="N60" s="448">
        <v>24000000</v>
      </c>
      <c r="O60" s="448">
        <f>Table9[[#This Row],[Cost (USD)]]/Table9[[#This Row],[Programme Length]]</f>
        <v>6000000</v>
      </c>
      <c r="P60" s="46" t="str">
        <f t="array" ref="P60">IF(N60=0,"N/A",
_xlfn.IFS(
N60&lt;=$BC$6,"1st Quartile (Lowest 25%)",
N60&lt;=$BD$6,"2nd Quartile (25–50%)",
N60&lt;=$BE$6,"3rd Quartile (50–75%)",
TRUE,"4th Quartile (Highest 25%)"
))</f>
        <v>3rd Quartile (50–75%)</v>
      </c>
      <c r="Q60" s="13"/>
      <c r="R60" s="13"/>
      <c r="S60" s="13">
        <v>1.133113833333333</v>
      </c>
      <c r="T60" s="13">
        <v>3.004083333333333E-3</v>
      </c>
      <c r="U60" s="13"/>
      <c r="V60" s="130">
        <v>1537.180554665983</v>
      </c>
      <c r="W60" s="130">
        <v>650.54166666666663</v>
      </c>
      <c r="X60" s="130">
        <v>160.01600160016</v>
      </c>
      <c r="Y60" s="130">
        <v>6249.375</v>
      </c>
      <c r="Z60" s="13"/>
      <c r="AA60" s="151" t="s">
        <v>49</v>
      </c>
      <c r="AB60" s="17" t="s">
        <v>583</v>
      </c>
      <c r="AC60" s="448">
        <v>4700</v>
      </c>
      <c r="AD60" s="28">
        <f>'VfM MSD Mastersheet'!$O79</f>
        <v>-1.165821969509125</v>
      </c>
      <c r="AE60" s="317" t="str">
        <f t="array" ref="AE60">_xlfn.IFS(
AD60&lt;=$BC$3,"1st Quartile (Lowest 25%)",
AD60&lt;=$BD$3,"2nd Quartile (25–50%)",
AD60&lt;=$BE$3,"3rd Quartile (50–75%)",
TRUE,"4th Quartile (Highest 25%)"
)</f>
        <v>1st Quartile (Lowest 25%)</v>
      </c>
      <c r="AF60" s="13">
        <f>'VfM MSD Mastersheet'!$P79</f>
        <v>6.1525056013519199</v>
      </c>
      <c r="AG60" s="318" t="str">
        <f t="array" ref="AG60">_xlfn.IFS(
AF60&lt;=$BC$4,"1st Quartile (Lowest 25%)",
AF60&lt;=$BD$4,"2nd Quartile (25–50%)",
AF60&lt;=$BE$4,"3rd Quartile (50–75%)",
TRUE,"4th Quartile (Highest 25%)"
)</f>
        <v>2nd Quartile (25–50%)</v>
      </c>
      <c r="AH60" s="46" t="s">
        <v>584</v>
      </c>
      <c r="AI60" s="193" t="str">
        <f t="array" ref="AI60">_xlfn.IFS(
AND(AE60="1st Quartile (Lowest 25%)",AG60="4th Quartile (Highest 25%)"),"Group 1",
AND(AE60="4th Quartile (Highest 25%)",AG60="1st Quartile (Lowest 25%)"),"Group 3",
OR(AE60="1st Quartile (Lowest 25%)",AE60="2nd Quartile (25–50%)"),"Group 2A (Low Stability)",
TRUE,"Group 2B (High Inflation)"
)</f>
        <v>Group 2A (Low Stability)</v>
      </c>
      <c r="AN60" t="str">
        <f t="array" ref="AN60">_xlfn.IFS(
AND(AE60="1st Quartile (Lowest 25%)",AG60="4th Quartile (Highest 25%)",K60&lt;=5),"Group 1 - Short",
AND(AE60="1st Quartile (Lowest 25%)",AG60="4th Quartile (Highest 25%)",K60&lt;10),"Group 1 - Medium",
AND(AE60="1st Quartile (Lowest 25%)",AG60="4th Quartile (Highest 25%)",TRUE),"Group 1 - Long",
AND(AE60="4th Quartile (Highest 25%)",AG60="1st Quartile (Lowest 25%)",K60&lt;=5),"Group 3 - Short",
AND(AE60="4th Quartile (Highest 25%)",AG60="1st Quartile (Lowest 25%)",K60&lt;10),"Group 3 - Medium",
AND(AE60="4th Quartile (Highest 25%)",AG60="1st Quartile (Lowest 25%)",TRUE),"Group 3 - Long",
AND(OR(AE60="1st Quartile (Lowest 25%)",AE60="2nd Quartile (25–50%)"),K60&lt;=5),"Group 2A - Short",
AND(OR(AE60="1st Quartile (Lowest 25%)",AE60="2nd Quartile (25–50%)"),K60&lt;10),"Group 2A - Medium",
AND(OR(AE60="1st Quartile (Lowest 25%)",AE60="2nd Quartile (25–50%)"),TRUE),"Group 2A - Long",
K60&lt;=5,"Group 2B - Short",
K60&lt;10,"Group 2B - Medium",
TRUE,"Group 2B - Long"
)</f>
        <v>Group 2A - Short</v>
      </c>
    </row>
    <row r="61" spans="1:40" ht="13.15" customHeight="1" x14ac:dyDescent="0.25">
      <c r="A61" t="s">
        <v>503</v>
      </c>
      <c r="B61" t="s">
        <v>607</v>
      </c>
      <c r="C61" s="4" t="s">
        <v>137</v>
      </c>
      <c r="G61" s="17" t="s">
        <v>138</v>
      </c>
      <c r="H61" s="354" t="e" vm="16">
        <v>#VALUE!</v>
      </c>
      <c r="I61">
        <v>2015</v>
      </c>
      <c r="J61">
        <v>2022</v>
      </c>
      <c r="K61">
        <f t="shared" si="1"/>
        <v>7</v>
      </c>
      <c r="L61" s="148" t="s">
        <v>39</v>
      </c>
      <c r="M61" s="66" t="s">
        <v>602</v>
      </c>
      <c r="N61" s="448">
        <v>24400000</v>
      </c>
      <c r="O61" s="448">
        <f>Table9[[#This Row],[Cost (USD)]]/Table9[[#This Row],[Programme Length]]</f>
        <v>3485714.2857142859</v>
      </c>
      <c r="P61" s="46" t="str">
        <f t="array" ref="P61">IF(N61=0,"N/A",
_xlfn.IFS(
N61&lt;=$BC$6,"1st Quartile (Lowest 25%)",
N61&lt;=$BD$6,"2nd Quartile (25–50%)",
N61&lt;=$BE$6,"3rd Quartile (50–75%)",
TRUE,"4th Quartile (Highest 25%)"
))</f>
        <v>3rd Quartile (50–75%)</v>
      </c>
      <c r="Q61" s="130"/>
      <c r="R61" s="13"/>
      <c r="S61" s="13">
        <v>1.9702500000000001</v>
      </c>
      <c r="T61" s="13">
        <v>1.33125</v>
      </c>
      <c r="U61" s="13"/>
      <c r="V61" s="130"/>
      <c r="W61" s="130"/>
      <c r="X61" s="130"/>
      <c r="Y61" s="130"/>
      <c r="Z61" s="13"/>
      <c r="AA61" s="63" t="s">
        <v>42</v>
      </c>
      <c r="AB61" s="17" t="s">
        <v>586</v>
      </c>
      <c r="AC61" s="448">
        <v>3200</v>
      </c>
      <c r="AD61" s="28">
        <f>'VfM MSD Mastersheet'!$O30</f>
        <v>-0.28434941172599798</v>
      </c>
      <c r="AE61" s="317" t="str">
        <f t="array" ref="AE61">_xlfn.IFS(
AD61&lt;=$BC$3,"1st Quartile (Lowest 25%)",
AD61&lt;=$BD$3,"2nd Quartile (25–50%)",
AD61&lt;=$BE$3,"3rd Quartile (50–75%)",
TRUE,"4th Quartile (Highest 25%)"
)</f>
        <v>4th Quartile (Highest 25%)</v>
      </c>
      <c r="AF61" s="28">
        <f>'VfM MSD Mastersheet'!$P30</f>
        <v>4.0680458825652419</v>
      </c>
      <c r="AG61" s="317" t="str">
        <f t="array" ref="AG61">_xlfn.IFS(
AF61&lt;=$BC$4,"1st Quartile (Lowest 25%)",
AF61&lt;=$BD$4,"2nd Quartile (25–50%)",
AF61&lt;=$BE$4,"3rd Quartile (50–75%)",
TRUE,"4th Quartile (Highest 25%)"
)</f>
        <v>1st Quartile (Lowest 25%)</v>
      </c>
      <c r="AH61" s="46" t="s">
        <v>674</v>
      </c>
      <c r="AI61" s="193" t="str">
        <f t="array" ref="AI61">_xlfn.IFS(
AND(AE61="1st Quartile (Lowest 25%)",AG61="4th Quartile (Highest 25%)"),"Group 1",
AND(AE61="4th Quartile (Highest 25%)",AG61="1st Quartile (Lowest 25%)"),"Group 3",
OR(AE61="1st Quartile (Lowest 25%)",AE61="2nd Quartile (25–50%)"),"Group 2A (Low Stability)",
TRUE,"Group 2B (High Inflation)"
)</f>
        <v>Group 3</v>
      </c>
      <c r="AN61" t="str">
        <f t="array" ref="AN61">_xlfn.IFS(
AND(AE61="1st Quartile (Lowest 25%)",AG61="4th Quartile (Highest 25%)",K61&lt;=5),"Group 1 - Short",
AND(AE61="1st Quartile (Lowest 25%)",AG61="4th Quartile (Highest 25%)",K61&lt;10),"Group 1 - Medium",
AND(AE61="1st Quartile (Lowest 25%)",AG61="4th Quartile (Highest 25%)",TRUE),"Group 1 - Long",
AND(AE61="4th Quartile (Highest 25%)",AG61="1st Quartile (Lowest 25%)",K61&lt;=5),"Group 3 - Short",
AND(AE61="4th Quartile (Highest 25%)",AG61="1st Quartile (Lowest 25%)",K61&lt;10),"Group 3 - Medium",
AND(AE61="4th Quartile (Highest 25%)",AG61="1st Quartile (Lowest 25%)",TRUE),"Group 3 - Long",
AND(OR(AE61="1st Quartile (Lowest 25%)",AE61="2nd Quartile (25–50%)"),K61&lt;=5),"Group 2A - Short",
AND(OR(AE61="1st Quartile (Lowest 25%)",AE61="2nd Quartile (25–50%)"),K61&lt;10),"Group 2A - Medium",
AND(OR(AE61="1st Quartile (Lowest 25%)",AE61="2nd Quartile (25–50%)"),TRUE),"Group 2A - Long",
K61&lt;=5,"Group 2B - Short",
K61&lt;10,"Group 2B - Medium",
TRUE,"Group 2B - Long"
)</f>
        <v>Group 3 - Medium</v>
      </c>
    </row>
    <row r="62" spans="1:40" ht="13.15" customHeight="1" x14ac:dyDescent="0.25">
      <c r="A62" s="17" t="s">
        <v>297</v>
      </c>
      <c r="B62" s="17" t="s">
        <v>298</v>
      </c>
      <c r="C62" s="4" t="s">
        <v>171</v>
      </c>
      <c r="G62" s="17" t="s">
        <v>182</v>
      </c>
      <c r="H62" s="354" t="e" vm="8">
        <v>#VALUE!</v>
      </c>
      <c r="I62" s="17">
        <v>2016</v>
      </c>
      <c r="J62" s="17">
        <v>2021</v>
      </c>
      <c r="K62">
        <f t="shared" si="1"/>
        <v>5</v>
      </c>
      <c r="L62" s="148" t="s">
        <v>39</v>
      </c>
      <c r="M62" s="66" t="s">
        <v>582</v>
      </c>
      <c r="N62" s="448">
        <v>24480000</v>
      </c>
      <c r="O62" s="448">
        <f>Table9[[#This Row],[Cost (USD)]]/Table9[[#This Row],[Programme Length]]</f>
        <v>4896000</v>
      </c>
      <c r="P62" s="46" t="str">
        <f t="array" ref="P62">IF(N62=0,"N/A",
_xlfn.IFS(
N62&lt;=$BC$6,"1st Quartile (Lowest 25%)",
N62&lt;=$BD$6,"2nd Quartile (25–50%)",
N62&lt;=$BE$6,"3rd Quartile (50–75%)",
TRUE,"4th Quartile (Highest 25%)"
))</f>
        <v>3rd Quartile (50–75%)</v>
      </c>
      <c r="Q62" s="130">
        <v>65</v>
      </c>
      <c r="R62" s="13">
        <f>IFERROR(Q62/AC62,"")</f>
        <v>6.9892473118279572E-3</v>
      </c>
      <c r="S62" s="13">
        <v>0.13848039215686281</v>
      </c>
      <c r="T62" s="13">
        <v>15.494013807189541</v>
      </c>
      <c r="U62" s="13">
        <v>15.494013807189541</v>
      </c>
      <c r="V62" s="130"/>
      <c r="W62" s="130"/>
      <c r="X62" s="130"/>
      <c r="Y62" s="130"/>
      <c r="Z62" s="13">
        <v>2.8538690767973862</v>
      </c>
      <c r="AA62" s="151" t="s">
        <v>49</v>
      </c>
      <c r="AB62" s="17" t="s">
        <v>583</v>
      </c>
      <c r="AC62" s="448">
        <v>9300</v>
      </c>
      <c r="AD62" s="28">
        <f>'VfM MSD Mastersheet'!$O12</f>
        <v>-1.0826890110969543</v>
      </c>
      <c r="AE62" s="317" t="str">
        <f t="array" ref="AE62">_xlfn.IFS(
AD62&lt;=$BC$3,"1st Quartile (Lowest 25%)",
AD62&lt;=$BD$3,"2nd Quartile (25–50%)",
AD62&lt;=$BE$3,"3rd Quartile (50–75%)",
TRUE,"4th Quartile (Highest 25%)"
)</f>
        <v>2nd Quartile (25–50%)</v>
      </c>
      <c r="AF62" s="28">
        <f>'VfM MSD Mastersheet'!$P12</f>
        <v>6.5562323096138986</v>
      </c>
      <c r="AG62" s="317" t="str">
        <f t="array" ref="AG62">_xlfn.IFS(
AF62&lt;=$BC$4,"1st Quartile (Lowest 25%)",
AF62&lt;=$BD$4,"2nd Quartile (25–50%)",
AF62&lt;=$BE$4,"3rd Quartile (50–75%)",
TRUE,"4th Quartile (Highest 25%)"
)</f>
        <v>3rd Quartile (50–75%)</v>
      </c>
      <c r="AH62" s="46" t="s">
        <v>674</v>
      </c>
      <c r="AI62" s="193" t="str">
        <f t="array" ref="AI62">_xlfn.IFS(
AND(AE62="1st Quartile (Lowest 25%)",AG62="4th Quartile (Highest 25%)"),"Group 1",
AND(AE62="4th Quartile (Highest 25%)",AG62="1st Quartile (Lowest 25%)"),"Group 3",
OR(AE62="1st Quartile (Lowest 25%)",AE62="2nd Quartile (25–50%)"),"Group 2A (Low Stability)",
TRUE,"Group 2B (High Inflation)"
)</f>
        <v>Group 2A (Low Stability)</v>
      </c>
      <c r="AN62" t="str">
        <f t="array" ref="AN62">_xlfn.IFS(
AND(AE62="1st Quartile (Lowest 25%)",AG62="4th Quartile (Highest 25%)",K62&lt;=5),"Group 1 - Short",
AND(AE62="1st Quartile (Lowest 25%)",AG62="4th Quartile (Highest 25%)",K62&lt;10),"Group 1 - Medium",
AND(AE62="1st Quartile (Lowest 25%)",AG62="4th Quartile (Highest 25%)",TRUE),"Group 1 - Long",
AND(AE62="4th Quartile (Highest 25%)",AG62="1st Quartile (Lowest 25%)",K62&lt;=5),"Group 3 - Short",
AND(AE62="4th Quartile (Highest 25%)",AG62="1st Quartile (Lowest 25%)",K62&lt;10),"Group 3 - Medium",
AND(AE62="4th Quartile (Highest 25%)",AG62="1st Quartile (Lowest 25%)",TRUE),"Group 3 - Long",
AND(OR(AE62="1st Quartile (Lowest 25%)",AE62="2nd Quartile (25–50%)"),K62&lt;=5),"Group 2A - Short",
AND(OR(AE62="1st Quartile (Lowest 25%)",AE62="2nd Quartile (25–50%)"),K62&lt;10),"Group 2A - Medium",
AND(OR(AE62="1st Quartile (Lowest 25%)",AE62="2nd Quartile (25–50%)"),TRUE),"Group 2A - Long",
K62&lt;=5,"Group 2B - Short",
K62&lt;10,"Group 2B - Medium",
TRUE,"Group 2B - Long"
)</f>
        <v>Group 2A - Short</v>
      </c>
    </row>
    <row r="63" spans="1:40" ht="13.15" customHeight="1" x14ac:dyDescent="0.25">
      <c r="A63" t="s">
        <v>300</v>
      </c>
      <c r="B63" t="s">
        <v>301</v>
      </c>
      <c r="C63" s="29" t="s">
        <v>171</v>
      </c>
      <c r="D63" s="251"/>
      <c r="E63" s="251"/>
      <c r="F63" s="251"/>
      <c r="G63" t="s">
        <v>230</v>
      </c>
      <c r="H63" s="46" t="e" vm="14">
        <v>#VALUE!</v>
      </c>
      <c r="I63">
        <v>2019</v>
      </c>
      <c r="J63">
        <v>2024</v>
      </c>
      <c r="K63">
        <f t="shared" si="1"/>
        <v>5</v>
      </c>
      <c r="L63" s="148" t="s">
        <v>686</v>
      </c>
      <c r="M63" s="66" t="s">
        <v>617</v>
      </c>
      <c r="N63" s="448">
        <v>25000000</v>
      </c>
      <c r="O63" s="448">
        <f>Table9[[#This Row],[Cost (USD)]]/Table9[[#This Row],[Programme Length]]</f>
        <v>5000000</v>
      </c>
      <c r="P63" s="46" t="str">
        <f t="array" ref="P63">IF(N63=0,"N/A",
_xlfn.IFS(
N63&lt;=$BC$6,"1st Quartile (Lowest 25%)",
N63&lt;=$BD$6,"2nd Quartile (25–50%)",
N63&lt;=$BE$6,"3rd Quartile (50–75%)",
TRUE,"4th Quartile (Highest 25%)"
))</f>
        <v>3rd Quartile (50–75%)</v>
      </c>
      <c r="Q63" s="13"/>
      <c r="R63" s="13"/>
      <c r="S63" s="13">
        <v>1.1559999999999999</v>
      </c>
      <c r="T63" s="13">
        <v>2.6120000000000001</v>
      </c>
      <c r="U63" s="13">
        <v>79.736000000000004</v>
      </c>
      <c r="V63" s="130">
        <v>5085.4353132628157</v>
      </c>
      <c r="W63" s="130">
        <v>196.64</v>
      </c>
      <c r="X63" s="130"/>
      <c r="Y63" s="130"/>
      <c r="Z63" s="13"/>
      <c r="AA63" s="151" t="s">
        <v>49</v>
      </c>
      <c r="AB63" s="17" t="s">
        <v>589</v>
      </c>
      <c r="AC63" s="448">
        <v>24000</v>
      </c>
      <c r="AD63" s="28">
        <f>'VfM MSD Mastersheet'!$O76</f>
        <v>-1.48306620121002</v>
      </c>
      <c r="AE63" s="317" t="str">
        <f t="array" ref="AE63">_xlfn.IFS(
AD63&lt;=$BC$3,"1st Quartile (Lowest 25%)",
AD63&lt;=$BD$3,"2nd Quartile (25–50%)",
AD63&lt;=$BE$3,"3rd Quartile (50–75%)",
TRUE,"4th Quartile (Highest 25%)"
)</f>
        <v>1st Quartile (Lowest 25%)</v>
      </c>
      <c r="AF63" s="13">
        <f>'VfM MSD Mastersheet'!$P76</f>
        <v>7.5128422193224971</v>
      </c>
      <c r="AG63" s="318" t="str">
        <f t="array" ref="AG63">_xlfn.IFS(
AF63&lt;=$BC$4,"1st Quartile (Lowest 25%)",
AF63&lt;=$BD$4,"2nd Quartile (25–50%)",
AF63&lt;=$BE$4,"3rd Quartile (50–75%)",
TRUE,"4th Quartile (Highest 25%)"
)</f>
        <v>3rd Quartile (50–75%)</v>
      </c>
      <c r="AH63" s="46" t="s">
        <v>673</v>
      </c>
      <c r="AI63" s="193" t="str">
        <f t="array" ref="AI63">_xlfn.IFS(
AND(AE63="1st Quartile (Lowest 25%)",AG63="4th Quartile (Highest 25%)"),"Group 1",
AND(AE63="4th Quartile (Highest 25%)",AG63="1st Quartile (Lowest 25%)"),"Group 3",
OR(AE63="1st Quartile (Lowest 25%)",AE63="2nd Quartile (25–50%)"),"Group 2A (Low Stability)",
TRUE,"Group 2B (High Inflation)"
)</f>
        <v>Group 2A (Low Stability)</v>
      </c>
      <c r="AN63" t="str">
        <f t="array" ref="AN63">_xlfn.IFS(
AND(AE63="1st Quartile (Lowest 25%)",AG63="4th Quartile (Highest 25%)",K63&lt;=5),"Group 1 - Short",
AND(AE63="1st Quartile (Lowest 25%)",AG63="4th Quartile (Highest 25%)",K63&lt;10),"Group 1 - Medium",
AND(AE63="1st Quartile (Lowest 25%)",AG63="4th Quartile (Highest 25%)",TRUE),"Group 1 - Long",
AND(AE63="4th Quartile (Highest 25%)",AG63="1st Quartile (Lowest 25%)",K63&lt;=5),"Group 3 - Short",
AND(AE63="4th Quartile (Highest 25%)",AG63="1st Quartile (Lowest 25%)",K63&lt;10),"Group 3 - Medium",
AND(AE63="4th Quartile (Highest 25%)",AG63="1st Quartile (Lowest 25%)",TRUE),"Group 3 - Long",
AND(OR(AE63="1st Quartile (Lowest 25%)",AE63="2nd Quartile (25–50%)"),K63&lt;=5),"Group 2A - Short",
AND(OR(AE63="1st Quartile (Lowest 25%)",AE63="2nd Quartile (25–50%)"),K63&lt;10),"Group 2A - Medium",
AND(OR(AE63="1st Quartile (Lowest 25%)",AE63="2nd Quartile (25–50%)"),TRUE),"Group 2A - Long",
K63&lt;=5,"Group 2B - Short",
K63&lt;10,"Group 2B - Medium",
TRUE,"Group 2B - Long"
)</f>
        <v>Group 2A - Short</v>
      </c>
    </row>
    <row r="64" spans="1:40" ht="13.15" customHeight="1" x14ac:dyDescent="0.25">
      <c r="A64" s="17" t="s">
        <v>306</v>
      </c>
      <c r="B64" t="s">
        <v>307</v>
      </c>
      <c r="C64" s="4" t="s">
        <v>137</v>
      </c>
      <c r="G64" s="17" t="s">
        <v>230</v>
      </c>
      <c r="H64" s="354" t="e" vm="3">
        <v>#VALUE!</v>
      </c>
      <c r="I64">
        <v>2013</v>
      </c>
      <c r="J64">
        <v>2020</v>
      </c>
      <c r="K64">
        <f t="shared" si="1"/>
        <v>7</v>
      </c>
      <c r="L64" s="148" t="s">
        <v>39</v>
      </c>
      <c r="M64" s="66" t="s">
        <v>84</v>
      </c>
      <c r="N64" s="448">
        <v>27400000</v>
      </c>
      <c r="O64" s="448">
        <f>Table9[[#This Row],[Cost (USD)]]/Table9[[#This Row],[Programme Length]]</f>
        <v>3914285.7142857141</v>
      </c>
      <c r="P64" s="46" t="str">
        <f t="array" ref="P64">IF(N64=0,"N/A",
_xlfn.IFS(
N64&lt;=$BC$6,"1st Quartile (Lowest 25%)",
N64&lt;=$BD$6,"2nd Quartile (25–50%)",
N64&lt;=$BE$6,"3rd Quartile (50–75%)",
TRUE,"4th Quartile (Highest 25%)"
))</f>
        <v>3rd Quartile (50–75%)</v>
      </c>
      <c r="Q64" s="130">
        <v>117.60204960463879</v>
      </c>
      <c r="R64" s="13">
        <f>IFERROR(Q64/AC64,"")</f>
        <v>1.8666992000736318E-2</v>
      </c>
      <c r="S64" s="13">
        <v>0.43977591240875907</v>
      </c>
      <c r="T64" s="13">
        <v>1.973794160583942</v>
      </c>
      <c r="U64" s="13"/>
      <c r="V64" s="130"/>
      <c r="W64" s="130"/>
      <c r="X64" s="130">
        <v>89.041407504175851</v>
      </c>
      <c r="Y64" s="130">
        <v>11230.7299270073</v>
      </c>
      <c r="Z64" s="13">
        <v>2.3671532846715331</v>
      </c>
      <c r="AA64" s="151" t="s">
        <v>49</v>
      </c>
      <c r="AB64" s="17" t="s">
        <v>583</v>
      </c>
      <c r="AC64" s="448">
        <v>6300</v>
      </c>
      <c r="AD64" s="28">
        <f>'VfM MSD Mastersheet'!$O17</f>
        <v>-0.43793727755546552</v>
      </c>
      <c r="AE64" s="317" t="str">
        <f t="array" ref="AE64">_xlfn.IFS(
AD64&lt;=$BC$3,"1st Quartile (Lowest 25%)",
AD64&lt;=$BD$3,"2nd Quartile (25–50%)",
AD64&lt;=$BE$3,"3rd Quartile (50–75%)",
TRUE,"4th Quartile (Highest 25%)"
)</f>
        <v>3rd Quartile (50–75%)</v>
      </c>
      <c r="AF64" s="28">
        <f>'VfM MSD Mastersheet'!$P17</f>
        <v>4.3624931953551158</v>
      </c>
      <c r="AG64" s="317" t="str">
        <f t="array" ref="AG64">_xlfn.IFS(
AF64&lt;=$BC$4,"1st Quartile (Lowest 25%)",
AF64&lt;=$BD$4,"2nd Quartile (25–50%)",
AF64&lt;=$BE$4,"3rd Quartile (50–75%)",
TRUE,"4th Quartile (Highest 25%)"
)</f>
        <v>1st Quartile (Lowest 25%)</v>
      </c>
      <c r="AH64" s="46" t="s">
        <v>587</v>
      </c>
      <c r="AI64" s="193" t="str">
        <f t="array" ref="AI64">_xlfn.IFS(
AND(AE64="1st Quartile (Lowest 25%)",AG64="4th Quartile (Highest 25%)"),"Group 1",
AND(AE64="4th Quartile (Highest 25%)",AG64="1st Quartile (Lowest 25%)"),"Group 3",
OR(AE64="1st Quartile (Lowest 25%)",AE64="2nd Quartile (25–50%)"),"Group 2A (Low Stability)",
TRUE,"Group 2B (High Inflation)"
)</f>
        <v>Group 2B (High Inflation)</v>
      </c>
      <c r="AN64" t="str">
        <f t="array" ref="AN64">_xlfn.IFS(
AND(AE64="1st Quartile (Lowest 25%)",AG64="4th Quartile (Highest 25%)",K64&lt;=5),"Group 1 - Short",
AND(AE64="1st Quartile (Lowest 25%)",AG64="4th Quartile (Highest 25%)",K64&lt;10),"Group 1 - Medium",
AND(AE64="1st Quartile (Lowest 25%)",AG64="4th Quartile (Highest 25%)",TRUE),"Group 1 - Long",
AND(AE64="4th Quartile (Highest 25%)",AG64="1st Quartile (Lowest 25%)",K64&lt;=5),"Group 3 - Short",
AND(AE64="4th Quartile (Highest 25%)",AG64="1st Quartile (Lowest 25%)",K64&lt;10),"Group 3 - Medium",
AND(AE64="4th Quartile (Highest 25%)",AG64="1st Quartile (Lowest 25%)",TRUE),"Group 3 - Long",
AND(OR(AE64="1st Quartile (Lowest 25%)",AE64="2nd Quartile (25–50%)"),K64&lt;=5),"Group 2A - Short",
AND(OR(AE64="1st Quartile (Lowest 25%)",AE64="2nd Quartile (25–50%)"),K64&lt;10),"Group 2A - Medium",
AND(OR(AE64="1st Quartile (Lowest 25%)",AE64="2nd Quartile (25–50%)"),TRUE),"Group 2A - Long",
K64&lt;=5,"Group 2B - Short",
K64&lt;10,"Group 2B - Medium",
TRUE,"Group 2B - Long"
)</f>
        <v>Group 2B - Medium</v>
      </c>
    </row>
    <row r="65" spans="1:55" ht="14.45" customHeight="1" x14ac:dyDescent="0.25">
      <c r="A65" t="s">
        <v>309</v>
      </c>
      <c r="B65" t="s">
        <v>310</v>
      </c>
      <c r="C65" s="4" t="s">
        <v>137</v>
      </c>
      <c r="D65" t="s">
        <v>57</v>
      </c>
      <c r="G65" s="17" t="s">
        <v>230</v>
      </c>
      <c r="H65" s="354" t="s">
        <v>311</v>
      </c>
      <c r="I65">
        <v>2013</v>
      </c>
      <c r="J65">
        <v>2018</v>
      </c>
      <c r="K65">
        <f t="shared" si="1"/>
        <v>5</v>
      </c>
      <c r="L65" s="148" t="s">
        <v>687</v>
      </c>
      <c r="M65" s="66" t="s">
        <v>594</v>
      </c>
      <c r="N65" s="448">
        <v>29066000</v>
      </c>
      <c r="O65" s="448">
        <f>Table9[[#This Row],[Cost (USD)]]/Table9[[#This Row],[Programme Length]]</f>
        <v>5813200</v>
      </c>
      <c r="P65" s="46" t="str">
        <f t="array" ref="P65">IF(N65=0,"N/A",
_xlfn.IFS(
N65&lt;=$BC$6,"1st Quartile (Lowest 25%)",
N65&lt;=$BD$6,"2nd Quartile (25–50%)",
N65&lt;=$BE$6,"3rd Quartile (50–75%)",
TRUE,"4th Quartile (Highest 25%)"
))</f>
        <v>3rd Quartile (50–75%)</v>
      </c>
      <c r="Q65" s="130"/>
      <c r="R65" s="13"/>
      <c r="S65" s="13"/>
      <c r="T65" s="13">
        <v>0.2779701</v>
      </c>
      <c r="U65" s="13"/>
      <c r="V65" s="130">
        <v>179419.75308641969</v>
      </c>
      <c r="W65" s="130">
        <v>5.5735223284937732</v>
      </c>
      <c r="X65" s="130">
        <v>26044.802867383511</v>
      </c>
      <c r="Y65" s="130">
        <v>38.395376040734881</v>
      </c>
      <c r="Z65" s="13"/>
      <c r="AA65" s="151" t="s">
        <v>42</v>
      </c>
      <c r="AB65" s="17" t="s">
        <v>586</v>
      </c>
      <c r="AC65" s="448">
        <v>7000</v>
      </c>
      <c r="AD65" s="28"/>
      <c r="AE65" s="317"/>
      <c r="AF65" s="28"/>
      <c r="AG65" s="28"/>
      <c r="AH65" s="46" t="s">
        <v>587</v>
      </c>
      <c r="AI65" s="193" t="str">
        <f t="array" ref="AI65">_xlfn.IFS(
AND(AE65="1st Quartile (Lowest 25%)",AG65="4th Quartile (Highest 25%)"),"Group 1",
AND(AE65="4th Quartile (Highest 25%)",AG65="1st Quartile (Lowest 25%)"),"Group 3",
OR(AE65="1st Quartile (Lowest 25%)",AE65="2nd Quartile (25–50%)"),"Group 2A (Low Stability)",
TRUE,"Group 2B (High Inflation)"
)</f>
        <v>Group 2B (High Inflation)</v>
      </c>
      <c r="AN65" t="str">
        <f t="array" ref="AN65">_xlfn.IFS(
AND(AE65="1st Quartile (Lowest 25%)",AG65="4th Quartile (Highest 25%)",K65&lt;=5),"Group 1 - Short",
AND(AE65="1st Quartile (Lowest 25%)",AG65="4th Quartile (Highest 25%)",K65&lt;10),"Group 1 - Medium",
AND(AE65="1st Quartile (Lowest 25%)",AG65="4th Quartile (Highest 25%)",TRUE),"Group 1 - Long",
AND(AE65="4th Quartile (Highest 25%)",AG65="1st Quartile (Lowest 25%)",K65&lt;=5),"Group 3 - Short",
AND(AE65="4th Quartile (Highest 25%)",AG65="1st Quartile (Lowest 25%)",K65&lt;10),"Group 3 - Medium",
AND(AE65="4th Quartile (Highest 25%)",AG65="1st Quartile (Lowest 25%)",TRUE),"Group 3 - Long",
AND(OR(AE65="1st Quartile (Lowest 25%)",AE65="2nd Quartile (25–50%)"),K65&lt;=5),"Group 2A - Short",
AND(OR(AE65="1st Quartile (Lowest 25%)",AE65="2nd Quartile (25–50%)"),K65&lt;10),"Group 2A - Medium",
AND(OR(AE65="1st Quartile (Lowest 25%)",AE65="2nd Quartile (25–50%)"),TRUE),"Group 2A - Long",
K65&lt;=5,"Group 2B - Short",
K65&lt;10,"Group 2B - Medium",
TRUE,"Group 2B - Long"
)</f>
        <v>Group 2B - Short</v>
      </c>
    </row>
    <row r="66" spans="1:55" ht="14.45" customHeight="1" x14ac:dyDescent="0.25">
      <c r="A66" t="s">
        <v>315</v>
      </c>
      <c r="B66" t="s">
        <v>316</v>
      </c>
      <c r="C66" s="29" t="s">
        <v>137</v>
      </c>
      <c r="D66" t="s">
        <v>317</v>
      </c>
      <c r="E66" t="s">
        <v>318</v>
      </c>
      <c r="G66" t="s">
        <v>319</v>
      </c>
      <c r="H66" s="46" t="e" vm="26">
        <v>#VALUE!</v>
      </c>
      <c r="I66">
        <v>2012</v>
      </c>
      <c r="J66">
        <v>2015</v>
      </c>
      <c r="K66">
        <f t="shared" si="1"/>
        <v>3</v>
      </c>
      <c r="L66" s="148" t="s">
        <v>39</v>
      </c>
      <c r="M66" s="66" t="s">
        <v>611</v>
      </c>
      <c r="N66" s="448">
        <v>30000000</v>
      </c>
      <c r="O66" s="448">
        <f>Table9[[#This Row],[Cost (USD)]]/Table9[[#This Row],[Programme Length]]</f>
        <v>10000000</v>
      </c>
      <c r="P66" s="46" t="str">
        <f t="array" ref="P66">IF(N66=0,"N/A",
_xlfn.IFS(
N66&lt;=$BC$6,"1st Quartile (Lowest 25%)",
N66&lt;=$BD$6,"2nd Quartile (25–50%)",
N66&lt;=$BE$6,"3rd Quartile (50–75%)",
TRUE,"4th Quartile (Highest 25%)"
))</f>
        <v>3rd Quartile (50–75%)</v>
      </c>
      <c r="Q66" s="130">
        <v>188.1985</v>
      </c>
      <c r="R66" s="13">
        <f>IFERROR(Q66/AC66,"")</f>
        <v>2.4128012820512822E-2</v>
      </c>
      <c r="S66" s="13">
        <v>0.52716666666666656</v>
      </c>
      <c r="T66" s="13"/>
      <c r="U66" s="13"/>
      <c r="V66" s="130">
        <v>447.76119402985069</v>
      </c>
      <c r="W66" s="130">
        <v>2233.333333333333</v>
      </c>
      <c r="X66" s="130">
        <v>254237.2881355932</v>
      </c>
      <c r="Y66" s="130">
        <v>3.9333333333333331</v>
      </c>
      <c r="Z66" s="13">
        <v>1.0677128233333331</v>
      </c>
      <c r="AA66" s="151" t="s">
        <v>49</v>
      </c>
      <c r="AB66" s="17" t="s">
        <v>583</v>
      </c>
      <c r="AC66" s="448">
        <v>7800</v>
      </c>
      <c r="AD66" s="28">
        <f>'VfM MSD Mastersheet'!$O51</f>
        <v>-0.46847647625587097</v>
      </c>
      <c r="AE66" s="317" t="str">
        <f t="array" ref="AE66">_xlfn.IFS(
AD66&lt;=$BC$3,"1st Quartile (Lowest 25%)",
AD66&lt;=$BD$3,"2nd Quartile (25–50%)",
AD66&lt;=$BE$3,"3rd Quartile (50–75%)",
TRUE,"4th Quartile (Highest 25%)"
)</f>
        <v>3rd Quartile (50–75%)</v>
      </c>
      <c r="AF66" s="13">
        <f>'VfM MSD Mastersheet'!$P51</f>
        <v>4.200131286015746</v>
      </c>
      <c r="AG66" s="317" t="str">
        <f t="array" ref="AG66">_xlfn.IFS(
AF66&lt;=$BC$4,"1st Quartile (Lowest 25%)",
AF66&lt;=$BD$4,"2nd Quartile (25–50%)",
AF66&lt;=$BE$4,"3rd Quartile (50–75%)",
TRUE,"4th Quartile (Highest 25%)"
)</f>
        <v>1st Quartile (Lowest 25%)</v>
      </c>
      <c r="AH66" s="46" t="s">
        <v>674</v>
      </c>
      <c r="AI66" s="193" t="str">
        <f t="array" ref="AI66">_xlfn.IFS(
AND(AE66="1st Quartile (Lowest 25%)",AG66="4th Quartile (Highest 25%)"),"Group 1",
AND(AE66="4th Quartile (Highest 25%)",AG66="1st Quartile (Lowest 25%)"),"Group 3",
OR(AE66="1st Quartile (Lowest 25%)",AE66="2nd Quartile (25–50%)"),"Group 2A (Low Stability)",
TRUE,"Group 2B (High Inflation)"
)</f>
        <v>Group 2B (High Inflation)</v>
      </c>
      <c r="AN66" t="str">
        <f t="array" ref="AN66">_xlfn.IFS(
AND(AE66="1st Quartile (Lowest 25%)",AG66="4th Quartile (Highest 25%)",K66&lt;=5),"Group 1 - Short",
AND(AE66="1st Quartile (Lowest 25%)",AG66="4th Quartile (Highest 25%)",K66&lt;10),"Group 1 - Medium",
AND(AE66="1st Quartile (Lowest 25%)",AG66="4th Quartile (Highest 25%)",TRUE),"Group 1 - Long",
AND(AE66="4th Quartile (Highest 25%)",AG66="1st Quartile (Lowest 25%)",K66&lt;=5),"Group 3 - Short",
AND(AE66="4th Quartile (Highest 25%)",AG66="1st Quartile (Lowest 25%)",K66&lt;10),"Group 3 - Medium",
AND(AE66="4th Quartile (Highest 25%)",AG66="1st Quartile (Lowest 25%)",TRUE),"Group 3 - Long",
AND(OR(AE66="1st Quartile (Lowest 25%)",AE66="2nd Quartile (25–50%)"),K66&lt;=5),"Group 2A - Short",
AND(OR(AE66="1st Quartile (Lowest 25%)",AE66="2nd Quartile (25–50%)"),K66&lt;10),"Group 2A - Medium",
AND(OR(AE66="1st Quartile (Lowest 25%)",AE66="2nd Quartile (25–50%)"),TRUE),"Group 2A - Long",
K66&lt;=5,"Group 2B - Short",
K66&lt;10,"Group 2B - Medium",
TRUE,"Group 2B - Long"
)</f>
        <v>Group 2B - Short</v>
      </c>
    </row>
    <row r="67" spans="1:55" ht="14.45" customHeight="1" x14ac:dyDescent="0.25">
      <c r="A67" t="s">
        <v>321</v>
      </c>
      <c r="B67" t="s">
        <v>322</v>
      </c>
      <c r="C67" s="29" t="s">
        <v>171</v>
      </c>
      <c r="D67" s="251"/>
      <c r="E67" s="251"/>
      <c r="F67" s="251"/>
      <c r="G67" t="s">
        <v>230</v>
      </c>
      <c r="H67" s="46" t="e" vm="16">
        <v>#VALUE!</v>
      </c>
      <c r="I67">
        <v>2019</v>
      </c>
      <c r="J67">
        <v>2025</v>
      </c>
      <c r="K67">
        <f t="shared" si="1"/>
        <v>6</v>
      </c>
      <c r="L67" s="148" t="s">
        <v>39</v>
      </c>
      <c r="M67" s="66" t="s">
        <v>617</v>
      </c>
      <c r="N67" s="448">
        <v>30847650</v>
      </c>
      <c r="O67" s="448">
        <f>Table9[[#This Row],[Cost (USD)]]/Table9[[#This Row],[Programme Length]]</f>
        <v>5141275</v>
      </c>
      <c r="P67" s="46" t="str">
        <f t="array" ref="P67">IF(N67=0,"N/A",
_xlfn.IFS(
N67&lt;=$BC$6,"1st Quartile (Lowest 25%)",
N67&lt;=$BD$6,"2nd Quartile (25–50%)",
N67&lt;=$BE$6,"3rd Quartile (50–75%)",
TRUE,"4th Quartile (Highest 25%)"
))</f>
        <v>4th Quartile (Highest 25%)</v>
      </c>
      <c r="Q67" s="13"/>
      <c r="R67" s="13"/>
      <c r="S67" s="13">
        <v>1.4768966841882609</v>
      </c>
      <c r="T67" s="13">
        <v>2.400082340145846</v>
      </c>
      <c r="U67" s="13"/>
      <c r="V67" s="130">
        <v>13222.31033004715</v>
      </c>
      <c r="W67" s="130">
        <v>75.629748133164114</v>
      </c>
      <c r="X67" s="130">
        <v>419.0232008476188</v>
      </c>
      <c r="Y67" s="130">
        <v>2386.5026995573412</v>
      </c>
      <c r="Z67" s="13"/>
      <c r="AA67" s="151" t="s">
        <v>49</v>
      </c>
      <c r="AB67" s="17" t="s">
        <v>586</v>
      </c>
      <c r="AC67" s="448">
        <v>3200</v>
      </c>
      <c r="AD67" s="28">
        <f>'VfM MSD Mastersheet'!$O74</f>
        <v>-2.0746684074401869</v>
      </c>
      <c r="AE67" s="317" t="str">
        <f t="array" ref="AE67">_xlfn.IFS(
AD67&lt;=$BC$3,"1st Quartile (Lowest 25%)",
AD67&lt;=$BD$3,"2nd Quartile (25–50%)",
AD67&lt;=$BE$3,"3rd Quartile (50–75%)",
TRUE,"4th Quartile (Highest 25%)"
)</f>
        <v>1st Quartile (Lowest 25%)</v>
      </c>
      <c r="AF67" s="13">
        <f>'VfM MSD Mastersheet'!$P74</f>
        <v>27.996493934290239</v>
      </c>
      <c r="AG67" s="318" t="str">
        <f t="array" ref="AG67">_xlfn.IFS(
AF67&lt;=$BC$4,"1st Quartile (Lowest 25%)",
AF67&lt;=$BD$4,"2nd Quartile (25–50%)",
AF67&lt;=$BE$4,"3rd Quartile (50–75%)",
TRUE,"4th Quartile (Highest 25%)"
)</f>
        <v>4th Quartile (Highest 25%)</v>
      </c>
      <c r="AH67" s="46" t="s">
        <v>674</v>
      </c>
      <c r="AI67" s="193" t="str">
        <f t="array" ref="AI67">_xlfn.IFS(
AND(AE67="1st Quartile (Lowest 25%)",AG67="4th Quartile (Highest 25%)"),"Group 1",
AND(AE67="4th Quartile (Highest 25%)",AG67="1st Quartile (Lowest 25%)"),"Group 3",
OR(AE67="1st Quartile (Lowest 25%)",AE67="2nd Quartile (25–50%)"),"Group 2A (Low Stability)",
TRUE,"Group 2B (High Inflation)"
)</f>
        <v>Group 1</v>
      </c>
      <c r="AN67" t="str">
        <f t="array" ref="AN67">_xlfn.IFS(
AND(AE67="1st Quartile (Lowest 25%)",AG67="4th Quartile (Highest 25%)",K67&lt;=5),"Group 1 - Short",
AND(AE67="1st Quartile (Lowest 25%)",AG67="4th Quartile (Highest 25%)",K67&lt;10),"Group 1 - Medium",
AND(AE67="1st Quartile (Lowest 25%)",AG67="4th Quartile (Highest 25%)",TRUE),"Group 1 - Long",
AND(AE67="4th Quartile (Highest 25%)",AG67="1st Quartile (Lowest 25%)",K67&lt;=5),"Group 3 - Short",
AND(AE67="4th Quartile (Highest 25%)",AG67="1st Quartile (Lowest 25%)",K67&lt;10),"Group 3 - Medium",
AND(AE67="4th Quartile (Highest 25%)",AG67="1st Quartile (Lowest 25%)",TRUE),"Group 3 - Long",
AND(OR(AE67="1st Quartile (Lowest 25%)",AE67="2nd Quartile (25–50%)"),K67&lt;=5),"Group 2A - Short",
AND(OR(AE67="1st Quartile (Lowest 25%)",AE67="2nd Quartile (25–50%)"),K67&lt;10),"Group 2A - Medium",
AND(OR(AE67="1st Quartile (Lowest 25%)",AE67="2nd Quartile (25–50%)"),TRUE),"Group 2A - Long",
K67&lt;=5,"Group 2B - Short",
K67&lt;10,"Group 2B - Medium",
TRUE,"Group 2B - Long"
)</f>
        <v>Group 1 - Medium</v>
      </c>
    </row>
    <row r="68" spans="1:55" ht="14.45" customHeight="1" x14ac:dyDescent="0.25">
      <c r="A68" t="s">
        <v>550</v>
      </c>
      <c r="B68" t="s">
        <v>324</v>
      </c>
      <c r="C68" s="29" t="s">
        <v>171</v>
      </c>
      <c r="G68" t="s">
        <v>182</v>
      </c>
      <c r="H68" s="46" t="e" vm="30">
        <v>#VALUE!</v>
      </c>
      <c r="I68">
        <v>2021</v>
      </c>
      <c r="J68">
        <v>2025</v>
      </c>
      <c r="K68">
        <f t="shared" si="1"/>
        <v>4</v>
      </c>
      <c r="L68" s="148" t="s">
        <v>39</v>
      </c>
      <c r="M68" s="66" t="s">
        <v>616</v>
      </c>
      <c r="N68" s="448">
        <v>31391192</v>
      </c>
      <c r="O68" s="448">
        <f>Table9[[#This Row],[Cost (USD)]]/Table9[[#This Row],[Programme Length]]</f>
        <v>7847798</v>
      </c>
      <c r="P68" s="46" t="str">
        <f t="array" ref="P68">IF(N68=0,"N/A",
_xlfn.IFS(
N68&lt;=$BC$6,"1st Quartile (Lowest 25%)",
N68&lt;=$BD$6,"2nd Quartile (25–50%)",
N68&lt;=$BE$6,"3rd Quartile (50–75%)",
TRUE,"4th Quartile (Highest 25%)"
))</f>
        <v>4th Quartile (Highest 25%)</v>
      </c>
      <c r="Q68" s="13"/>
      <c r="R68" s="13"/>
      <c r="S68" s="13">
        <v>0.13589120795412929</v>
      </c>
      <c r="T68" s="13">
        <v>3.9781127139103221E-2</v>
      </c>
      <c r="U68" s="13"/>
      <c r="V68" s="130"/>
      <c r="W68" s="130"/>
      <c r="X68" s="130">
        <v>167.49562201531359</v>
      </c>
      <c r="Y68" s="130">
        <v>5970.3053009264513</v>
      </c>
      <c r="Z68" s="13"/>
      <c r="AA68" s="151" t="s">
        <v>42</v>
      </c>
      <c r="AB68" s="17" t="s">
        <v>586</v>
      </c>
      <c r="AC68" s="448">
        <v>4000</v>
      </c>
      <c r="AD68" s="28">
        <f>'VfM MSD Mastersheet'!$O69</f>
        <v>-0.39038239725466284</v>
      </c>
      <c r="AE68" s="318" t="str">
        <f t="array" ref="AE68">_xlfn.IFS(
AD68&lt;=$BC$3,"1st Quartile (Lowest 25%)",
AD68&lt;=$BD$3,"2nd Quartile (25–50%)",
AD68&lt;=$BE$3,"3rd Quartile (50–75%)",
TRUE,"4th Quartile (Highest 25%)"
)</f>
        <v>3rd Quartile (50–75%)</v>
      </c>
      <c r="AF68" s="13">
        <f>'VfM MSD Mastersheet'!$P69</f>
        <v>9.3636150801567233</v>
      </c>
      <c r="AG68" s="318" t="str">
        <f t="array" ref="AG68">_xlfn.IFS(
AF68&lt;=$BC$4,"1st Quartile (Lowest 25%)",
AF68&lt;=$BD$4,"2nd Quartile (25–50%)",
AF68&lt;=$BE$4,"3rd Quartile (50–75%)",
TRUE,"4th Quartile (Highest 25%)"
)</f>
        <v>4th Quartile (Highest 25%)</v>
      </c>
      <c r="AH68" s="46" t="s">
        <v>587</v>
      </c>
      <c r="AI68" s="193" t="str">
        <f t="array" ref="AI68">_xlfn.IFS(
AND(AE68="1st Quartile (Lowest 25%)",AG68="4th Quartile (Highest 25%)"),"Group 1",
AND(AE68="4th Quartile (Highest 25%)",AG68="1st Quartile (Lowest 25%)"),"Group 3",
OR(AE68="1st Quartile (Lowest 25%)",AE68="2nd Quartile (25–50%)"),"Group 2A (Low Stability)",
TRUE,"Group 2B (High Inflation)"
)</f>
        <v>Group 2B (High Inflation)</v>
      </c>
      <c r="AN68" t="str">
        <f t="array" ref="AN68">_xlfn.IFS(
AND(AE68="1st Quartile (Lowest 25%)",AG68="4th Quartile (Highest 25%)",K68&lt;=5),"Group 1 - Short",
AND(AE68="1st Quartile (Lowest 25%)",AG68="4th Quartile (Highest 25%)",K68&lt;10),"Group 1 - Medium",
AND(AE68="1st Quartile (Lowest 25%)",AG68="4th Quartile (Highest 25%)",TRUE),"Group 1 - Long",
AND(AE68="4th Quartile (Highest 25%)",AG68="1st Quartile (Lowest 25%)",K68&lt;=5),"Group 3 - Short",
AND(AE68="4th Quartile (Highest 25%)",AG68="1st Quartile (Lowest 25%)",K68&lt;10),"Group 3 - Medium",
AND(AE68="4th Quartile (Highest 25%)",AG68="1st Quartile (Lowest 25%)",TRUE),"Group 3 - Long",
AND(OR(AE68="1st Quartile (Lowest 25%)",AE68="2nd Quartile (25–50%)"),K68&lt;=5),"Group 2A - Short",
AND(OR(AE68="1st Quartile (Lowest 25%)",AE68="2nd Quartile (25–50%)"),K68&lt;10),"Group 2A - Medium",
AND(OR(AE68="1st Quartile (Lowest 25%)",AE68="2nd Quartile (25–50%)"),TRUE),"Group 2A - Long",
K68&lt;=5,"Group 2B - Short",
K68&lt;10,"Group 2B - Medium",
TRUE,"Group 2B - Long"
)</f>
        <v>Group 2B - Short</v>
      </c>
    </row>
    <row r="69" spans="1:55" ht="14.45" customHeight="1" x14ac:dyDescent="0.25">
      <c r="A69" t="s">
        <v>325</v>
      </c>
      <c r="B69" t="s">
        <v>326</v>
      </c>
      <c r="C69" s="29" t="s">
        <v>104</v>
      </c>
      <c r="D69" s="17" t="s">
        <v>327</v>
      </c>
      <c r="E69" s="17"/>
      <c r="F69" s="17"/>
      <c r="G69" s="17" t="s">
        <v>53</v>
      </c>
      <c r="H69" s="354" t="s">
        <v>328</v>
      </c>
      <c r="I69">
        <v>2008</v>
      </c>
      <c r="J69">
        <v>2026</v>
      </c>
      <c r="K69">
        <f t="shared" si="1"/>
        <v>18</v>
      </c>
      <c r="L69" t="s">
        <v>39</v>
      </c>
      <c r="M69" s="63" t="s">
        <v>329</v>
      </c>
      <c r="N69" s="448">
        <v>31665500</v>
      </c>
      <c r="O69" s="448">
        <f>Table9[[#This Row],[Cost (USD)]]/Table9[[#This Row],[Programme Length]]</f>
        <v>1759194.4444444445</v>
      </c>
      <c r="P69" s="354" t="str">
        <f t="array" ref="P69">IF(N69=0,"N/A",
_xlfn.IFS(
N69&lt;=$BC$6,"1st Quartile (Lowest 25%)",
N69&lt;=$BD$6,"2nd Quartile (25–50%)",
N69&lt;=$BE$6,"3rd Quartile (50–75%)",
TRUE,"4th Quartile (Highest 25%)"
))</f>
        <v>4th Quartile (Highest 25%)</v>
      </c>
      <c r="Q69" s="32">
        <v>53.93589060488091</v>
      </c>
      <c r="R69" s="28">
        <f>IFERROR(Q69/AC69,"")</f>
        <v>2.5683757430895672E-3</v>
      </c>
      <c r="S69" s="28"/>
      <c r="T69" s="28"/>
      <c r="U69" s="28">
        <v>4.1676272283715718E-2</v>
      </c>
      <c r="V69" s="32">
        <v>22962.65409717186</v>
      </c>
      <c r="W69" s="32">
        <v>43.548972856894729</v>
      </c>
      <c r="X69" s="32">
        <v>61.714331375292829</v>
      </c>
      <c r="Y69" s="32">
        <v>16203.69171495792</v>
      </c>
      <c r="Z69" s="28">
        <v>1.1310176817040629</v>
      </c>
      <c r="AA69" s="63" t="s">
        <v>49</v>
      </c>
      <c r="AB69" s="17" t="s">
        <v>589</v>
      </c>
      <c r="AC69" s="448">
        <v>21000</v>
      </c>
      <c r="AD69" s="28">
        <f>'VfM MSD Mastersheet'!$O62</f>
        <v>-0.46727849046389286</v>
      </c>
      <c r="AE69" s="317" t="str">
        <f t="array" ref="AE69">_xlfn.IFS(
AD69&lt;=$BC$3,"1st Quartile (Lowest 25%)",
AD69&lt;=$BD$3,"2nd Quartile (25–50%)",
AD69&lt;=$BE$3,"3rd Quartile (50–75%)",
TRUE,"4th Quartile (Highest 25%)"
)</f>
        <v>3rd Quartile (50–75%)</v>
      </c>
      <c r="AF69" s="13">
        <f>'VfM MSD Mastersheet'!$P62</f>
        <v>4.0722386049769161</v>
      </c>
      <c r="AG69" s="317" t="str">
        <f t="array" ref="AG69">_xlfn.IFS(
AF69&lt;=$BC$4,"1st Quartile (Lowest 25%)",
AF69&lt;=$BD$4,"2nd Quartile (25–50%)",
AF69&lt;=$BE$4,"3rd Quartile (50–75%)",
TRUE,"4th Quartile (Highest 25%)"
)</f>
        <v>1st Quartile (Lowest 25%)</v>
      </c>
      <c r="AH69" s="46" t="s">
        <v>673</v>
      </c>
      <c r="AI69" s="193" t="str">
        <f t="array" ref="AI69">_xlfn.IFS(
AND(AE69="1st Quartile (Lowest 25%)",AG69="4th Quartile (Highest 25%)"),"Group 1",
AND(AE69="4th Quartile (Highest 25%)",AG69="1st Quartile (Lowest 25%)"),"Group 3",
OR(AE69="1st Quartile (Lowest 25%)",AE69="2nd Quartile (25–50%)"),"Group 2A (Low Stability)",
TRUE,"Group 2B (High Inflation)"
)</f>
        <v>Group 2B (High Inflation)</v>
      </c>
      <c r="AN69" t="str">
        <f t="array" ref="AN69">_xlfn.IFS(
AND(AE69="1st Quartile (Lowest 25%)",AG69="4th Quartile (Highest 25%)",K69&lt;=5),"Group 1 - Short",
AND(AE69="1st Quartile (Lowest 25%)",AG69="4th Quartile (Highest 25%)",K69&lt;10),"Group 1 - Medium",
AND(AE69="1st Quartile (Lowest 25%)",AG69="4th Quartile (Highest 25%)",TRUE),"Group 1 - Long",
AND(AE69="4th Quartile (Highest 25%)",AG69="1st Quartile (Lowest 25%)",K69&lt;=5),"Group 3 - Short",
AND(AE69="4th Quartile (Highest 25%)",AG69="1st Quartile (Lowest 25%)",K69&lt;10),"Group 3 - Medium",
AND(AE69="4th Quartile (Highest 25%)",AG69="1st Quartile (Lowest 25%)",TRUE),"Group 3 - Long",
AND(OR(AE69="1st Quartile (Lowest 25%)",AE69="2nd Quartile (25–50%)"),K69&lt;=5),"Group 2A - Short",
AND(OR(AE69="1st Quartile (Lowest 25%)",AE69="2nd Quartile (25–50%)"),K69&lt;10),"Group 2A - Medium",
AND(OR(AE69="1st Quartile (Lowest 25%)",AE69="2nd Quartile (25–50%)"),TRUE),"Group 2A - Long",
K69&lt;=5,"Group 2B - Short",
K69&lt;10,"Group 2B - Medium",
TRUE,"Group 2B - Long"
)</f>
        <v>Group 2B - Long</v>
      </c>
    </row>
    <row r="70" spans="1:55" ht="14.45" customHeight="1" x14ac:dyDescent="0.25">
      <c r="A70" t="s">
        <v>341</v>
      </c>
      <c r="B70" t="s">
        <v>342</v>
      </c>
      <c r="C70" s="4" t="s">
        <v>171</v>
      </c>
      <c r="G70" t="s">
        <v>230</v>
      </c>
      <c r="H70" s="46" t="e" vm="8">
        <v>#VALUE!</v>
      </c>
      <c r="I70">
        <v>2013</v>
      </c>
      <c r="J70">
        <v>2019</v>
      </c>
      <c r="K70">
        <f t="shared" si="1"/>
        <v>6</v>
      </c>
      <c r="L70" t="s">
        <v>39</v>
      </c>
      <c r="M70" s="63" t="s">
        <v>594</v>
      </c>
      <c r="N70" s="448">
        <v>34200000</v>
      </c>
      <c r="O70" s="448">
        <f>Table9[[#This Row],[Cost (USD)]]/Table9[[#This Row],[Programme Length]]</f>
        <v>5700000</v>
      </c>
      <c r="P70" s="354" t="str">
        <f t="array" ref="P70">IF(N70=0,"N/A",
_xlfn.IFS(
N70&lt;=$BC$6,"1st Quartile (Lowest 25%)",
N70&lt;=$BD$6,"2nd Quartile (25–50%)",
N70&lt;=$BE$6,"3rd Quartile (50–75%)",
TRUE,"4th Quartile (Highest 25%)"
))</f>
        <v>4th Quartile (Highest 25%)</v>
      </c>
      <c r="Q70" s="32">
        <v>87.461244316931172</v>
      </c>
      <c r="R70" s="28">
        <f>IFERROR(Q70/AC70,"")</f>
        <v>9.4044348727882979E-3</v>
      </c>
      <c r="S70" s="28">
        <v>0.56052631578947365</v>
      </c>
      <c r="T70" s="28">
        <v>3.4210526315789469</v>
      </c>
      <c r="U70" s="28"/>
      <c r="V70" s="32">
        <v>306.28145653848219</v>
      </c>
      <c r="W70" s="32">
        <v>3264.9707602339181</v>
      </c>
      <c r="X70" s="32"/>
      <c r="Y70" s="32"/>
      <c r="Z70" s="28">
        <v>0.78617684990253411</v>
      </c>
      <c r="AA70" s="63" t="s">
        <v>49</v>
      </c>
      <c r="AB70" s="17" t="s">
        <v>583</v>
      </c>
      <c r="AC70" s="448">
        <v>9300</v>
      </c>
      <c r="AD70" s="28">
        <f>'VfM MSD Mastersheet'!$O49</f>
        <v>-0.73671676218509685</v>
      </c>
      <c r="AE70" s="317" t="str">
        <f t="array" ref="AE70">_xlfn.IFS(
AD70&lt;=$BC$3,"1st Quartile (Lowest 25%)",
AD70&lt;=$BD$3,"2nd Quartile (25–50%)",
AD70&lt;=$BE$3,"3rd Quartile (50–75%)",
TRUE,"4th Quartile (Highest 25%)"
)</f>
        <v>2nd Quartile (25–50%)</v>
      </c>
      <c r="AF70" s="13">
        <f>'VfM MSD Mastersheet'!$P49</f>
        <v>6.11535740701283</v>
      </c>
      <c r="AG70" s="317" t="str">
        <f t="array" ref="AG70">_xlfn.IFS(
AF70&lt;=$BC$4,"1st Quartile (Lowest 25%)",
AF70&lt;=$BD$4,"2nd Quartile (25–50%)",
AF70&lt;=$BE$4,"3rd Quartile (50–75%)",
TRUE,"4th Quartile (Highest 25%)"
)</f>
        <v>2nd Quartile (25–50%)</v>
      </c>
      <c r="AH70" s="46" t="s">
        <v>674</v>
      </c>
      <c r="AI70" s="193" t="str">
        <f t="array" ref="AI70">_xlfn.IFS(
AND(AE70="1st Quartile (Lowest 25%)",AG70="4th Quartile (Highest 25%)"),"Group 1",
AND(AE70="4th Quartile (Highest 25%)",AG70="1st Quartile (Lowest 25%)"),"Group 3",
OR(AE70="1st Quartile (Lowest 25%)",AE70="2nd Quartile (25–50%)"),"Group 2A (Low Stability)",
TRUE,"Group 2B (High Inflation)"
)</f>
        <v>Group 2A (Low Stability)</v>
      </c>
      <c r="AN70" t="str">
        <f t="array" ref="AN70">_xlfn.IFS(
AND(AE70="1st Quartile (Lowest 25%)",AG70="4th Quartile (Highest 25%)",K70&lt;=5),"Group 1 - Short",
AND(AE70="1st Quartile (Lowest 25%)",AG70="4th Quartile (Highest 25%)",K70&lt;10),"Group 1 - Medium",
AND(AE70="1st Quartile (Lowest 25%)",AG70="4th Quartile (Highest 25%)",TRUE),"Group 1 - Long",
AND(AE70="4th Quartile (Highest 25%)",AG70="1st Quartile (Lowest 25%)",K70&lt;=5),"Group 3 - Short",
AND(AE70="4th Quartile (Highest 25%)",AG70="1st Quartile (Lowest 25%)",K70&lt;10),"Group 3 - Medium",
AND(AE70="4th Quartile (Highest 25%)",AG70="1st Quartile (Lowest 25%)",TRUE),"Group 3 - Long",
AND(OR(AE70="1st Quartile (Lowest 25%)",AE70="2nd Quartile (25–50%)"),K70&lt;=5),"Group 2A - Short",
AND(OR(AE70="1st Quartile (Lowest 25%)",AE70="2nd Quartile (25–50%)"),K70&lt;10),"Group 2A - Medium",
AND(OR(AE70="1st Quartile (Lowest 25%)",AE70="2nd Quartile (25–50%)"),TRUE),"Group 2A - Long",
K70&lt;=5,"Group 2B - Short",
K70&lt;10,"Group 2B - Medium",
TRUE,"Group 2B - Long"
)</f>
        <v>Group 2A - Medium</v>
      </c>
    </row>
    <row r="71" spans="1:55" ht="14.45" customHeight="1" x14ac:dyDescent="0.25">
      <c r="A71" t="s">
        <v>551</v>
      </c>
      <c r="B71" t="s">
        <v>345</v>
      </c>
      <c r="C71" s="29" t="s">
        <v>171</v>
      </c>
      <c r="G71" t="s">
        <v>182</v>
      </c>
      <c r="H71" s="46" t="e" vm="31">
        <v>#VALUE!</v>
      </c>
      <c r="I71">
        <v>2022</v>
      </c>
      <c r="J71">
        <v>2025</v>
      </c>
      <c r="K71">
        <f t="shared" si="1"/>
        <v>3</v>
      </c>
      <c r="L71" t="s">
        <v>39</v>
      </c>
      <c r="M71" s="66" t="s">
        <v>616</v>
      </c>
      <c r="N71" s="448">
        <v>35858073</v>
      </c>
      <c r="O71" s="448">
        <f>Table9[[#This Row],[Cost (USD)]]/Table9[[#This Row],[Programme Length]]</f>
        <v>11952691</v>
      </c>
      <c r="P71" s="46" t="str">
        <f t="array" ref="P71">IF(N71=0,"N/A",
_xlfn.IFS(
N71&lt;=$BC$6,"1st Quartile (Lowest 25%)",
N71&lt;=$BD$6,"2nd Quartile (25–50%)",
N71&lt;=$BE$6,"3rd Quartile (50–75%)",
TRUE,"4th Quartile (Highest 25%)"
))</f>
        <v>4th Quartile (Highest 25%)</v>
      </c>
      <c r="Q71" s="13"/>
      <c r="R71" s="13"/>
      <c r="S71" s="13">
        <v>8.3336882046059749E-4</v>
      </c>
      <c r="T71" s="13">
        <v>1.959925063457816</v>
      </c>
      <c r="U71" s="13"/>
      <c r="V71" s="130"/>
      <c r="W71" s="130"/>
      <c r="X71" s="130">
        <v>313.50224254452303</v>
      </c>
      <c r="Y71" s="130">
        <v>3189.769846249128</v>
      </c>
      <c r="Z71" s="13"/>
      <c r="AA71" s="151" t="s">
        <v>49</v>
      </c>
      <c r="AB71" s="17" t="s">
        <v>583</v>
      </c>
      <c r="AC71" s="448">
        <v>7600</v>
      </c>
      <c r="AD71" s="28">
        <f>'VfM MSD Mastersheet'!$O70</f>
        <v>-1.9917204082012188</v>
      </c>
      <c r="AE71" s="318" t="str">
        <f t="array" ref="AE71">_xlfn.IFS(
AD71&lt;=$BC$3,"1st Quartile (Lowest 25%)",
AD71&lt;=$BD$3,"2nd Quartile (25–50%)",
AD71&lt;=$BE$3,"3rd Quartile (50–75%)",
TRUE,"4th Quartile (Highest 25%)"
)</f>
        <v>1st Quartile (Lowest 25%)</v>
      </c>
      <c r="AF71" s="13">
        <f>'VfM MSD Mastersheet'!$P70</f>
        <v>11.81112442224857</v>
      </c>
      <c r="AG71" s="318" t="str">
        <f t="array" ref="AG71">_xlfn.IFS(
AF71&lt;=$BC$4,"1st Quartile (Lowest 25%)",
AF71&lt;=$BD$4,"2nd Quartile (25–50%)",
AF71&lt;=$BE$4,"3rd Quartile (50–75%)",
TRUE,"4th Quartile (Highest 25%)"
)</f>
        <v>4th Quartile (Highest 25%)</v>
      </c>
      <c r="AH71" s="46" t="s">
        <v>673</v>
      </c>
      <c r="AI71" s="193" t="str">
        <f t="array" ref="AI71">_xlfn.IFS(
AND(AE71="1st Quartile (Lowest 25%)",AG71="4th Quartile (Highest 25%)"),"Group 1",
AND(AE71="4th Quartile (Highest 25%)",AG71="1st Quartile (Lowest 25%)"),"Group 3",
OR(AE71="1st Quartile (Lowest 25%)",AE71="2nd Quartile (25–50%)"),"Group 2A (Low Stability)",
TRUE,"Group 2B (High Inflation)"
)</f>
        <v>Group 1</v>
      </c>
      <c r="AN71" t="str">
        <f t="array" ref="AN71">_xlfn.IFS(
AND(AE71="1st Quartile (Lowest 25%)",AG71="4th Quartile (Highest 25%)",K71&lt;=5),"Group 1 - Short",
AND(AE71="1st Quartile (Lowest 25%)",AG71="4th Quartile (Highest 25%)",K71&lt;10),"Group 1 - Medium",
AND(AE71="1st Quartile (Lowest 25%)",AG71="4th Quartile (Highest 25%)",TRUE),"Group 1 - Long",
AND(AE71="4th Quartile (Highest 25%)",AG71="1st Quartile (Lowest 25%)",K71&lt;=5),"Group 3 - Short",
AND(AE71="4th Quartile (Highest 25%)",AG71="1st Quartile (Lowest 25%)",K71&lt;10),"Group 3 - Medium",
AND(AE71="4th Quartile (Highest 25%)",AG71="1st Quartile (Lowest 25%)",TRUE),"Group 3 - Long",
AND(OR(AE71="1st Quartile (Lowest 25%)",AE71="2nd Quartile (25–50%)"),K71&lt;=5),"Group 2A - Short",
AND(OR(AE71="1st Quartile (Lowest 25%)",AE71="2nd Quartile (25–50%)"),K71&lt;10),"Group 2A - Medium",
AND(OR(AE71="1st Quartile (Lowest 25%)",AE71="2nd Quartile (25–50%)"),TRUE),"Group 2A - Long",
K71&lt;=5,"Group 2B - Short",
K71&lt;10,"Group 2B - Medium",
TRUE,"Group 2B - Long"
)</f>
        <v>Group 1 - Short</v>
      </c>
    </row>
    <row r="72" spans="1:55" ht="14.45" customHeight="1" x14ac:dyDescent="0.25">
      <c r="A72" t="s">
        <v>350</v>
      </c>
      <c r="B72" t="s">
        <v>351</v>
      </c>
      <c r="C72" s="29" t="s">
        <v>171</v>
      </c>
      <c r="G72" t="s">
        <v>53</v>
      </c>
      <c r="H72" s="46" t="e" vm="30">
        <v>#VALUE!</v>
      </c>
      <c r="I72">
        <v>2020</v>
      </c>
      <c r="J72">
        <v>2025</v>
      </c>
      <c r="K72">
        <f t="shared" si="1"/>
        <v>5</v>
      </c>
      <c r="L72" t="s">
        <v>39</v>
      </c>
      <c r="M72" s="66" t="s">
        <v>618</v>
      </c>
      <c r="N72" s="448">
        <v>45332270</v>
      </c>
      <c r="O72" s="448">
        <f>Table9[[#This Row],[Cost (USD)]]/Table9[[#This Row],[Programme Length]]</f>
        <v>9066454</v>
      </c>
      <c r="P72" s="46" t="str">
        <f t="array" ref="P72">IF(N72=0,"N/A",
_xlfn.IFS(
N72&lt;=$BC$6,"1st Quartile (Lowest 25%)",
N72&lt;=$BD$6,"2nd Quartile (25–50%)",
N72&lt;=$BE$6,"3rd Quartile (50–75%)",
TRUE,"4th Quartile (Highest 25%)"
))</f>
        <v>4th Quartile (Highest 25%)</v>
      </c>
      <c r="Q72" s="13"/>
      <c r="R72" s="13"/>
      <c r="S72" s="13">
        <v>3.8750673637124283E-2</v>
      </c>
      <c r="T72" s="13">
        <v>1.1209320865687951</v>
      </c>
      <c r="U72" s="13"/>
      <c r="V72" s="130">
        <v>80519.129662522202</v>
      </c>
      <c r="W72" s="130">
        <v>12.41940895525417</v>
      </c>
      <c r="X72" s="130"/>
      <c r="Y72" s="130"/>
      <c r="Z72" s="13"/>
      <c r="AA72" s="151" t="s">
        <v>42</v>
      </c>
      <c r="AB72" s="17" t="s">
        <v>586</v>
      </c>
      <c r="AC72" s="448">
        <v>4000</v>
      </c>
      <c r="AD72" s="28">
        <f>'VfM MSD Mastersheet'!$O77</f>
        <v>-0.41241648495197331</v>
      </c>
      <c r="AE72" s="317" t="str">
        <f t="array" ref="AE72">_xlfn.IFS(
AD72&lt;=$BC$3,"1st Quartile (Lowest 25%)",
AD72&lt;=$BD$3,"2nd Quartile (25–50%)",
AD72&lt;=$BE$3,"3rd Quartile (50–75%)",
TRUE,"4th Quartile (Highest 25%)"
)</f>
        <v>3rd Quartile (50–75%)</v>
      </c>
      <c r="AF72" s="13">
        <f>'VfM MSD Mastersheet'!$P77</f>
        <v>6.3292360646728643</v>
      </c>
      <c r="AG72" s="318" t="str">
        <f t="array" ref="AG72">_xlfn.IFS(
AF72&lt;=$BC$4,"1st Quartile (Lowest 25%)",
AF72&lt;=$BD$4,"2nd Quartile (25–50%)",
AF72&lt;=$BE$4,"3rd Quartile (50–75%)",
TRUE,"4th Quartile (Highest 25%)"
)</f>
        <v>3rd Quartile (50–75%)</v>
      </c>
      <c r="AH72" s="46" t="s">
        <v>587</v>
      </c>
      <c r="AI72" s="193" t="str">
        <f t="array" ref="AI72">_xlfn.IFS(
AND(AE72="1st Quartile (Lowest 25%)",AG72="4th Quartile (Highest 25%)"),"Group 1",
AND(AE72="4th Quartile (Highest 25%)",AG72="1st Quartile (Lowest 25%)"),"Group 3",
OR(AE72="1st Quartile (Lowest 25%)",AE72="2nd Quartile (25–50%)"),"Group 2A (Low Stability)",
TRUE,"Group 2B (High Inflation)"
)</f>
        <v>Group 2B (High Inflation)</v>
      </c>
      <c r="AN72" t="str">
        <f t="array" ref="AN72">_xlfn.IFS(
AND(AE72="1st Quartile (Lowest 25%)",AG72="4th Quartile (Highest 25%)",K72&lt;=5),"Group 1 - Short",
AND(AE72="1st Quartile (Lowest 25%)",AG72="4th Quartile (Highest 25%)",K72&lt;10),"Group 1 - Medium",
AND(AE72="1st Quartile (Lowest 25%)",AG72="4th Quartile (Highest 25%)",TRUE),"Group 1 - Long",
AND(AE72="4th Quartile (Highest 25%)",AG72="1st Quartile (Lowest 25%)",K72&lt;=5),"Group 3 - Short",
AND(AE72="4th Quartile (Highest 25%)",AG72="1st Quartile (Lowest 25%)",K72&lt;10),"Group 3 - Medium",
AND(AE72="4th Quartile (Highest 25%)",AG72="1st Quartile (Lowest 25%)",TRUE),"Group 3 - Long",
AND(OR(AE72="1st Quartile (Lowest 25%)",AE72="2nd Quartile (25–50%)"),K72&lt;=5),"Group 2A - Short",
AND(OR(AE72="1st Quartile (Lowest 25%)",AE72="2nd Quartile (25–50%)"),K72&lt;10),"Group 2A - Medium",
AND(OR(AE72="1st Quartile (Lowest 25%)",AE72="2nd Quartile (25–50%)"),TRUE),"Group 2A - Long",
K72&lt;=5,"Group 2B - Short",
K72&lt;10,"Group 2B - Medium",
TRUE,"Group 2B - Long"
)</f>
        <v>Group 2B - Short</v>
      </c>
    </row>
    <row r="73" spans="1:55" ht="14.45" customHeight="1" x14ac:dyDescent="0.25">
      <c r="A73" t="s">
        <v>352</v>
      </c>
      <c r="B73" t="s">
        <v>353</v>
      </c>
      <c r="C73" s="29" t="s">
        <v>171</v>
      </c>
      <c r="G73" t="s">
        <v>53</v>
      </c>
      <c r="H73" s="46" t="e" vm="3">
        <v>#VALUE!</v>
      </c>
      <c r="I73">
        <v>2019</v>
      </c>
      <c r="J73">
        <v>2025</v>
      </c>
      <c r="K73">
        <f>J73-I73-1</f>
        <v>5</v>
      </c>
      <c r="L73" t="s">
        <v>39</v>
      </c>
      <c r="M73" s="66" t="s">
        <v>602</v>
      </c>
      <c r="N73" s="448">
        <v>46913273</v>
      </c>
      <c r="O73" s="448">
        <f>Table9[[#This Row],[Cost (USD)]]/Table9[[#This Row],[Programme Length]]</f>
        <v>9382654.5999999996</v>
      </c>
      <c r="P73" s="46" t="str">
        <f t="array" ref="P73">IF(N73=0,"N/A",
_xlfn.IFS(
N73&lt;=$BC$6,"1st Quartile (Lowest 25%)",
N73&lt;=$BD$6,"2nd Quartile (25–50%)",
N73&lt;=$BE$6,"3rd Quartile (50–75%)",
TRUE,"4th Quartile (Highest 25%)"
))</f>
        <v>4th Quartile (Highest 25%)</v>
      </c>
      <c r="Q73" s="13">
        <v>2.54</v>
      </c>
      <c r="R73" s="13">
        <f>IFERROR(Q73/AC73,"")</f>
        <v>4.0317460317460316E-4</v>
      </c>
      <c r="S73" s="13">
        <v>0.81226860892865016</v>
      </c>
      <c r="T73" s="13">
        <v>2.0232579381106071</v>
      </c>
      <c r="U73" s="13"/>
      <c r="V73" s="130"/>
      <c r="W73" s="130"/>
      <c r="X73" s="130">
        <v>88.572931161109921</v>
      </c>
      <c r="Y73" s="130">
        <v>11290.131046708249</v>
      </c>
      <c r="Z73" s="13">
        <v>5.255148367073003E-2</v>
      </c>
      <c r="AA73" s="151" t="s">
        <v>42</v>
      </c>
      <c r="AB73" s="17" t="s">
        <v>583</v>
      </c>
      <c r="AC73" s="448">
        <v>6300</v>
      </c>
      <c r="AD73" s="28">
        <f>'VfM MSD Mastersheet'!$O78</f>
        <v>-0.4073436781764031</v>
      </c>
      <c r="AE73" s="317" t="str">
        <f t="array" ref="AE73">_xlfn.IFS(
AD73&lt;=$BC$3,"1st Quartile (Lowest 25%)",
AD73&lt;=$BD$3,"2nd Quartile (25–50%)",
AD73&lt;=$BE$3,"3rd Quartile (50–75%)",
TRUE,"4th Quartile (Highest 25%)"
)</f>
        <v>3rd Quartile (50–75%)</v>
      </c>
      <c r="AF73" s="13">
        <f>'VfM MSD Mastersheet'!$P78</f>
        <v>5.6886677341432357</v>
      </c>
      <c r="AG73" s="318" t="str">
        <f t="array" ref="AG73">_xlfn.IFS(
AF73&lt;=$BC$4,"1st Quartile (Lowest 25%)",
AF73&lt;=$BD$4,"2nd Quartile (25–50%)",
AF73&lt;=$BE$4,"3rd Quartile (50–75%)",
TRUE,"4th Quartile (Highest 25%)"
)</f>
        <v>2nd Quartile (25–50%)</v>
      </c>
      <c r="AH73" s="46" t="s">
        <v>587</v>
      </c>
      <c r="AI73" s="193" t="str">
        <f t="array" ref="AI73">_xlfn.IFS(
AND(AE73="1st Quartile (Lowest 25%)",AG73="4th Quartile (Highest 25%)"),"Group 1",
AND(AE73="4th Quartile (Highest 25%)",AG73="1st Quartile (Lowest 25%)"),"Group 3",
OR(AE73="1st Quartile (Lowest 25%)",AE73="2nd Quartile (25–50%)"),"Group 2A (Low Stability)",
TRUE,"Group 2B (High Inflation)"
)</f>
        <v>Group 2B (High Inflation)</v>
      </c>
      <c r="AN73" t="str">
        <f t="array" ref="AN73">_xlfn.IFS(
AND(AE73="1st Quartile (Lowest 25%)",AG73="4th Quartile (Highest 25%)",K73&lt;=5),"Group 1 - Short",
AND(AE73="1st Quartile (Lowest 25%)",AG73="4th Quartile (Highest 25%)",K73&lt;10),"Group 1 - Medium",
AND(AE73="1st Quartile (Lowest 25%)",AG73="4th Quartile (Highest 25%)",TRUE),"Group 1 - Long",
AND(AE73="4th Quartile (Highest 25%)",AG73="1st Quartile (Lowest 25%)",K73&lt;=5),"Group 3 - Short",
AND(AE73="4th Quartile (Highest 25%)",AG73="1st Quartile (Lowest 25%)",K73&lt;10),"Group 3 - Medium",
AND(AE73="4th Quartile (Highest 25%)",AG73="1st Quartile (Lowest 25%)",TRUE),"Group 3 - Long",
AND(OR(AE73="1st Quartile (Lowest 25%)",AE73="2nd Quartile (25–50%)"),K73&lt;=5),"Group 2A - Short",
AND(OR(AE73="1st Quartile (Lowest 25%)",AE73="2nd Quartile (25–50%)"),K73&lt;10),"Group 2A - Medium",
AND(OR(AE73="1st Quartile (Lowest 25%)",AE73="2nd Quartile (25–50%)"),TRUE),"Group 2A - Long",
K73&lt;=5,"Group 2B - Short",
K73&lt;10,"Group 2B - Medium",
TRUE,"Group 2B - Long"
)</f>
        <v>Group 2B - Short</v>
      </c>
      <c r="BB73" s="46"/>
      <c r="BC73" s="46"/>
    </row>
    <row r="74" spans="1:55" ht="14.45" customHeight="1" x14ac:dyDescent="0.25">
      <c r="A74" s="17" t="s">
        <v>354</v>
      </c>
      <c r="B74" s="17" t="s">
        <v>355</v>
      </c>
      <c r="C74" s="4" t="s">
        <v>317</v>
      </c>
      <c r="D74" t="s">
        <v>137</v>
      </c>
      <c r="G74" s="17" t="s">
        <v>356</v>
      </c>
      <c r="H74" s="354" t="e" vm="23">
        <v>#VALUE!</v>
      </c>
      <c r="I74" s="17">
        <v>2007</v>
      </c>
      <c r="J74" s="17">
        <v>2022</v>
      </c>
      <c r="K74">
        <f>J74-I74</f>
        <v>15</v>
      </c>
      <c r="L74" t="s">
        <v>39</v>
      </c>
      <c r="M74" s="66" t="s">
        <v>594</v>
      </c>
      <c r="N74" s="448">
        <v>50000000</v>
      </c>
      <c r="O74" s="448">
        <f>Table9[[#This Row],[Cost (USD)]]/Table9[[#This Row],[Programme Length]]</f>
        <v>3333333.3333333335</v>
      </c>
      <c r="P74" s="46" t="str">
        <f t="array" ref="P74">IF(N74=0,"N/A",
_xlfn.IFS(
N74&lt;=$BC$6,"1st Quartile (Lowest 25%)",
N74&lt;=$BD$6,"2nd Quartile (25–50%)",
N74&lt;=$BE$6,"3rd Quartile (50–75%)",
TRUE,"4th Quartile (Highest 25%)"
))</f>
        <v>4th Quartile (Highest 25%)</v>
      </c>
      <c r="Q74" s="130"/>
      <c r="R74" s="13"/>
      <c r="S74" s="13"/>
      <c r="T74" s="13">
        <v>0.13</v>
      </c>
      <c r="U74" s="13">
        <v>0.44</v>
      </c>
      <c r="V74" s="130"/>
      <c r="W74" s="130"/>
      <c r="X74" s="130">
        <v>9259.2592592592591</v>
      </c>
      <c r="Y74" s="130">
        <v>108</v>
      </c>
      <c r="Z74" s="13"/>
      <c r="AA74" s="63" t="s">
        <v>49</v>
      </c>
      <c r="AB74" s="17" t="s">
        <v>583</v>
      </c>
      <c r="AC74" s="448">
        <v>4200</v>
      </c>
      <c r="AD74" s="28">
        <f>'VfM MSD Mastersheet'!$O16</f>
        <v>-0.21164323886235567</v>
      </c>
      <c r="AE74" s="317" t="str">
        <f t="array" ref="AE74">_xlfn.IFS(
AD74&lt;=$BC$3,"1st Quartile (Lowest 25%)",
AD74&lt;=$BD$3,"2nd Quartile (25–50%)",
AD74&lt;=$BE$3,"3rd Quartile (50–75%)",
TRUE,"4th Quartile (Highest 25%)"
)</f>
        <v>4th Quartile (Highest 25%)</v>
      </c>
      <c r="AF74" s="28">
        <f>'VfM MSD Mastersheet'!$P16</f>
        <v>6.626175411398016</v>
      </c>
      <c r="AG74" s="317" t="str">
        <f t="array" ref="AG74">_xlfn.IFS(
AF74&lt;=$BC$4,"1st Quartile (Lowest 25%)",
AF74&lt;=$BD$4,"2nd Quartile (25–50%)",
AF74&lt;=$BE$4,"3rd Quartile (50–75%)",
TRUE,"4th Quartile (Highest 25%)"
)</f>
        <v>3rd Quartile (50–75%)</v>
      </c>
      <c r="AH74" s="46" t="s">
        <v>673</v>
      </c>
      <c r="AI74" s="193" t="str">
        <f t="array" ref="AI74">_xlfn.IFS(
AND(AE74="1st Quartile (Lowest 25%)",AG74="4th Quartile (Highest 25%)"),"Group 1",
AND(AE74="4th Quartile (Highest 25%)",AG74="1st Quartile (Lowest 25%)"),"Group 3",
OR(AE74="1st Quartile (Lowest 25%)",AE74="2nd Quartile (25–50%)"),"Group 2A (Low Stability)",
TRUE,"Group 2B (High Inflation)"
)</f>
        <v>Group 2B (High Inflation)</v>
      </c>
      <c r="AN74" t="str">
        <f t="array" ref="AN74">_xlfn.IFS(
AND(AE74="1st Quartile (Lowest 25%)",AG74="4th Quartile (Highest 25%)",K74&lt;=5),"Group 1 - Short",
AND(AE74="1st Quartile (Lowest 25%)",AG74="4th Quartile (Highest 25%)",K74&lt;10),"Group 1 - Medium",
AND(AE74="1st Quartile (Lowest 25%)",AG74="4th Quartile (Highest 25%)",TRUE),"Group 1 - Long",
AND(AE74="4th Quartile (Highest 25%)",AG74="1st Quartile (Lowest 25%)",K74&lt;=5),"Group 3 - Short",
AND(AE74="4th Quartile (Highest 25%)",AG74="1st Quartile (Lowest 25%)",K74&lt;10),"Group 3 - Medium",
AND(AE74="4th Quartile (Highest 25%)",AG74="1st Quartile (Lowest 25%)",TRUE),"Group 3 - Long",
AND(OR(AE74="1st Quartile (Lowest 25%)",AE74="2nd Quartile (25–50%)"),K74&lt;=5),"Group 2A - Short",
AND(OR(AE74="1st Quartile (Lowest 25%)",AE74="2nd Quartile (25–50%)"),K74&lt;10),"Group 2A - Medium",
AND(OR(AE74="1st Quartile (Lowest 25%)",AE74="2nd Quartile (25–50%)"),TRUE),"Group 2A - Long",
K74&lt;=5,"Group 2B - Short",
K74&lt;10,"Group 2B - Medium",
TRUE,"Group 2B - Long"
)</f>
        <v>Group 2B - Long</v>
      </c>
      <c r="BB74" s="46"/>
    </row>
    <row r="75" spans="1:55" ht="14.45" customHeight="1" x14ac:dyDescent="0.25">
      <c r="A75" t="s">
        <v>362</v>
      </c>
      <c r="B75" t="s">
        <v>363</v>
      </c>
      <c r="C75" s="29" t="s">
        <v>171</v>
      </c>
      <c r="G75" t="s">
        <v>182</v>
      </c>
      <c r="H75" s="46" t="e" vm="35">
        <v>#VALUE!</v>
      </c>
      <c r="I75">
        <v>2018</v>
      </c>
      <c r="J75">
        <v>2025</v>
      </c>
      <c r="K75">
        <f>J75-I75</f>
        <v>7</v>
      </c>
      <c r="L75" t="s">
        <v>688</v>
      </c>
      <c r="M75" s="66" t="s">
        <v>617</v>
      </c>
      <c r="N75" s="448">
        <v>50000000</v>
      </c>
      <c r="O75" s="448">
        <f>Table9[[#This Row],[Cost (USD)]]/Table9[[#This Row],[Programme Length]]</f>
        <v>7142857.1428571427</v>
      </c>
      <c r="P75" s="46" t="str">
        <f t="array" ref="P75">IF(N75=0,"N/A",
_xlfn.IFS(
N75&lt;=$BC$6,"1st Quartile (Lowest 25%)",
N75&lt;=$BD$6,"2nd Quartile (25–50%)",
N75&lt;=$BE$6,"3rd Quartile (50–75%)",
TRUE,"4th Quartile (Highest 25%)"
))</f>
        <v>4th Quartile (Highest 25%)</v>
      </c>
      <c r="Q75" s="130">
        <v>4308.7853172384303</v>
      </c>
      <c r="R75" s="13">
        <f>IFERROR(Q75/AC75,"")</f>
        <v>0.5984424051720042</v>
      </c>
      <c r="S75" s="13">
        <v>0.70857276000000002</v>
      </c>
      <c r="T75" s="13">
        <v>1.7337664800000001</v>
      </c>
      <c r="U75" s="13"/>
      <c r="V75" s="130">
        <v>1644.574548564286</v>
      </c>
      <c r="W75" s="130">
        <v>608.05999999999995</v>
      </c>
      <c r="X75" s="130"/>
      <c r="Y75" s="130"/>
      <c r="Z75" s="13">
        <v>2.62</v>
      </c>
      <c r="AA75" s="63" t="s">
        <v>49</v>
      </c>
      <c r="AB75" s="17" t="s">
        <v>583</v>
      </c>
      <c r="AC75" s="448">
        <v>7200</v>
      </c>
      <c r="AD75" s="28">
        <f>'VfM MSD Mastersheet'!$O81</f>
        <v>-0.6616871230836423</v>
      </c>
      <c r="AE75" s="317" t="str">
        <f t="array" ref="AE75">_xlfn.IFS(
AD75&lt;=$BC$3,"1st Quartile (Lowest 25%)",
AD75&lt;=$BD$3,"2nd Quartile (25–50%)",
AD75&lt;=$BE$3,"3rd Quartile (50–75%)",
TRUE,"4th Quartile (Highest 25%)"
)</f>
        <v>2nd Quartile (25–50%)</v>
      </c>
      <c r="AF75" s="13">
        <f>'VfM MSD Mastersheet'!$P81</f>
        <v>5.2426679258609603</v>
      </c>
      <c r="AG75" s="318" t="str">
        <f t="array" ref="AG75">_xlfn.IFS(
AF75&lt;=$BC$4,"1st Quartile (Lowest 25%)",
AF75&lt;=$BD$4,"2nd Quartile (25–50%)",
AF75&lt;=$BE$4,"3rd Quartile (50–75%)",
TRUE,"4th Quartile (Highest 25%)"
)</f>
        <v>2nd Quartile (25–50%)</v>
      </c>
      <c r="AH75" s="46" t="s">
        <v>673</v>
      </c>
      <c r="AI75" s="193" t="str">
        <f t="array" ref="AI75">_xlfn.IFS(
AND(AE75="1st Quartile (Lowest 25%)",AG75="4th Quartile (Highest 25%)"),"Group 1",
AND(AE75="4th Quartile (Highest 25%)",AG75="1st Quartile (Lowest 25%)"),"Group 3",
OR(AE75="1st Quartile (Lowest 25%)",AE75="2nd Quartile (25–50%)"),"Group 2A (Low Stability)",
TRUE,"Group 2B (High Inflation)"
)</f>
        <v>Group 2A (Low Stability)</v>
      </c>
      <c r="AN75" t="str">
        <f t="array" ref="AN75">_xlfn.IFS(
AND(AE75="1st Quartile (Lowest 25%)",AG75="4th Quartile (Highest 25%)",K75&lt;=5),"Group 1 - Short",
AND(AE75="1st Quartile (Lowest 25%)",AG75="4th Quartile (Highest 25%)",K75&lt;10),"Group 1 - Medium",
AND(AE75="1st Quartile (Lowest 25%)",AG75="4th Quartile (Highest 25%)",TRUE),"Group 1 - Long",
AND(AE75="4th Quartile (Highest 25%)",AG75="1st Quartile (Lowest 25%)",K75&lt;=5),"Group 3 - Short",
AND(AE75="4th Quartile (Highest 25%)",AG75="1st Quartile (Lowest 25%)",K75&lt;10),"Group 3 - Medium",
AND(AE75="4th Quartile (Highest 25%)",AG75="1st Quartile (Lowest 25%)",TRUE),"Group 3 - Long",
AND(OR(AE75="1st Quartile (Lowest 25%)",AE75="2nd Quartile (25–50%)"),K75&lt;=5),"Group 2A - Short",
AND(OR(AE75="1st Quartile (Lowest 25%)",AE75="2nd Quartile (25–50%)"),K75&lt;10),"Group 2A - Medium",
AND(OR(AE75="1st Quartile (Lowest 25%)",AE75="2nd Quartile (25–50%)"),TRUE),"Group 2A - Long",
K75&lt;=5,"Group 2B - Short",
K75&lt;10,"Group 2B - Medium",
TRUE,"Group 2B - Long"
)</f>
        <v>Group 2A - Medium</v>
      </c>
    </row>
    <row r="76" spans="1:55" ht="14.45" customHeight="1" x14ac:dyDescent="0.25">
      <c r="A76" t="s">
        <v>366</v>
      </c>
      <c r="B76" t="s">
        <v>367</v>
      </c>
      <c r="C76" s="29" t="s">
        <v>137</v>
      </c>
      <c r="G76" t="s">
        <v>368</v>
      </c>
      <c r="H76" s="457" t="s">
        <v>369</v>
      </c>
      <c r="I76">
        <v>2014</v>
      </c>
      <c r="J76">
        <v>2019</v>
      </c>
      <c r="K76">
        <f>J76-I76</f>
        <v>5</v>
      </c>
      <c r="L76" t="s">
        <v>39</v>
      </c>
      <c r="M76" s="66" t="s">
        <v>611</v>
      </c>
      <c r="N76" s="448">
        <v>51100000</v>
      </c>
      <c r="O76" s="448">
        <f>Table9[[#This Row],[Cost (USD)]]/Table9[[#This Row],[Programme Length]]</f>
        <v>10220000</v>
      </c>
      <c r="P76" s="46" t="str">
        <f t="array" ref="P76">IF(N76=0,"N/A",
_xlfn.IFS(
N76&lt;=$BC$6,"1st Quartile (Lowest 25%)",
N76&lt;=$BD$6,"2nd Quartile (25–50%)",
N76&lt;=$BE$6,"3rd Quartile (50–75%)",
TRUE,"4th Quartile (Highest 25%)"
))</f>
        <v>4th Quartile (Highest 25%)</v>
      </c>
      <c r="Q76" s="130">
        <v>66.396676493153763</v>
      </c>
      <c r="R76" s="13">
        <f>IFERROR(Q76/AC76,"")</f>
        <v>9.9099517153960846E-3</v>
      </c>
      <c r="S76" s="13"/>
      <c r="T76" s="13"/>
      <c r="U76" s="13"/>
      <c r="V76" s="130">
        <v>728.97942879968048</v>
      </c>
      <c r="W76" s="130">
        <v>1371.780821917808</v>
      </c>
      <c r="X76" s="130"/>
      <c r="Y76" s="130"/>
      <c r="Z76" s="13">
        <v>0.97210451516634055</v>
      </c>
      <c r="AA76" s="63" t="s">
        <v>49</v>
      </c>
      <c r="AB76" t="s">
        <v>597</v>
      </c>
      <c r="AC76" s="448">
        <v>6700</v>
      </c>
      <c r="AD76" s="28">
        <f>'VfM MSD Mastersheet'!$O61</f>
        <v>-0.50970529268185338</v>
      </c>
      <c r="AE76" s="317" t="str">
        <f t="array" ref="AE76">_xlfn.IFS(
AD76&lt;=$BC$3,"1st Quartile (Lowest 25%)",
AD76&lt;=$BD$3,"2nd Quartile (25–50%)",
AD76&lt;=$BE$3,"3rd Quartile (50–75%)",
TRUE,"4th Quartile (Highest 25%)"
)</f>
        <v>3rd Quartile (50–75%)</v>
      </c>
      <c r="AF76" s="13">
        <f>'VfM MSD Mastersheet'!$P61</f>
        <v>7.1420135159062283</v>
      </c>
      <c r="AG76" s="317" t="str">
        <f t="array" ref="AG76">_xlfn.IFS(
AF76&lt;=$BC$4,"1st Quartile (Lowest 25%)",
AF76&lt;=$BD$4,"2nd Quartile (25–50%)",
AF76&lt;=$BE$4,"3rd Quartile (50–75%)",
TRUE,"4th Quartile (Highest 25%)"
)</f>
        <v>3rd Quartile (50–75%)</v>
      </c>
      <c r="AH76" s="46" t="s">
        <v>674</v>
      </c>
      <c r="AI76" s="193" t="str">
        <f t="array" ref="AI76">_xlfn.IFS(
AND(AE76="1st Quartile (Lowest 25%)",AG76="4th Quartile (Highest 25%)"),"Group 1",
AND(AE76="4th Quartile (Highest 25%)",AG76="1st Quartile (Lowest 25%)"),"Group 3",
OR(AE76="1st Quartile (Lowest 25%)",AE76="2nd Quartile (25–50%)"),"Group 2A (Low Stability)",
TRUE,"Group 2B (High Inflation)"
)</f>
        <v>Group 2B (High Inflation)</v>
      </c>
      <c r="AN76" t="str">
        <f t="array" ref="AN76">_xlfn.IFS(
AND(AE76="1st Quartile (Lowest 25%)",AG76="4th Quartile (Highest 25%)",K76&lt;=5),"Group 1 - Short",
AND(AE76="1st Quartile (Lowest 25%)",AG76="4th Quartile (Highest 25%)",K76&lt;10),"Group 1 - Medium",
AND(AE76="1st Quartile (Lowest 25%)",AG76="4th Quartile (Highest 25%)",TRUE),"Group 1 - Long",
AND(AE76="4th Quartile (Highest 25%)",AG76="1st Quartile (Lowest 25%)",K76&lt;=5),"Group 3 - Short",
AND(AE76="4th Quartile (Highest 25%)",AG76="1st Quartile (Lowest 25%)",K76&lt;10),"Group 3 - Medium",
AND(AE76="4th Quartile (Highest 25%)",AG76="1st Quartile (Lowest 25%)",TRUE),"Group 3 - Long",
AND(OR(AE76="1st Quartile (Lowest 25%)",AE76="2nd Quartile (25–50%)"),K76&lt;=5),"Group 2A - Short",
AND(OR(AE76="1st Quartile (Lowest 25%)",AE76="2nd Quartile (25–50%)"),K76&lt;10),"Group 2A - Medium",
AND(OR(AE76="1st Quartile (Lowest 25%)",AE76="2nd Quartile (25–50%)"),TRUE),"Group 2A - Long",
K76&lt;=5,"Group 2B - Short",
K76&lt;10,"Group 2B - Medium",
TRUE,"Group 2B - Long"
)</f>
        <v>Group 2B - Short</v>
      </c>
    </row>
    <row r="77" spans="1:55" ht="14.45" customHeight="1" x14ac:dyDescent="0.25">
      <c r="A77" t="s">
        <v>546</v>
      </c>
      <c r="B77" t="s">
        <v>372</v>
      </c>
      <c r="C77" s="29" t="s">
        <v>171</v>
      </c>
      <c r="G77" t="s">
        <v>182</v>
      </c>
      <c r="H77" s="452" t="e" vm="26">
        <v>#VALUE!</v>
      </c>
      <c r="I77" s="4">
        <v>2019</v>
      </c>
      <c r="J77">
        <v>2025</v>
      </c>
      <c r="K77">
        <f>J77-I77-1</f>
        <v>5</v>
      </c>
      <c r="L77" t="s">
        <v>39</v>
      </c>
      <c r="M77" s="66" t="s">
        <v>615</v>
      </c>
      <c r="N77" s="448">
        <v>52500000</v>
      </c>
      <c r="O77" s="448">
        <f>Table9[[#This Row],[Cost (USD)]]/Table9[[#This Row],[Programme Length]]</f>
        <v>10500000</v>
      </c>
      <c r="P77" s="46" t="str">
        <f t="array" ref="P77">IF(N77=0,"N/A",
_xlfn.IFS(
N77&lt;=$BC$6,"1st Quartile (Lowest 25%)",
N77&lt;=$BD$6,"2nd Quartile (25–50%)",
N77&lt;=$BE$6,"3rd Quartile (50–75%)",
TRUE,"4th Quartile (Highest 25%)"
))</f>
        <v>4th Quartile (Highest 25%)</v>
      </c>
      <c r="Q77" s="13"/>
      <c r="R77" s="13"/>
      <c r="S77" s="13">
        <v>3.7123072761904758</v>
      </c>
      <c r="T77" s="13"/>
      <c r="U77" s="13"/>
      <c r="V77" s="130">
        <v>1133.884797304594</v>
      </c>
      <c r="W77" s="130">
        <v>881.9238095238095</v>
      </c>
      <c r="X77" s="13"/>
      <c r="Y77" s="13"/>
      <c r="Z77" s="13"/>
      <c r="AA77" s="63" t="s">
        <v>42</v>
      </c>
      <c r="AB77" s="17" t="s">
        <v>583</v>
      </c>
      <c r="AC77" s="448">
        <v>7800</v>
      </c>
      <c r="AD77" s="28">
        <f>'VfM MSD Mastersheet'!$O65</f>
        <v>-9.4336765259504296E-2</v>
      </c>
      <c r="AE77" s="317" t="str">
        <f t="array" ref="AE77">_xlfn.IFS(
AD77&lt;=$BC$3,"1st Quartile (Lowest 25%)",
AD77&lt;=$BD$3,"2nd Quartile (25–50%)",
AD77&lt;=$BE$3,"3rd Quartile (50–75%)",
TRUE,"4th Quartile (Highest 25%)"
)</f>
        <v>4th Quartile (Highest 25%)</v>
      </c>
      <c r="AF77" s="28">
        <f>'VfM MSD Mastersheet'!$P65</f>
        <v>0.90234943581281313</v>
      </c>
      <c r="AG77" s="318" t="str">
        <f t="array" ref="AG77">_xlfn.IFS(
AF77&lt;=$BC$4,"1st Quartile (Lowest 25%)",
AF77&lt;=$BD$4,"2nd Quartile (25–50%)",
AF77&lt;=$BE$4,"3rd Quartile (50–75%)",
TRUE,"4th Quartile (Highest 25%)"
)</f>
        <v>1st Quartile (Lowest 25%)</v>
      </c>
      <c r="AH77" s="46" t="s">
        <v>674</v>
      </c>
      <c r="AI77" s="193" t="str">
        <f t="array" ref="AI77">_xlfn.IFS(
AND(AE77="1st Quartile (Lowest 25%)",AG77="4th Quartile (Highest 25%)"),"Group 1",
AND(AE77="4th Quartile (Highest 25%)",AG77="1st Quartile (Lowest 25%)"),"Group 3",
OR(AE77="1st Quartile (Lowest 25%)",AE77="2nd Quartile (25–50%)"),"Group 2A (Low Stability)",
TRUE,"Group 2B (High Inflation)"
)</f>
        <v>Group 3</v>
      </c>
      <c r="AN77" t="str">
        <f t="array" ref="AN77">_xlfn.IFS(
AND(AE77="1st Quartile (Lowest 25%)",AG77="4th Quartile (Highest 25%)",K77&lt;=5),"Group 1 - Short",
AND(AE77="1st Quartile (Lowest 25%)",AG77="4th Quartile (Highest 25%)",K77&lt;10),"Group 1 - Medium",
AND(AE77="1st Quartile (Lowest 25%)",AG77="4th Quartile (Highest 25%)",TRUE),"Group 1 - Long",
AND(AE77="4th Quartile (Highest 25%)",AG77="1st Quartile (Lowest 25%)",K77&lt;=5),"Group 3 - Short",
AND(AE77="4th Quartile (Highest 25%)",AG77="1st Quartile (Lowest 25%)",K77&lt;10),"Group 3 - Medium",
AND(AE77="4th Quartile (Highest 25%)",AG77="1st Quartile (Lowest 25%)",TRUE),"Group 3 - Long",
AND(OR(AE77="1st Quartile (Lowest 25%)",AE77="2nd Quartile (25–50%)"),K77&lt;=5),"Group 2A - Short",
AND(OR(AE77="1st Quartile (Lowest 25%)",AE77="2nd Quartile (25–50%)"),K77&lt;10),"Group 2A - Medium",
AND(OR(AE77="1st Quartile (Lowest 25%)",AE77="2nd Quartile (25–50%)"),TRUE),"Group 2A - Long",
K77&lt;=5,"Group 2B - Short",
K77&lt;10,"Group 2B - Medium",
TRUE,"Group 2B - Long"
)</f>
        <v>Group 3 - Short</v>
      </c>
    </row>
    <row r="78" spans="1:55" ht="14.45" customHeight="1" x14ac:dyDescent="0.25">
      <c r="A78" t="s">
        <v>373</v>
      </c>
      <c r="B78" s="17" t="s">
        <v>374</v>
      </c>
      <c r="C78" s="29" t="s">
        <v>137</v>
      </c>
      <c r="G78" t="s">
        <v>172</v>
      </c>
      <c r="H78" s="452" t="e" vm="3">
        <v>#VALUE!</v>
      </c>
      <c r="I78" s="4">
        <v>2009</v>
      </c>
      <c r="J78">
        <v>2017</v>
      </c>
      <c r="K78">
        <f t="shared" ref="K78:K88" si="2">J78-I78</f>
        <v>8</v>
      </c>
      <c r="L78" t="s">
        <v>689</v>
      </c>
      <c r="M78" s="66" t="s">
        <v>611</v>
      </c>
      <c r="N78" s="448">
        <v>54179910.560000002</v>
      </c>
      <c r="O78" s="448">
        <f>Table9[[#This Row],[Cost (USD)]]/Table9[[#This Row],[Programme Length]]</f>
        <v>6772488.8200000003</v>
      </c>
      <c r="P78" s="355" t="str">
        <f t="array" ref="P78">IF(N78=0,"N/A",
_xlfn.IFS(
N78&lt;=$BC$6,"1st Quartile (Lowest 25%)",
N78&lt;=$BD$6,"2nd Quartile (25–50%)",
N78&lt;=$BE$6,"3rd Quartile (50–75%)",
TRUE,"4th Quartile (Highest 25%)"
))</f>
        <v>4th Quartile (Highest 25%)</v>
      </c>
      <c r="Q78" s="130"/>
      <c r="R78" s="13"/>
      <c r="S78" s="13"/>
      <c r="T78" s="13">
        <v>10.248627326637649</v>
      </c>
      <c r="U78" s="13"/>
      <c r="V78" s="130">
        <v>1670.5695165268869</v>
      </c>
      <c r="W78" s="130">
        <v>598.59825652691143</v>
      </c>
      <c r="X78" s="130">
        <v>25.74734699715961</v>
      </c>
      <c r="Y78" s="130">
        <v>38838.953003985909</v>
      </c>
      <c r="Z78" s="13"/>
      <c r="AA78" s="63" t="s">
        <v>49</v>
      </c>
      <c r="AB78" s="17" t="s">
        <v>583</v>
      </c>
      <c r="AC78" s="448">
        <v>6300</v>
      </c>
      <c r="AD78" s="28">
        <f>'VfM MSD Mastersheet'!$O58</f>
        <v>-1.0538027087847395</v>
      </c>
      <c r="AE78" s="317" t="str">
        <f t="array" ref="AE78">_xlfn.IFS(
AD78&lt;=$BC$3,"1st Quartile (Lowest 25%)",
AD78&lt;=$BD$3,"2nd Quartile (25–50%)",
AD78&lt;=$BE$3,"3rd Quartile (50–75%)",
TRUE,"4th Quartile (Highest 25%)"
)</f>
        <v>2nd Quartile (25–50%)</v>
      </c>
      <c r="AF78" s="501">
        <f>'VfM MSD Mastersheet'!$P58</f>
        <v>6.999843147192979</v>
      </c>
      <c r="AG78" s="317" t="str">
        <f t="array" ref="AG78">_xlfn.IFS(
AF78&lt;=$BC$4,"1st Quartile (Lowest 25%)",
AF78&lt;=$BD$4,"2nd Quartile (25–50%)",
AF78&lt;=$BE$4,"3rd Quartile (50–75%)",
TRUE,"4th Quartile (Highest 25%)"
)</f>
        <v>3rd Quartile (50–75%)</v>
      </c>
      <c r="AH78" s="46" t="s">
        <v>587</v>
      </c>
      <c r="AI78" s="193" t="str">
        <f t="array" ref="AI78">_xlfn.IFS(
AND(AE78="1st Quartile (Lowest 25%)",AG78="4th Quartile (Highest 25%)"),"Group 1",
AND(AE78="4th Quartile (Highest 25%)",AG78="1st Quartile (Lowest 25%)"),"Group 3",
OR(AE78="1st Quartile (Lowest 25%)",AE78="2nd Quartile (25–50%)"),"Group 2A (Low Stability)",
TRUE,"Group 2B (High Inflation)"
)</f>
        <v>Group 2A (Low Stability)</v>
      </c>
      <c r="AN78" t="str">
        <f t="array" ref="AN78">_xlfn.IFS(
AND(AE78="1st Quartile (Lowest 25%)",AG78="4th Quartile (Highest 25%)",K78&lt;=5),"Group 1 - Short",
AND(AE78="1st Quartile (Lowest 25%)",AG78="4th Quartile (Highest 25%)",K78&lt;10),"Group 1 - Medium",
AND(AE78="1st Quartile (Lowest 25%)",AG78="4th Quartile (Highest 25%)",TRUE),"Group 1 - Long",
AND(AE78="4th Quartile (Highest 25%)",AG78="1st Quartile (Lowest 25%)",K78&lt;=5),"Group 3 - Short",
AND(AE78="4th Quartile (Highest 25%)",AG78="1st Quartile (Lowest 25%)",K78&lt;10),"Group 3 - Medium",
AND(AE78="4th Quartile (Highest 25%)",AG78="1st Quartile (Lowest 25%)",TRUE),"Group 3 - Long",
AND(OR(AE78="1st Quartile (Lowest 25%)",AE78="2nd Quartile (25–50%)"),K78&lt;=5),"Group 2A - Short",
AND(OR(AE78="1st Quartile (Lowest 25%)",AE78="2nd Quartile (25–50%)"),K78&lt;10),"Group 2A - Medium",
AND(OR(AE78="1st Quartile (Lowest 25%)",AE78="2nd Quartile (25–50%)"),TRUE),"Group 2A - Long",
K78&lt;=5,"Group 2B - Short",
K78&lt;10,"Group 2B - Medium",
TRUE,"Group 2B - Long"
)</f>
        <v>Group 2A - Medium</v>
      </c>
    </row>
    <row r="79" spans="1:55" ht="14.45" customHeight="1" x14ac:dyDescent="0.25">
      <c r="A79" t="s">
        <v>377</v>
      </c>
      <c r="B79" t="s">
        <v>378</v>
      </c>
      <c r="C79" s="29" t="s">
        <v>171</v>
      </c>
      <c r="G79" t="s">
        <v>230</v>
      </c>
      <c r="H79" s="452" t="e" vm="21">
        <v>#VALUE!</v>
      </c>
      <c r="I79" s="4">
        <v>2019</v>
      </c>
      <c r="J79">
        <v>2023</v>
      </c>
      <c r="K79">
        <f t="shared" si="2"/>
        <v>4</v>
      </c>
      <c r="L79" t="s">
        <v>39</v>
      </c>
      <c r="M79" s="66" t="s">
        <v>618</v>
      </c>
      <c r="N79" s="448">
        <v>55000000</v>
      </c>
      <c r="O79" s="448">
        <f>Table9[[#This Row],[Cost (USD)]]/Table9[[#This Row],[Programme Length]]</f>
        <v>13750000</v>
      </c>
      <c r="P79" s="46" t="str">
        <f t="array" ref="P79">IF(N79=0,"N/A",
_xlfn.IFS(
N79&lt;=$BC$6,"1st Quartile (Lowest 25%)",
N79&lt;=$BD$6,"2nd Quartile (25–50%)",
N79&lt;=$BE$6,"3rd Quartile (50–75%)",
TRUE,"4th Quartile (Highest 25%)"
))</f>
        <v>4th Quartile (Highest 25%)</v>
      </c>
      <c r="Q79" s="13"/>
      <c r="R79" s="13"/>
      <c r="S79" s="13">
        <v>0.12727272727272729</v>
      </c>
      <c r="T79" s="13"/>
      <c r="U79" s="13">
        <v>9.0909090909090912E-2</v>
      </c>
      <c r="V79" s="130"/>
      <c r="W79" s="130"/>
      <c r="X79" s="130">
        <v>4406.3451369972763</v>
      </c>
      <c r="Y79" s="130">
        <v>226.94545454545451</v>
      </c>
      <c r="Z79" s="13"/>
      <c r="AA79" s="63" t="s">
        <v>42</v>
      </c>
      <c r="AB79" s="17" t="s">
        <v>586</v>
      </c>
      <c r="AC79" s="448">
        <v>2100</v>
      </c>
      <c r="AD79" s="28">
        <f>'VfM MSD Mastersheet'!$O83</f>
        <v>-1.8319787740707381</v>
      </c>
      <c r="AE79" s="317" t="str">
        <f t="array" ref="AE79">_xlfn.IFS(
AD79&lt;=$BC$3,"1st Quartile (Lowest 25%)",
AD79&lt;=$BD$3,"2nd Quartile (25–50%)",
AD79&lt;=$BE$3,"3rd Quartile (50–75%)",
TRUE,"4th Quartile (Highest 25%)"
)</f>
        <v>1st Quartile (Lowest 25%)</v>
      </c>
      <c r="AF79" s="13">
        <f>'VfM MSD Mastersheet'!$P83</f>
        <v>19.724021021602343</v>
      </c>
      <c r="AG79" s="318" t="str">
        <f t="array" ref="AG79">_xlfn.IFS(
AF79&lt;=$BC$4,"1st Quartile (Lowest 25%)",
AF79&lt;=$BD$4,"2nd Quartile (25–50%)",
AF79&lt;=$BE$4,"3rd Quartile (50–75%)",
TRUE,"4th Quartile (Highest 25%)"
)</f>
        <v>4th Quartile (Highest 25%)</v>
      </c>
      <c r="AH79" s="46" t="s">
        <v>674</v>
      </c>
      <c r="AI79" s="193" t="str">
        <f t="array" ref="AI79">_xlfn.IFS(
AND(AE79="1st Quartile (Lowest 25%)",AG79="4th Quartile (Highest 25%)"),"Group 1",
AND(AE79="4th Quartile (Highest 25%)",AG79="1st Quartile (Lowest 25%)"),"Group 3",
OR(AE79="1st Quartile (Lowest 25%)",AE79="2nd Quartile (25–50%)"),"Group 2A (Low Stability)",
TRUE,"Group 2B (High Inflation)"
)</f>
        <v>Group 1</v>
      </c>
      <c r="AN79" t="str">
        <f t="array" ref="AN79">_xlfn.IFS(
AND(AE79="1st Quartile (Lowest 25%)",AG79="4th Quartile (Highest 25%)",K79&lt;=5),"Group 1 - Short",
AND(AE79="1st Quartile (Lowest 25%)",AG79="4th Quartile (Highest 25%)",K79&lt;10),"Group 1 - Medium",
AND(AE79="1st Quartile (Lowest 25%)",AG79="4th Quartile (Highest 25%)",TRUE),"Group 1 - Long",
AND(AE79="4th Quartile (Highest 25%)",AG79="1st Quartile (Lowest 25%)",K79&lt;=5),"Group 3 - Short",
AND(AE79="4th Quartile (Highest 25%)",AG79="1st Quartile (Lowest 25%)",K79&lt;10),"Group 3 - Medium",
AND(AE79="4th Quartile (Highest 25%)",AG79="1st Quartile (Lowest 25%)",TRUE),"Group 3 - Long",
AND(OR(AE79="1st Quartile (Lowest 25%)",AE79="2nd Quartile (25–50%)"),K79&lt;=5),"Group 2A - Short",
AND(OR(AE79="1st Quartile (Lowest 25%)",AE79="2nd Quartile (25–50%)"),K79&lt;10),"Group 2A - Medium",
AND(OR(AE79="1st Quartile (Lowest 25%)",AE79="2nd Quartile (25–50%)"),TRUE),"Group 2A - Long",
K79&lt;=5,"Group 2B - Short",
K79&lt;10,"Group 2B - Medium",
TRUE,"Group 2B - Long"
)</f>
        <v>Group 1 - Short</v>
      </c>
    </row>
    <row r="80" spans="1:55" ht="14.45" customHeight="1" x14ac:dyDescent="0.25">
      <c r="A80" s="17" t="s">
        <v>382</v>
      </c>
      <c r="B80" t="s">
        <v>383</v>
      </c>
      <c r="C80" s="4" t="s">
        <v>45</v>
      </c>
      <c r="G80" s="17" t="s">
        <v>138</v>
      </c>
      <c r="H80" s="450" t="e" vm="5">
        <v>#VALUE!</v>
      </c>
      <c r="I80" s="4">
        <v>2013</v>
      </c>
      <c r="J80">
        <v>2018</v>
      </c>
      <c r="K80">
        <f t="shared" si="2"/>
        <v>5</v>
      </c>
      <c r="L80" t="s">
        <v>39</v>
      </c>
      <c r="M80" s="66" t="s">
        <v>594</v>
      </c>
      <c r="N80" s="448">
        <v>57000000</v>
      </c>
      <c r="O80" s="448">
        <f>Table9[[#This Row],[Cost (USD)]]/Table9[[#This Row],[Programme Length]]</f>
        <v>11400000</v>
      </c>
      <c r="P80" s="46" t="str">
        <f t="array" ref="P80">IF(N80=0,"N/A",
_xlfn.IFS(
N80&lt;=$BC$6,"1st Quartile (Lowest 25%)",
N80&lt;=$BD$6,"2nd Quartile (25–50%)",
N80&lt;=$BE$6,"3rd Quartile (50–75%)",
TRUE,"4th Quartile (Highest 25%)"
))</f>
        <v>4th Quartile (Highest 25%)</v>
      </c>
      <c r="Q80" s="130">
        <v>374.63659525624558</v>
      </c>
      <c r="R80" s="13">
        <f>IFERROR(Q80/AC80,"")</f>
        <v>2.2705248197348218E-2</v>
      </c>
      <c r="S80" s="13">
        <v>1.276372702807018</v>
      </c>
      <c r="T80" s="13">
        <v>1.5929824561403509</v>
      </c>
      <c r="U80" s="13"/>
      <c r="V80" s="130">
        <v>53672.316384180791</v>
      </c>
      <c r="W80" s="130">
        <v>18.631578947368421</v>
      </c>
      <c r="X80" s="130">
        <v>170.46168200821799</v>
      </c>
      <c r="Y80" s="130">
        <v>5866.4210526315792</v>
      </c>
      <c r="Z80" s="13">
        <v>4.5350877192982457</v>
      </c>
      <c r="AA80" s="63" t="s">
        <v>49</v>
      </c>
      <c r="AB80" s="17" t="s">
        <v>589</v>
      </c>
      <c r="AC80" s="448">
        <v>16500</v>
      </c>
      <c r="AD80" s="28">
        <f>'VfM MSD Mastersheet'!$O21</f>
        <v>-0.35559853166341782</v>
      </c>
      <c r="AE80" s="317" t="str">
        <f t="array" ref="AE80">_xlfn.IFS(
AD80&lt;=$BC$3,"1st Quartile (Lowest 25%)",
AD80&lt;=$BD$3,"2nd Quartile (25–50%)",
AD80&lt;=$BE$3,"3rd Quartile (50–75%)",
TRUE,"4th Quartile (Highest 25%)"
)</f>
        <v>4th Quartile (Highest 25%)</v>
      </c>
      <c r="AF80" s="28">
        <f>'VfM MSD Mastersheet'!$P21</f>
        <v>14.182405575860892</v>
      </c>
      <c r="AG80" s="317" t="str">
        <f t="array" ref="AG80">_xlfn.IFS(
AF80&lt;=$BC$4,"1st Quartile (Lowest 25%)",
AF80&lt;=$BD$4,"2nd Quartile (25–50%)",
AF80&lt;=$BE$4,"3rd Quartile (50–75%)",
TRUE,"4th Quartile (Highest 25%)"
)</f>
        <v>4th Quartile (Highest 25%)</v>
      </c>
      <c r="AH80" s="46" t="s">
        <v>673</v>
      </c>
      <c r="AI80" s="193" t="str">
        <f t="array" ref="AI80">_xlfn.IFS(
AND(AE80="1st Quartile (Lowest 25%)",AG80="4th Quartile (Highest 25%)"),"Group 1",
AND(AE80="4th Quartile (Highest 25%)",AG80="1st Quartile (Lowest 25%)"),"Group 3",
OR(AE80="1st Quartile (Lowest 25%)",AE80="2nd Quartile (25–50%)"),"Group 2A (Low Stability)",
TRUE,"Group 2B (High Inflation)"
)</f>
        <v>Group 2B (High Inflation)</v>
      </c>
      <c r="AN80" t="str">
        <f t="array" ref="AN80">_xlfn.IFS(
AND(AE80="1st Quartile (Lowest 25%)",AG80="4th Quartile (Highest 25%)",K80&lt;=5),"Group 1 - Short",
AND(AE80="1st Quartile (Lowest 25%)",AG80="4th Quartile (Highest 25%)",K80&lt;10),"Group 1 - Medium",
AND(AE80="1st Quartile (Lowest 25%)",AG80="4th Quartile (Highest 25%)",TRUE),"Group 1 - Long",
AND(AE80="4th Quartile (Highest 25%)",AG80="1st Quartile (Lowest 25%)",K80&lt;=5),"Group 3 - Short",
AND(AE80="4th Quartile (Highest 25%)",AG80="1st Quartile (Lowest 25%)",K80&lt;10),"Group 3 - Medium",
AND(AE80="4th Quartile (Highest 25%)",AG80="1st Quartile (Lowest 25%)",TRUE),"Group 3 - Long",
AND(OR(AE80="1st Quartile (Lowest 25%)",AE80="2nd Quartile (25–50%)"),K80&lt;=5),"Group 2A - Short",
AND(OR(AE80="1st Quartile (Lowest 25%)",AE80="2nd Quartile (25–50%)"),K80&lt;10),"Group 2A - Medium",
AND(OR(AE80="1st Quartile (Lowest 25%)",AE80="2nd Quartile (25–50%)"),TRUE),"Group 2A - Long",
K80&lt;=5,"Group 2B - Short",
K80&lt;10,"Group 2B - Medium",
TRUE,"Group 2B - Long"
)</f>
        <v>Group 2B - Short</v>
      </c>
    </row>
    <row r="81" spans="1:40" ht="14.45" customHeight="1" x14ac:dyDescent="0.25">
      <c r="A81" t="s">
        <v>385</v>
      </c>
      <c r="B81" t="s">
        <v>386</v>
      </c>
      <c r="C81" s="4" t="s">
        <v>137</v>
      </c>
      <c r="G81" s="17" t="s">
        <v>230</v>
      </c>
      <c r="H81" s="452" t="e" vm="30">
        <v>#VALUE!</v>
      </c>
      <c r="I81" s="4">
        <v>2013</v>
      </c>
      <c r="J81">
        <v>2020</v>
      </c>
      <c r="K81">
        <f t="shared" si="2"/>
        <v>7</v>
      </c>
      <c r="L81" t="s">
        <v>690</v>
      </c>
      <c r="M81" s="66" t="s">
        <v>594</v>
      </c>
      <c r="N81" s="448">
        <v>60630000</v>
      </c>
      <c r="O81" s="448">
        <f>Table9[[#This Row],[Cost (USD)]]/Table9[[#This Row],[Programme Length]]</f>
        <v>8661428.5714285709</v>
      </c>
      <c r="P81" s="46" t="str">
        <f t="array" ref="P81">IF(N81=0,"N/A",
_xlfn.IFS(
N81&lt;=$BC$6,"1st Quartile (Lowest 25%)",
N81&lt;=$BD$6,"2nd Quartile (25–50%)",
N81&lt;=$BE$6,"3rd Quartile (50–75%)",
TRUE,"4th Quartile (Highest 25%)"
))</f>
        <v>4th Quartile (Highest 25%)</v>
      </c>
      <c r="Q81" s="130"/>
      <c r="R81" s="13"/>
      <c r="S81" s="13">
        <v>6.8534883720930244</v>
      </c>
      <c r="T81" s="13">
        <v>0.68604651162790697</v>
      </c>
      <c r="U81" s="13"/>
      <c r="V81" s="130">
        <v>1240.8669491005101</v>
      </c>
      <c r="W81" s="130">
        <v>805.88817417120231</v>
      </c>
      <c r="X81" s="130">
        <v>2143.0086243461051</v>
      </c>
      <c r="Y81" s="130">
        <v>466.63367969651978</v>
      </c>
      <c r="Z81" s="13"/>
      <c r="AA81" s="63" t="s">
        <v>49</v>
      </c>
      <c r="AB81" s="17" t="s">
        <v>586</v>
      </c>
      <c r="AC81" s="448">
        <v>4000</v>
      </c>
      <c r="AD81" s="28">
        <f>'VfM MSD Mastersheet'!$O14</f>
        <v>-0.72261035442352362</v>
      </c>
      <c r="AE81" s="317" t="str">
        <f t="array" ref="AE81">_xlfn.IFS(
AD81&lt;=$BC$3,"1st Quartile (Lowest 25%)",
AD81&lt;=$BD$3,"2nd Quartile (25–50%)",
AD81&lt;=$BE$3,"3rd Quartile (50–75%)",
TRUE,"4th Quartile (Highest 25%)"
)</f>
        <v>2nd Quartile (25–50%)</v>
      </c>
      <c r="AF81" s="28">
        <f>'VfM MSD Mastersheet'!$P14</f>
        <v>4.0276587675317934</v>
      </c>
      <c r="AG81" s="317" t="str">
        <f t="array" ref="AG81">_xlfn.IFS(
AF81&lt;=$BC$4,"1st Quartile (Lowest 25%)",
AF81&lt;=$BD$4,"2nd Quartile (25–50%)",
AF81&lt;=$BE$4,"3rd Quartile (50–75%)",
TRUE,"4th Quartile (Highest 25%)"
)</f>
        <v>1st Quartile (Lowest 25%)</v>
      </c>
      <c r="AH81" s="46" t="s">
        <v>587</v>
      </c>
      <c r="AI81" s="193" t="str">
        <f t="array" ref="AI81">_xlfn.IFS(
AND(AE81="1st Quartile (Lowest 25%)",AG81="4th Quartile (Highest 25%)"),"Group 1",
AND(AE81="4th Quartile (Highest 25%)",AG81="1st Quartile (Lowest 25%)"),"Group 3",
OR(AE81="1st Quartile (Lowest 25%)",AE81="2nd Quartile (25–50%)"),"Group 2A (Low Stability)",
TRUE,"Group 2B (High Inflation)"
)</f>
        <v>Group 2A (Low Stability)</v>
      </c>
      <c r="AN81" t="str">
        <f t="array" ref="AN81">_xlfn.IFS(
AND(AE81="1st Quartile (Lowest 25%)",AG81="4th Quartile (Highest 25%)",K81&lt;=5),"Group 1 - Short",
AND(AE81="1st Quartile (Lowest 25%)",AG81="4th Quartile (Highest 25%)",K81&lt;10),"Group 1 - Medium",
AND(AE81="1st Quartile (Lowest 25%)",AG81="4th Quartile (Highest 25%)",TRUE),"Group 1 - Long",
AND(AE81="4th Quartile (Highest 25%)",AG81="1st Quartile (Lowest 25%)",K81&lt;=5),"Group 3 - Short",
AND(AE81="4th Quartile (Highest 25%)",AG81="1st Quartile (Lowest 25%)",K81&lt;10),"Group 3 - Medium",
AND(AE81="4th Quartile (Highest 25%)",AG81="1st Quartile (Lowest 25%)",TRUE),"Group 3 - Long",
AND(OR(AE81="1st Quartile (Lowest 25%)",AE81="2nd Quartile (25–50%)"),K81&lt;=5),"Group 2A - Short",
AND(OR(AE81="1st Quartile (Lowest 25%)",AE81="2nd Quartile (25–50%)"),K81&lt;10),"Group 2A - Medium",
AND(OR(AE81="1st Quartile (Lowest 25%)",AE81="2nd Quartile (25–50%)"),TRUE),"Group 2A - Long",
K81&lt;=5,"Group 2B - Short",
K81&lt;10,"Group 2B - Medium",
TRUE,"Group 2B - Long"
)</f>
        <v>Group 2A - Medium</v>
      </c>
    </row>
    <row r="82" spans="1:40" ht="14.45" customHeight="1" x14ac:dyDescent="0.25">
      <c r="A82" t="s">
        <v>389</v>
      </c>
      <c r="B82" t="s">
        <v>390</v>
      </c>
      <c r="C82" s="29" t="s">
        <v>80</v>
      </c>
      <c r="D82" t="s">
        <v>137</v>
      </c>
      <c r="E82" t="s">
        <v>391</v>
      </c>
      <c r="F82" t="s">
        <v>63</v>
      </c>
      <c r="G82" t="s">
        <v>392</v>
      </c>
      <c r="H82" s="452" t="e" vm="20">
        <v>#VALUE!</v>
      </c>
      <c r="I82" s="4">
        <v>2012</v>
      </c>
      <c r="J82">
        <v>2022</v>
      </c>
      <c r="K82">
        <f t="shared" si="2"/>
        <v>10</v>
      </c>
      <c r="L82" t="s">
        <v>39</v>
      </c>
      <c r="M82" s="66" t="s">
        <v>617</v>
      </c>
      <c r="N82" s="448">
        <v>62500000</v>
      </c>
      <c r="O82" s="448">
        <f>Table9[[#This Row],[Cost (USD)]]/Table9[[#This Row],[Programme Length]]</f>
        <v>6250000</v>
      </c>
      <c r="P82" s="46" t="str">
        <f t="array" ref="P82">IF(N82=0,"N/A",
_xlfn.IFS(
N82&lt;=$BC$6,"1st Quartile (Lowest 25%)",
N82&lt;=$BD$6,"2nd Quartile (25–50%)",
N82&lt;=$BE$6,"3rd Quartile (50–75%)",
TRUE,"4th Quartile (Highest 25%)"
))</f>
        <v>4th Quartile (Highest 25%)</v>
      </c>
      <c r="Q82" s="13"/>
      <c r="R82" s="13"/>
      <c r="S82" s="13">
        <v>0.16</v>
      </c>
      <c r="T82" s="13"/>
      <c r="U82" s="13"/>
      <c r="V82" s="130"/>
      <c r="W82" s="130"/>
      <c r="X82" s="130">
        <v>231.4814814814815</v>
      </c>
      <c r="Y82" s="130">
        <v>4320</v>
      </c>
      <c r="Z82" s="13"/>
      <c r="AA82" s="63" t="s">
        <v>49</v>
      </c>
      <c r="AB82" s="17" t="s">
        <v>583</v>
      </c>
      <c r="AC82" s="448">
        <v>4300</v>
      </c>
      <c r="AD82" s="28">
        <f>'VfM MSD Mastersheet'!$O84</f>
        <v>-0.2957336076651701</v>
      </c>
      <c r="AE82" s="317" t="str">
        <f t="array" ref="AE82">_xlfn.IFS(
AD82&lt;=$BC$3,"1st Quartile (Lowest 25%)",
AD82&lt;=$BD$3,"2nd Quartile (25–50%)",
AD82&lt;=$BE$3,"3rd Quartile (50–75%)",
TRUE,"4th Quartile (Highest 25%)"
)</f>
        <v>4th Quartile (Highest 25%)</v>
      </c>
      <c r="AF82" s="13">
        <f>'VfM MSD Mastersheet'!$P84</f>
        <v>7.0445354038093262</v>
      </c>
      <c r="AG82" s="318" t="str">
        <f t="array" ref="AG82">_xlfn.IFS(
AF82&lt;=$BC$4,"1st Quartile (Lowest 25%)",
AF82&lt;=$BD$4,"2nd Quartile (25–50%)",
AF82&lt;=$BE$4,"3rd Quartile (50–75%)",
TRUE,"4th Quartile (Highest 25%)"
)</f>
        <v>3rd Quartile (50–75%)</v>
      </c>
      <c r="AH82" s="46" t="s">
        <v>673</v>
      </c>
      <c r="AI82" s="193" t="str">
        <f t="array" ref="AI82">_xlfn.IFS(
AND(AE82="1st Quartile (Lowest 25%)",AG82="4th Quartile (Highest 25%)"),"Group 1",
AND(AE82="4th Quartile (Highest 25%)",AG82="1st Quartile (Lowest 25%)"),"Group 3",
OR(AE82="1st Quartile (Lowest 25%)",AE82="2nd Quartile (25–50%)"),"Group 2A (Low Stability)",
TRUE,"Group 2B (High Inflation)"
)</f>
        <v>Group 2B (High Inflation)</v>
      </c>
      <c r="AN82" t="str">
        <f t="array" ref="AN82">_xlfn.IFS(
AND(AE82="1st Quartile (Lowest 25%)",AG82="4th Quartile (Highest 25%)",K82&lt;=5),"Group 1 - Short",
AND(AE82="1st Quartile (Lowest 25%)",AG82="4th Quartile (Highest 25%)",K82&lt;10),"Group 1 - Medium",
AND(AE82="1st Quartile (Lowest 25%)",AG82="4th Quartile (Highest 25%)",TRUE),"Group 1 - Long",
AND(AE82="4th Quartile (Highest 25%)",AG82="1st Quartile (Lowest 25%)",K82&lt;=5),"Group 3 - Short",
AND(AE82="4th Quartile (Highest 25%)",AG82="1st Quartile (Lowest 25%)",K82&lt;10),"Group 3 - Medium",
AND(AE82="4th Quartile (Highest 25%)",AG82="1st Quartile (Lowest 25%)",TRUE),"Group 3 - Long",
AND(OR(AE82="1st Quartile (Lowest 25%)",AE82="2nd Quartile (25–50%)"),K82&lt;=5),"Group 2A - Short",
AND(OR(AE82="1st Quartile (Lowest 25%)",AE82="2nd Quartile (25–50%)"),K82&lt;10),"Group 2A - Medium",
AND(OR(AE82="1st Quartile (Lowest 25%)",AE82="2nd Quartile (25–50%)"),TRUE),"Group 2A - Long",
K82&lt;=5,"Group 2B - Short",
K82&lt;10,"Group 2B - Medium",
TRUE,"Group 2B - Long"
)</f>
        <v>Group 2B - Long</v>
      </c>
    </row>
    <row r="83" spans="1:40" ht="14.45" customHeight="1" x14ac:dyDescent="0.25">
      <c r="A83" s="17" t="s">
        <v>394</v>
      </c>
      <c r="B83" t="s">
        <v>395</v>
      </c>
      <c r="C83" s="4" t="s">
        <v>171</v>
      </c>
      <c r="G83" s="17" t="s">
        <v>53</v>
      </c>
      <c r="H83" s="452" t="e" vm="30">
        <v>#VALUE!</v>
      </c>
      <c r="I83" s="4">
        <v>2012</v>
      </c>
      <c r="J83">
        <v>2018</v>
      </c>
      <c r="K83">
        <f t="shared" si="2"/>
        <v>6</v>
      </c>
      <c r="L83" t="s">
        <v>39</v>
      </c>
      <c r="M83" s="66" t="s">
        <v>582</v>
      </c>
      <c r="N83" s="448">
        <v>67920000</v>
      </c>
      <c r="O83" s="448">
        <f>Table9[[#This Row],[Cost (USD)]]/Table9[[#This Row],[Programme Length]]</f>
        <v>11320000</v>
      </c>
      <c r="P83" s="46" t="str">
        <f t="array" ref="P83">IF(N83=0,"N/A",
_xlfn.IFS(
N83&lt;=$BC$6,"1st Quartile (Lowest 25%)",
N83&lt;=$BD$6,"2nd Quartile (25–50%)",
N83&lt;=$BE$6,"3rd Quartile (50–75%)",
TRUE,"4th Quartile (Highest 25%)"
))</f>
        <v>4th Quartile (Highest 25%)</v>
      </c>
      <c r="Q83" s="130">
        <v>99.714285714285708</v>
      </c>
      <c r="R83" s="13">
        <f>IFERROR(Q83/AC83,"")</f>
        <v>2.4928571428571428E-2</v>
      </c>
      <c r="S83" s="13">
        <v>0.26501766784452302</v>
      </c>
      <c r="T83" s="13"/>
      <c r="U83" s="13"/>
      <c r="V83" s="130">
        <v>11983.062808750879</v>
      </c>
      <c r="W83" s="130">
        <v>83.451118963486451</v>
      </c>
      <c r="X83" s="130"/>
      <c r="Y83" s="130"/>
      <c r="Z83" s="13">
        <v>3.3067852767962309</v>
      </c>
      <c r="AA83" s="63" t="s">
        <v>42</v>
      </c>
      <c r="AB83" s="17" t="s">
        <v>586</v>
      </c>
      <c r="AC83" s="448">
        <v>4000</v>
      </c>
      <c r="AD83" s="28">
        <f>'VfM MSD Mastersheet'!$O25</f>
        <v>-0.44831524416804303</v>
      </c>
      <c r="AE83" s="317" t="str">
        <f t="array" ref="AE83">_xlfn.IFS(
AD83&lt;=$BC$3,"1st Quartile (Lowest 25%)",
AD83&lt;=$BD$3,"2nd Quartile (25–50%)",
AD83&lt;=$BE$3,"3rd Quartile (50–75%)",
TRUE,"4th Quartile (Highest 25%)"
)</f>
        <v>3rd Quartile (50–75%)</v>
      </c>
      <c r="AF83" s="28">
        <f>'VfM MSD Mastersheet'!$P25</f>
        <v>0.48313053254445415</v>
      </c>
      <c r="AG83" s="317" t="str">
        <f t="array" ref="AG83">_xlfn.IFS(
AF83&lt;=$BC$4,"1st Quartile (Lowest 25%)",
AF83&lt;=$BD$4,"2nd Quartile (25–50%)",
AF83&lt;=$BE$4,"3rd Quartile (50–75%)",
TRUE,"4th Quartile (Highest 25%)"
)</f>
        <v>1st Quartile (Lowest 25%)</v>
      </c>
      <c r="AH83" s="46" t="s">
        <v>587</v>
      </c>
      <c r="AI83" s="193" t="str">
        <f t="array" ref="AI83">_xlfn.IFS(
AND(AE83="1st Quartile (Lowest 25%)",AG83="4th Quartile (Highest 25%)"),"Group 1",
AND(AE83="4th Quartile (Highest 25%)",AG83="1st Quartile (Lowest 25%)"),"Group 3",
OR(AE83="1st Quartile (Lowest 25%)",AE83="2nd Quartile (25–50%)"),"Group 2A (Low Stability)",
TRUE,"Group 2B (High Inflation)"
)</f>
        <v>Group 2B (High Inflation)</v>
      </c>
      <c r="AN83" t="str">
        <f t="array" ref="AN83">_xlfn.IFS(
AND(AE83="1st Quartile (Lowest 25%)",AG83="4th Quartile (Highest 25%)",K83&lt;=5),"Group 1 - Short",
AND(AE83="1st Quartile (Lowest 25%)",AG83="4th Quartile (Highest 25%)",K83&lt;10),"Group 1 - Medium",
AND(AE83="1st Quartile (Lowest 25%)",AG83="4th Quartile (Highest 25%)",TRUE),"Group 1 - Long",
AND(AE83="4th Quartile (Highest 25%)",AG83="1st Quartile (Lowest 25%)",K83&lt;=5),"Group 3 - Short",
AND(AE83="4th Quartile (Highest 25%)",AG83="1st Quartile (Lowest 25%)",K83&lt;10),"Group 3 - Medium",
AND(AE83="4th Quartile (Highest 25%)",AG83="1st Quartile (Lowest 25%)",TRUE),"Group 3 - Long",
AND(OR(AE83="1st Quartile (Lowest 25%)",AE83="2nd Quartile (25–50%)"),K83&lt;=5),"Group 2A - Short",
AND(OR(AE83="1st Quartile (Lowest 25%)",AE83="2nd Quartile (25–50%)"),K83&lt;10),"Group 2A - Medium",
AND(OR(AE83="1st Quartile (Lowest 25%)",AE83="2nd Quartile (25–50%)"),TRUE),"Group 2A - Long",
K83&lt;=5,"Group 2B - Short",
K83&lt;10,"Group 2B - Medium",
TRUE,"Group 2B - Long"
)</f>
        <v>Group 2B - Medium</v>
      </c>
    </row>
    <row r="84" spans="1:40" ht="14.45" customHeight="1" x14ac:dyDescent="0.25">
      <c r="A84" s="67" t="s">
        <v>404</v>
      </c>
      <c r="B84" s="36" t="s">
        <v>405</v>
      </c>
      <c r="C84" s="67" t="s">
        <v>45</v>
      </c>
      <c r="D84" s="36"/>
      <c r="E84" s="36"/>
      <c r="F84" s="36"/>
      <c r="G84" s="35" t="s">
        <v>406</v>
      </c>
      <c r="H84" s="451" t="s">
        <v>337</v>
      </c>
      <c r="I84" s="67">
        <v>2011</v>
      </c>
      <c r="J84" s="36">
        <v>2022</v>
      </c>
      <c r="K84" s="36">
        <f t="shared" si="2"/>
        <v>11</v>
      </c>
      <c r="L84" s="36" t="s">
        <v>687</v>
      </c>
      <c r="M84" s="69" t="s">
        <v>594</v>
      </c>
      <c r="N84" s="458">
        <v>69492474.015000001</v>
      </c>
      <c r="O84" s="458">
        <f>Table9[[#This Row],[Cost (USD)]]/Table9[[#This Row],[Programme Length]]</f>
        <v>6317497.6377272727</v>
      </c>
      <c r="P84" s="352" t="str">
        <f t="array" ref="P84">IF(N84=0,"N/A",
_xlfn.IFS(
N84&lt;=$BC$6,"1st Quartile (Lowest 25%)",
N84&lt;=$BD$6,"2nd Quartile (25–50%)",
N84&lt;=$BE$6,"3rd Quartile (50–75%)",
TRUE,"4th Quartile (Highest 25%)"
))</f>
        <v>4th Quartile (Highest 25%)</v>
      </c>
      <c r="Q84" s="199">
        <v>492.39882661123181</v>
      </c>
      <c r="R84" s="149">
        <f>IFERROR(Q84/AC84,"")</f>
        <v>4.6895126343926841E-2</v>
      </c>
      <c r="S84" s="149">
        <v>0.48221049077583339</v>
      </c>
      <c r="T84" s="149">
        <v>3.2399911384850131</v>
      </c>
      <c r="U84" s="149"/>
      <c r="V84" s="199">
        <v>9620.9987560570407</v>
      </c>
      <c r="W84" s="199">
        <v>104</v>
      </c>
      <c r="X84" s="199">
        <v>4673.3338275050437</v>
      </c>
      <c r="Y84" s="199">
        <v>213.98000590380909</v>
      </c>
      <c r="Z84" s="149">
        <v>2.479045428182832</v>
      </c>
      <c r="AA84" s="65" t="s">
        <v>49</v>
      </c>
      <c r="AB84" s="36" t="s">
        <v>597</v>
      </c>
      <c r="AC84" s="458">
        <v>10500</v>
      </c>
      <c r="AD84" s="37">
        <f>'VfM MSD Mastersheet'!$O33</f>
        <v>-0.79026403029759706</v>
      </c>
      <c r="AE84" s="459" t="str">
        <f t="array" ref="AE84">_xlfn.IFS(
AD84&lt;=$BC$3,"1st Quartile (Lowest 25%)",
AD84&lt;=$BD$3,"2nd Quartile (25–50%)",
AD84&lt;=$BE$3,"3rd Quartile (50–75%)",
TRUE,"4th Quartile (Highest 25%)"
)</f>
        <v>2nd Quartile (25–50%)</v>
      </c>
      <c r="AF84" s="37">
        <f>'VfM MSD Mastersheet'!$P33</f>
        <v>6.1942885561365557</v>
      </c>
      <c r="AG84" s="459" t="str">
        <f t="array" ref="AG84">_xlfn.IFS(
AF84&lt;=$BC$4,"1st Quartile (Lowest 25%)",
AF84&lt;=$BD$4,"2nd Quartile (25–50%)",
AF84&lt;=$BE$4,"3rd Quartile (50–75%)",
TRUE,"4th Quartile (Highest 25%)"
)</f>
        <v>2nd Quartile (25–50%)</v>
      </c>
      <c r="AH84" s="352" t="s">
        <v>673</v>
      </c>
      <c r="AI84" s="193" t="str">
        <f t="array" ref="AI84">_xlfn.IFS(
AND(AE84="1st Quartile (Lowest 25%)",AG84="4th Quartile (Highest 25%)"),"Group 1",
AND(AE84="4th Quartile (Highest 25%)",AG84="1st Quartile (Lowest 25%)"),"Group 3",
OR(AE84="1st Quartile (Lowest 25%)",AE84="2nd Quartile (25–50%)"),"Group 2A (Low Stability)",
TRUE,"Group 2B (High Inflation)"
)</f>
        <v>Group 2A (Low Stability)</v>
      </c>
      <c r="AN84" t="str">
        <f t="array" ref="AN84">_xlfn.IFS(
AND(AE84="1st Quartile (Lowest 25%)",AG84="4th Quartile (Highest 25%)",K84&lt;=5),"Group 1 - Short",
AND(AE84="1st Quartile (Lowest 25%)",AG84="4th Quartile (Highest 25%)",K84&lt;10),"Group 1 - Medium",
AND(AE84="1st Quartile (Lowest 25%)",AG84="4th Quartile (Highest 25%)",TRUE),"Group 1 - Long",
AND(AE84="4th Quartile (Highest 25%)",AG84="1st Quartile (Lowest 25%)",K84&lt;=5),"Group 3 - Short",
AND(AE84="4th Quartile (Highest 25%)",AG84="1st Quartile (Lowest 25%)",K84&lt;10),"Group 3 - Medium",
AND(AE84="4th Quartile (Highest 25%)",AG84="1st Quartile (Lowest 25%)",TRUE),"Group 3 - Long",
AND(OR(AE84="1st Quartile (Lowest 25%)",AE84="2nd Quartile (25–50%)"),K84&lt;=5),"Group 2A - Short",
AND(OR(AE84="1st Quartile (Lowest 25%)",AE84="2nd Quartile (25–50%)"),K84&lt;10),"Group 2A - Medium",
AND(OR(AE84="1st Quartile (Lowest 25%)",AE84="2nd Quartile (25–50%)"),TRUE),"Group 2A - Long",
K84&lt;=5,"Group 2B - Short",
K84&lt;10,"Group 2B - Medium",
TRUE,"Group 2B - Long"
)</f>
        <v>Group 2A - Long</v>
      </c>
    </row>
    <row r="85" spans="1:40" ht="14.45" customHeight="1" x14ac:dyDescent="0.25">
      <c r="A85" t="s">
        <v>397</v>
      </c>
      <c r="B85" t="s">
        <v>397</v>
      </c>
      <c r="C85" s="4" t="s">
        <v>137</v>
      </c>
      <c r="G85" t="s">
        <v>200</v>
      </c>
      <c r="H85" s="452" t="e" vm="36">
        <v>#VALUE!</v>
      </c>
      <c r="I85" s="4">
        <v>2014</v>
      </c>
      <c r="J85">
        <v>2021</v>
      </c>
      <c r="K85">
        <f t="shared" si="2"/>
        <v>7</v>
      </c>
      <c r="L85" t="s">
        <v>39</v>
      </c>
      <c r="M85" s="63" t="s">
        <v>594</v>
      </c>
      <c r="N85" s="448">
        <v>70000000</v>
      </c>
      <c r="O85" s="448">
        <f>Table9[[#This Row],[Cost (USD)]]/Table9[[#This Row],[Programme Length]]</f>
        <v>10000000</v>
      </c>
      <c r="P85" s="354" t="str">
        <f t="array" ref="P85">IF(N85=0,"N/A",
_xlfn.IFS(
N85&lt;=$BC$6,"1st Quartile (Lowest 25%)",
N85&lt;=$BD$6,"2nd Quartile (25–50%)",
N85&lt;=$BE$6,"3rd Quartile (50–75%)",
TRUE,"4th Quartile (Highest 25%)"
))</f>
        <v>4th Quartile (Highest 25%)</v>
      </c>
      <c r="Q85" s="32">
        <v>51.919783760864973</v>
      </c>
      <c r="R85" s="28">
        <f>IFERROR(Q85/AC85,"")</f>
        <v>3.4613189173909979E-2</v>
      </c>
      <c r="S85" s="28"/>
      <c r="T85" s="28"/>
      <c r="U85" s="28">
        <v>9.1880142857142869E-2</v>
      </c>
      <c r="V85" s="32"/>
      <c r="W85" s="32"/>
      <c r="X85" s="32"/>
      <c r="Y85" s="32"/>
      <c r="Z85" s="28">
        <v>0.69973034285714297</v>
      </c>
      <c r="AA85" s="63" t="s">
        <v>42</v>
      </c>
      <c r="AB85" s="17" t="s">
        <v>586</v>
      </c>
      <c r="AC85" s="448">
        <v>1500</v>
      </c>
      <c r="AD85" s="28">
        <f>'VfM MSD Mastersheet'!$O40</f>
        <v>-0.77115476131439187</v>
      </c>
      <c r="AE85" s="317" t="str">
        <f t="array" ref="AE85">_xlfn.IFS(
AD85&lt;=$BC$3,"1st Quartile (Lowest 25%)",
AD85&lt;=$BD$3,"2nd Quartile (25–50%)",
AD85&lt;=$BE$3,"3rd Quartile (50–75%)",
TRUE,"4th Quartile (Highest 25%)"
)</f>
        <v>2nd Quartile (25–50%)</v>
      </c>
      <c r="AF85" s="13">
        <f>'VfM MSD Mastersheet'!$P40</f>
        <v>3.6394567493538004</v>
      </c>
      <c r="AG85" s="323" t="str">
        <f t="array" ref="AG85">_xlfn.IFS(
AF85&lt;=$BC$4,"1st Quartile (Lowest 25%)",
AF85&lt;=$BD$4,"2nd Quartile (25–50%)",
AF85&lt;=$BE$4,"3rd Quartile (50–75%)",
TRUE,"4th Quartile (Highest 25%)"
)</f>
        <v>1st Quartile (Lowest 25%)</v>
      </c>
      <c r="AH85" s="46" t="s">
        <v>674</v>
      </c>
      <c r="AI85" s="193" t="str">
        <f t="array" ref="AI85">_xlfn.IFS(
AND(AE85="1st Quartile (Lowest 25%)",AG85="4th Quartile (Highest 25%)"),"Group 1",
AND(AE85="4th Quartile (Highest 25%)",AG85="1st Quartile (Lowest 25%)"),"Group 3",
OR(AE85="1st Quartile (Lowest 25%)",AE85="2nd Quartile (25–50%)"),"Group 2A (Low Stability)",
TRUE,"Group 2B (High Inflation)"
)</f>
        <v>Group 2A (Low Stability)</v>
      </c>
      <c r="AN85" t="str">
        <f t="array" ref="AN85">_xlfn.IFS(
AND(AE85="1st Quartile (Lowest 25%)",AG85="4th Quartile (Highest 25%)",K85&lt;=5),"Group 1 - Short",
AND(AE85="1st Quartile (Lowest 25%)",AG85="4th Quartile (Highest 25%)",K85&lt;10),"Group 1 - Medium",
AND(AE85="1st Quartile (Lowest 25%)",AG85="4th Quartile (Highest 25%)",TRUE),"Group 1 - Long",
AND(AE85="4th Quartile (Highest 25%)",AG85="1st Quartile (Lowest 25%)",K85&lt;=5),"Group 3 - Short",
AND(AE85="4th Quartile (Highest 25%)",AG85="1st Quartile (Lowest 25%)",K85&lt;10),"Group 3 - Medium",
AND(AE85="4th Quartile (Highest 25%)",AG85="1st Quartile (Lowest 25%)",TRUE),"Group 3 - Long",
AND(OR(AE85="1st Quartile (Lowest 25%)",AE85="2nd Quartile (25–50%)"),K85&lt;=5),"Group 2A - Short",
AND(OR(AE85="1st Quartile (Lowest 25%)",AE85="2nd Quartile (25–50%)"),K85&lt;10),"Group 2A - Medium",
AND(OR(AE85="1st Quartile (Lowest 25%)",AE85="2nd Quartile (25–50%)"),TRUE),"Group 2A - Long",
K85&lt;=5,"Group 2B - Short",
K85&lt;10,"Group 2B - Medium",
TRUE,"Group 2B - Long"
)</f>
        <v>Group 2A - Medium</v>
      </c>
    </row>
    <row r="86" spans="1:40" ht="14.45" customHeight="1" x14ac:dyDescent="0.25">
      <c r="A86" s="36" t="s">
        <v>407</v>
      </c>
      <c r="B86" s="36" t="s">
        <v>408</v>
      </c>
      <c r="C86" s="67" t="s">
        <v>137</v>
      </c>
      <c r="D86" s="36" t="s">
        <v>104</v>
      </c>
      <c r="E86" s="36" t="s">
        <v>691</v>
      </c>
      <c r="F86" s="36" t="s">
        <v>606</v>
      </c>
      <c r="G86" s="35" t="s">
        <v>74</v>
      </c>
      <c r="H86" s="451" t="e" vm="8">
        <v>#VALUE!</v>
      </c>
      <c r="I86" s="67">
        <v>2003</v>
      </c>
      <c r="J86" s="36">
        <v>2013</v>
      </c>
      <c r="K86" s="36">
        <f t="shared" si="2"/>
        <v>10</v>
      </c>
      <c r="L86" s="36" t="s">
        <v>692</v>
      </c>
      <c r="M86" s="69" t="s">
        <v>594</v>
      </c>
      <c r="N86" s="458">
        <v>82000000</v>
      </c>
      <c r="O86" s="458">
        <f>Table9[[#This Row],[Cost (USD)]]/Table9[[#This Row],[Programme Length]]</f>
        <v>8200000</v>
      </c>
      <c r="P86" s="352" t="str">
        <f t="array" ref="P86">IF(N86=0,"N/A",
_xlfn.IFS(
N86&lt;=$BC$6,"1st Quartile (Lowest 25%)",
N86&lt;=$BD$6,"2nd Quartile (25–50%)",
N86&lt;=$BE$6,"3rd Quartile (50–75%)",
TRUE,"4th Quartile (Highest 25%)"
))</f>
        <v>4th Quartile (Highest 25%)</v>
      </c>
      <c r="Q86" s="199">
        <v>74</v>
      </c>
      <c r="R86" s="149">
        <f>IFERROR(Q86/AC86,"")</f>
        <v>7.9569892473118284E-3</v>
      </c>
      <c r="S86" s="149"/>
      <c r="T86" s="149">
        <v>1.963414634146341</v>
      </c>
      <c r="U86" s="149"/>
      <c r="V86" s="199">
        <v>410</v>
      </c>
      <c r="W86" s="199">
        <v>2439.024390243902</v>
      </c>
      <c r="X86" s="199">
        <v>30.37037037037037</v>
      </c>
      <c r="Y86" s="199">
        <v>32926.829268292677</v>
      </c>
      <c r="Z86" s="149">
        <v>1.963414634146341</v>
      </c>
      <c r="AA86" s="65" t="s">
        <v>49</v>
      </c>
      <c r="AB86" s="35" t="s">
        <v>583</v>
      </c>
      <c r="AC86" s="458">
        <v>9300</v>
      </c>
      <c r="AD86" s="37">
        <f>'VfM MSD Mastersheet'!$O29</f>
        <v>-0.52113158404827131</v>
      </c>
      <c r="AE86" s="459" t="str">
        <f t="array" ref="AE86">_xlfn.IFS(
AD86&lt;=$BC$3,"1st Quartile (Lowest 25%)",
AD86&lt;=$BD$3,"2nd Quartile (25–50%)",
AD86&lt;=$BE$3,"3rd Quartile (50–75%)",
TRUE,"4th Quartile (Highest 25%)"
)</f>
        <v>3rd Quartile (50–75%)</v>
      </c>
      <c r="AF86" s="37">
        <f>'VfM MSD Mastersheet'!$P29</f>
        <v>5.3192992039255742</v>
      </c>
      <c r="AG86" s="459" t="str">
        <f t="array" ref="AG86">_xlfn.IFS(
AF86&lt;=$BC$4,"1st Quartile (Lowest 25%)",
AF86&lt;=$BD$4,"2nd Quartile (25–50%)",
AF86&lt;=$BE$4,"3rd Quartile (50–75%)",
TRUE,"4th Quartile (Highest 25%)"
)</f>
        <v>2nd Quartile (25–50%)</v>
      </c>
      <c r="AH86" s="352" t="s">
        <v>674</v>
      </c>
      <c r="AI86" s="193" t="str">
        <f t="array" ref="AI86">_xlfn.IFS(
AND(AE86="1st Quartile (Lowest 25%)",AG86="4th Quartile (Highest 25%)"),"Group 1",
AND(AE86="4th Quartile (Highest 25%)",AG86="1st Quartile (Lowest 25%)"),"Group 3",
OR(AE86="1st Quartile (Lowest 25%)",AE86="2nd Quartile (25–50%)"),"Group 2A (Low Stability)",
TRUE,"Group 2B (High Inflation)"
)</f>
        <v>Group 2B (High Inflation)</v>
      </c>
      <c r="AN86" t="str">
        <f t="array" ref="AN86">_xlfn.IFS(
AND(AE86="1st Quartile (Lowest 25%)",AG86="4th Quartile (Highest 25%)",K86&lt;=5),"Group 1 - Short",
AND(AE86="1st Quartile (Lowest 25%)",AG86="4th Quartile (Highest 25%)",K86&lt;10),"Group 1 - Medium",
AND(AE86="1st Quartile (Lowest 25%)",AG86="4th Quartile (Highest 25%)",TRUE),"Group 1 - Long",
AND(AE86="4th Quartile (Highest 25%)",AG86="1st Quartile (Lowest 25%)",K86&lt;=5),"Group 3 - Short",
AND(AE86="4th Quartile (Highest 25%)",AG86="1st Quartile (Lowest 25%)",K86&lt;10),"Group 3 - Medium",
AND(AE86="4th Quartile (Highest 25%)",AG86="1st Quartile (Lowest 25%)",TRUE),"Group 3 - Long",
AND(OR(AE86="1st Quartile (Lowest 25%)",AE86="2nd Quartile (25–50%)"),K86&lt;=5),"Group 2A - Short",
AND(OR(AE86="1st Quartile (Lowest 25%)",AE86="2nd Quartile (25–50%)"),K86&lt;10),"Group 2A - Medium",
AND(OR(AE86="1st Quartile (Lowest 25%)",AE86="2nd Quartile (25–50%)"),TRUE),"Group 2A - Long",
K86&lt;=5,"Group 2B - Short",
K86&lt;10,"Group 2B - Medium",
TRUE,"Group 2B - Long"
)</f>
        <v>Group 2B - Long</v>
      </c>
    </row>
    <row r="87" spans="1:40" ht="14.45" customHeight="1" x14ac:dyDescent="0.25">
      <c r="A87" t="s">
        <v>399</v>
      </c>
      <c r="B87" t="s">
        <v>399</v>
      </c>
      <c r="C87" s="29" t="s">
        <v>137</v>
      </c>
      <c r="G87" t="s">
        <v>138</v>
      </c>
      <c r="H87" s="452" t="e" vm="3">
        <v>#VALUE!</v>
      </c>
      <c r="I87" s="4">
        <v>2012</v>
      </c>
      <c r="J87">
        <v>2021</v>
      </c>
      <c r="K87">
        <f t="shared" si="2"/>
        <v>9</v>
      </c>
      <c r="L87" t="s">
        <v>39</v>
      </c>
      <c r="M87" s="66" t="s">
        <v>594</v>
      </c>
      <c r="N87" s="448">
        <v>84864440</v>
      </c>
      <c r="O87" s="448">
        <f>Table9[[#This Row],[Cost (USD)]]/Table9[[#This Row],[Programme Length]]</f>
        <v>9429382.222222222</v>
      </c>
      <c r="P87" s="46" t="str">
        <f t="array" ref="P87">IF(N87=0,"N/A",
_xlfn.IFS(
N87&lt;=$BC$6,"1st Quartile (Lowest 25%)",
N87&lt;=$BD$6,"2nd Quartile (25–50%)",
N87&lt;=$BE$6,"3rd Quartile (50–75%)",
TRUE,"4th Quartile (Highest 25%)"
))</f>
        <v>4th Quartile (Highest 25%)</v>
      </c>
      <c r="Q87" s="32">
        <v>94.051340826613838</v>
      </c>
      <c r="R87" s="28">
        <f>IFERROR(Q87/AC87,"")</f>
        <v>1.4928784258192673E-2</v>
      </c>
      <c r="S87" s="28">
        <v>1.426401761744966</v>
      </c>
      <c r="T87" s="28"/>
      <c r="U87" s="28"/>
      <c r="V87" s="32"/>
      <c r="W87" s="32"/>
      <c r="X87" s="32">
        <v>65.570665191416765</v>
      </c>
      <c r="Y87" s="32">
        <v>15250.72221062202</v>
      </c>
      <c r="Z87" s="28">
        <v>1.434350872483221</v>
      </c>
      <c r="AA87" s="63" t="s">
        <v>42</v>
      </c>
      <c r="AB87" s="17" t="s">
        <v>583</v>
      </c>
      <c r="AC87" s="448">
        <v>6300</v>
      </c>
      <c r="AD87" s="28">
        <f>'VfM MSD Mastersheet'!$O43</f>
        <v>-0.31180437334946232</v>
      </c>
      <c r="AE87" s="318" t="str">
        <f t="array" ref="AE87">_xlfn.IFS(
AD87&lt;=$BC$3,"1st Quartile (Lowest 25%)",
AD87&lt;=$BD$3,"2nd Quartile (25–50%)",
AD87&lt;=$BE$3,"3rd Quartile (50–75%)",
TRUE,"4th Quartile (Highest 25%)"
)</f>
        <v>4th Quartile (Highest 25%)</v>
      </c>
      <c r="AF87" s="13">
        <f>'VfM MSD Mastersheet'!$P43</f>
        <v>3.6135397465801344</v>
      </c>
      <c r="AG87" s="323" t="str">
        <f t="array" ref="AG87">_xlfn.IFS(
AF87&lt;=$BC$4,"1st Quartile (Lowest 25%)",
AF87&lt;=$BD$4,"2nd Quartile (25–50%)",
AF87&lt;=$BE$4,"3rd Quartile (50–75%)",
TRUE,"4th Quartile (Highest 25%)"
)</f>
        <v>1st Quartile (Lowest 25%)</v>
      </c>
      <c r="AH87" s="46" t="s">
        <v>587</v>
      </c>
      <c r="AI87" s="193" t="str">
        <f t="array" ref="AI87">_xlfn.IFS(
AND(AE87="1st Quartile (Lowest 25%)",AG87="4th Quartile (Highest 25%)"),"Group 1",
AND(AE87="4th Quartile (Highest 25%)",AG87="1st Quartile (Lowest 25%)"),"Group 3",
OR(AE87="1st Quartile (Lowest 25%)",AE87="2nd Quartile (25–50%)"),"Group 2A (Low Stability)",
TRUE,"Group 2B (High Inflation)"
)</f>
        <v>Group 3</v>
      </c>
      <c r="AN87" t="str">
        <f t="array" ref="AN87">_xlfn.IFS(
AND(AE87="1st Quartile (Lowest 25%)",AG87="4th Quartile (Highest 25%)",K87&lt;=5),"Group 1 - Short",
AND(AE87="1st Quartile (Lowest 25%)",AG87="4th Quartile (Highest 25%)",K87&lt;10),"Group 1 - Medium",
AND(AE87="1st Quartile (Lowest 25%)",AG87="4th Quartile (Highest 25%)",TRUE),"Group 1 - Long",
AND(AE87="4th Quartile (Highest 25%)",AG87="1st Quartile (Lowest 25%)",K87&lt;=5),"Group 3 - Short",
AND(AE87="4th Quartile (Highest 25%)",AG87="1st Quartile (Lowest 25%)",K87&lt;10),"Group 3 - Medium",
AND(AE87="4th Quartile (Highest 25%)",AG87="1st Quartile (Lowest 25%)",TRUE),"Group 3 - Long",
AND(OR(AE87="1st Quartile (Lowest 25%)",AE87="2nd Quartile (25–50%)"),K87&lt;=5),"Group 2A - Short",
AND(OR(AE87="1st Quartile (Lowest 25%)",AE87="2nd Quartile (25–50%)"),K87&lt;10),"Group 2A - Medium",
AND(OR(AE87="1st Quartile (Lowest 25%)",AE87="2nd Quartile (25–50%)"),TRUE),"Group 2A - Long",
K87&lt;=5,"Group 2B - Short",
K87&lt;10,"Group 2B - Medium",
TRUE,"Group 2B - Long"
)</f>
        <v>Group 3 - Medium</v>
      </c>
    </row>
    <row r="88" spans="1:40" ht="14.45" customHeight="1" x14ac:dyDescent="0.25">
      <c r="A88" s="17" t="s">
        <v>401</v>
      </c>
      <c r="B88" s="4" t="s">
        <v>402</v>
      </c>
      <c r="C88" s="4" t="s">
        <v>45</v>
      </c>
      <c r="G88" s="17" t="s">
        <v>138</v>
      </c>
      <c r="H88" s="450" t="e" vm="5">
        <v>#VALUE!</v>
      </c>
      <c r="I88" s="4">
        <v>2019</v>
      </c>
      <c r="J88">
        <v>2023</v>
      </c>
      <c r="K88">
        <f t="shared" si="2"/>
        <v>4</v>
      </c>
      <c r="L88" t="s">
        <v>39</v>
      </c>
      <c r="M88" s="66" t="s">
        <v>602</v>
      </c>
      <c r="N88" s="448">
        <v>95000000</v>
      </c>
      <c r="O88" s="448">
        <f>Table9[[#This Row],[Cost (USD)]]/Table9[[#This Row],[Programme Length]]</f>
        <v>23750000</v>
      </c>
      <c r="P88" s="46" t="str">
        <f t="array" ref="P88">IF(N88=0,"N/A",
_xlfn.IFS(
N88&lt;=$BC$6,"1st Quartile (Lowest 25%)",
N88&lt;=$BD$6,"2nd Quartile (25–50%)",
N88&lt;=$BE$6,"3rd Quartile (50–75%)",
TRUE,"4th Quartile (Highest 25%)"
))</f>
        <v>4th Quartile (Highest 25%)</v>
      </c>
      <c r="Q88" s="130"/>
      <c r="R88" s="13"/>
      <c r="S88" s="13">
        <v>0.1757894736842105</v>
      </c>
      <c r="T88" s="13">
        <v>0.8147368421052632</v>
      </c>
      <c r="U88" s="13"/>
      <c r="V88" s="130"/>
      <c r="W88" s="130"/>
      <c r="X88" s="130">
        <v>77.577998552966179</v>
      </c>
      <c r="Y88" s="130">
        <v>12890.252631578949</v>
      </c>
      <c r="Z88" s="13"/>
      <c r="AA88" s="63" t="s">
        <v>49</v>
      </c>
      <c r="AB88" s="17" t="s">
        <v>589</v>
      </c>
      <c r="AC88" s="448">
        <v>16500</v>
      </c>
      <c r="AD88" s="28">
        <f>'VfM MSD Mastersheet'!$O20</f>
        <v>-1.1122348407904319</v>
      </c>
      <c r="AE88" s="317" t="str">
        <f t="array" ref="AE88">_xlfn.IFS(
AD88&lt;=$BC$3,"1st Quartile (Lowest 25%)",
AD88&lt;=$BD$3,"2nd Quartile (25–50%)",
AD88&lt;=$BE$3,"3rd Quartile (50–75%)",
TRUE,"4th Quartile (Highest 25%)"
)</f>
        <v>2nd Quartile (25–50%)</v>
      </c>
      <c r="AF88" s="28">
        <f>'VfM MSD Mastersheet'!$P20</f>
        <v>5.6688043857563271</v>
      </c>
      <c r="AG88" s="317" t="str">
        <f t="array" ref="AG88">_xlfn.IFS(
AF88&lt;=$BC$4,"1st Quartile (Lowest 25%)",
AF88&lt;=$BD$4,"2nd Quartile (25–50%)",
AF88&lt;=$BE$4,"3rd Quartile (50–75%)",
TRUE,"4th Quartile (Highest 25%)"
)</f>
        <v>2nd Quartile (25–50%)</v>
      </c>
      <c r="AH88" s="46" t="s">
        <v>673</v>
      </c>
      <c r="AI88" s="193" t="str">
        <f t="array" ref="AI88">_xlfn.IFS(
AND(AE88="1st Quartile (Lowest 25%)",AG88="4th Quartile (Highest 25%)"),"Group 1",
AND(AE88="4th Quartile (Highest 25%)",AG88="1st Quartile (Lowest 25%)"),"Group 3",
OR(AE88="1st Quartile (Lowest 25%)",AE88="2nd Quartile (25–50%)"),"Group 2A (Low Stability)",
TRUE,"Group 2B (High Inflation)"
)</f>
        <v>Group 2A (Low Stability)</v>
      </c>
      <c r="AN88" t="str">
        <f t="array" ref="AN88">_xlfn.IFS(
AND(AE88="1st Quartile (Lowest 25%)",AG88="4th Quartile (Highest 25%)",K88&lt;=5),"Group 1 - Short",
AND(AE88="1st Quartile (Lowest 25%)",AG88="4th Quartile (Highest 25%)",K88&lt;10),"Group 1 - Medium",
AND(AE88="1st Quartile (Lowest 25%)",AG88="4th Quartile (Highest 25%)",TRUE),"Group 1 - Long",
AND(AE88="4th Quartile (Highest 25%)",AG88="1st Quartile (Lowest 25%)",K88&lt;=5),"Group 3 - Short",
AND(AE88="4th Quartile (Highest 25%)",AG88="1st Quartile (Lowest 25%)",K88&lt;10),"Group 3 - Medium",
AND(AE88="4th Quartile (Highest 25%)",AG88="1st Quartile (Lowest 25%)",TRUE),"Group 3 - Long",
AND(OR(AE88="1st Quartile (Lowest 25%)",AE88="2nd Quartile (25–50%)"),K88&lt;=5),"Group 2A - Short",
AND(OR(AE88="1st Quartile (Lowest 25%)",AE88="2nd Quartile (25–50%)"),K88&lt;10),"Group 2A - Medium",
AND(OR(AE88="1st Quartile (Lowest 25%)",AE88="2nd Quartile (25–50%)"),TRUE),"Group 2A - Long",
K88&lt;=5,"Group 2B - Short",
K88&lt;10,"Group 2B - Medium",
TRUE,"Group 2B - Long"
)</f>
        <v>Group 2A - Short</v>
      </c>
    </row>
    <row r="90" spans="1:40" x14ac:dyDescent="0.25">
      <c r="M90" s="465"/>
    </row>
    <row r="91" spans="1:40" x14ac:dyDescent="0.25">
      <c r="M91" s="465"/>
    </row>
    <row r="92" spans="1:40" x14ac:dyDescent="0.25">
      <c r="M92" s="465"/>
    </row>
    <row r="128" spans="3:3" x14ac:dyDescent="0.25">
      <c r="C128" s="448"/>
    </row>
    <row r="129" spans="2:3" x14ac:dyDescent="0.25">
      <c r="B129" s="44"/>
      <c r="C129" s="468"/>
    </row>
    <row r="130" spans="2:3" x14ac:dyDescent="0.25">
      <c r="B130" s="466"/>
      <c r="C130" s="467"/>
    </row>
    <row r="131" spans="2:3" x14ac:dyDescent="0.25">
      <c r="B131" s="466"/>
      <c r="C131" s="467"/>
    </row>
    <row r="132" spans="2:3" x14ac:dyDescent="0.25">
      <c r="B132" s="466"/>
      <c r="C132" s="467"/>
    </row>
    <row r="133" spans="2:3" x14ac:dyDescent="0.25">
      <c r="B133" s="466"/>
      <c r="C133" s="467"/>
    </row>
    <row r="134" spans="2:3" x14ac:dyDescent="0.25">
      <c r="B134" s="466"/>
      <c r="C134" s="467"/>
    </row>
    <row r="135" spans="2:3" x14ac:dyDescent="0.25">
      <c r="B135" s="466"/>
      <c r="C135" s="467"/>
    </row>
    <row r="136" spans="2:3" x14ac:dyDescent="0.25">
      <c r="B136" s="466"/>
      <c r="C136" s="467"/>
    </row>
    <row r="137" spans="2:3" x14ac:dyDescent="0.25">
      <c r="B137" s="466"/>
      <c r="C137" s="467"/>
    </row>
    <row r="138" spans="2:3" x14ac:dyDescent="0.25">
      <c r="B138" s="466"/>
      <c r="C138" s="467"/>
    </row>
    <row r="139" spans="2:3" x14ac:dyDescent="0.25">
      <c r="B139" s="466"/>
      <c r="C139" s="467"/>
    </row>
    <row r="140" spans="2:3" x14ac:dyDescent="0.25">
      <c r="B140" s="466"/>
      <c r="C140" s="467"/>
    </row>
    <row r="141" spans="2:3" x14ac:dyDescent="0.25">
      <c r="B141" s="466"/>
      <c r="C141" s="467"/>
    </row>
    <row r="142" spans="2:3" x14ac:dyDescent="0.25">
      <c r="B142" s="466"/>
      <c r="C142" s="467"/>
    </row>
    <row r="143" spans="2:3" x14ac:dyDescent="0.25">
      <c r="B143" s="466"/>
      <c r="C143" s="467"/>
    </row>
    <row r="144" spans="2:3" x14ac:dyDescent="0.25">
      <c r="B144" s="466"/>
      <c r="C144" s="467"/>
    </row>
    <row r="145" spans="2:3" x14ac:dyDescent="0.25">
      <c r="B145" s="466"/>
      <c r="C145" s="467"/>
    </row>
    <row r="146" spans="2:3" x14ac:dyDescent="0.25">
      <c r="B146" s="466"/>
      <c r="C146" s="467"/>
    </row>
    <row r="147" spans="2:3" x14ac:dyDescent="0.25">
      <c r="B147" s="466"/>
      <c r="C147" s="467"/>
    </row>
    <row r="148" spans="2:3" x14ac:dyDescent="0.25">
      <c r="B148" s="466"/>
      <c r="C148" s="467"/>
    </row>
    <row r="149" spans="2:3" x14ac:dyDescent="0.25">
      <c r="B149" s="466"/>
      <c r="C149" s="467"/>
    </row>
    <row r="150" spans="2:3" x14ac:dyDescent="0.25">
      <c r="B150" s="466"/>
      <c r="C150" s="467"/>
    </row>
    <row r="152" spans="2:3" x14ac:dyDescent="0.25">
      <c r="C152" s="448"/>
    </row>
    <row r="153" spans="2:3" x14ac:dyDescent="0.25">
      <c r="B153" s="44"/>
      <c r="C153" s="468"/>
    </row>
    <row r="154" spans="2:3" x14ac:dyDescent="0.25">
      <c r="B154" s="466"/>
      <c r="C154" s="467"/>
    </row>
    <row r="155" spans="2:3" x14ac:dyDescent="0.25">
      <c r="B155" s="466"/>
      <c r="C155" s="467"/>
    </row>
    <row r="156" spans="2:3" x14ac:dyDescent="0.25">
      <c r="B156" s="466"/>
      <c r="C156" s="467"/>
    </row>
    <row r="157" spans="2:3" x14ac:dyDescent="0.25">
      <c r="B157" s="466"/>
      <c r="C157" s="467"/>
    </row>
    <row r="158" spans="2:3" x14ac:dyDescent="0.25">
      <c r="B158" s="466"/>
      <c r="C158" s="467"/>
    </row>
    <row r="159" spans="2:3" x14ac:dyDescent="0.25">
      <c r="B159" s="466"/>
      <c r="C159" s="467"/>
    </row>
    <row r="160" spans="2:3" x14ac:dyDescent="0.25">
      <c r="B160" s="466"/>
      <c r="C160" s="467"/>
    </row>
    <row r="161" spans="2:9" x14ac:dyDescent="0.25">
      <c r="B161" s="466"/>
      <c r="C161" s="467"/>
    </row>
    <row r="162" spans="2:9" x14ac:dyDescent="0.25">
      <c r="B162" s="466"/>
      <c r="C162" s="467"/>
    </row>
    <row r="163" spans="2:9" x14ac:dyDescent="0.25">
      <c r="B163" s="466"/>
    </row>
    <row r="164" spans="2:9" x14ac:dyDescent="0.25">
      <c r="B164" s="466"/>
    </row>
    <row r="165" spans="2:9" x14ac:dyDescent="0.25">
      <c r="B165" s="466"/>
    </row>
    <row r="166" spans="2:9" x14ac:dyDescent="0.25">
      <c r="B166" s="466"/>
    </row>
    <row r="167" spans="2:9" ht="16.149999999999999" customHeight="1" x14ac:dyDescent="0.25">
      <c r="B167" s="466"/>
      <c r="H167" s="44"/>
      <c r="I167" s="468"/>
    </row>
    <row r="168" spans="2:9" x14ac:dyDescent="0.25">
      <c r="B168" s="466"/>
      <c r="H168" s="466"/>
      <c r="I168" s="467"/>
    </row>
    <row r="169" spans="2:9" x14ac:dyDescent="0.25">
      <c r="B169" s="466"/>
      <c r="H169" s="466"/>
      <c r="I169" s="467"/>
    </row>
    <row r="170" spans="2:9" x14ac:dyDescent="0.25">
      <c r="H170" s="466"/>
      <c r="I170" s="467"/>
    </row>
    <row r="171" spans="2:9" x14ac:dyDescent="0.25">
      <c r="H171" s="466"/>
      <c r="I171" s="467"/>
    </row>
    <row r="172" spans="2:9" x14ac:dyDescent="0.25">
      <c r="H172" s="466"/>
      <c r="I172" s="467"/>
    </row>
    <row r="173" spans="2:9" x14ac:dyDescent="0.25">
      <c r="H173" s="466"/>
      <c r="I173" s="467"/>
    </row>
    <row r="174" spans="2:9" x14ac:dyDescent="0.25">
      <c r="H174" s="466"/>
      <c r="I174" s="467"/>
    </row>
    <row r="175" spans="2:9" x14ac:dyDescent="0.25">
      <c r="H175" s="466"/>
      <c r="I175" s="467"/>
    </row>
    <row r="176" spans="2:9" x14ac:dyDescent="0.25">
      <c r="H176" s="466"/>
      <c r="I176" s="467"/>
    </row>
    <row r="177" spans="8:9" x14ac:dyDescent="0.25">
      <c r="H177" s="466"/>
      <c r="I177" s="467"/>
    </row>
    <row r="178" spans="8:9" x14ac:dyDescent="0.25">
      <c r="H178" s="466"/>
      <c r="I178" s="467"/>
    </row>
    <row r="179" spans="8:9" x14ac:dyDescent="0.25">
      <c r="H179" s="466"/>
      <c r="I179" s="467"/>
    </row>
    <row r="180" spans="8:9" x14ac:dyDescent="0.25">
      <c r="H180" s="466"/>
      <c r="I180" s="467"/>
    </row>
    <row r="181" spans="8:9" x14ac:dyDescent="0.25">
      <c r="H181" s="466"/>
      <c r="I181" s="467"/>
    </row>
    <row r="182" spans="8:9" x14ac:dyDescent="0.25">
      <c r="H182" s="466"/>
      <c r="I182" s="467"/>
    </row>
    <row r="183" spans="8:9" x14ac:dyDescent="0.25">
      <c r="H183" s="466"/>
      <c r="I183" s="467"/>
    </row>
    <row r="184" spans="8:9" x14ac:dyDescent="0.25">
      <c r="H184" s="466"/>
      <c r="I184" s="467"/>
    </row>
    <row r="185" spans="8:9" x14ac:dyDescent="0.25">
      <c r="H185" s="466"/>
      <c r="I185" s="467"/>
    </row>
  </sheetData>
  <sheetProtection algorithmName="SHA-512" hashValue="7WItzoTxr268wkzxx9Lnwm4YojCj4olERVXHllILHr4d6qRLfg7PuSmooOTNcy3ArhtsFMtqWepqo04s4bOjkg==" saltValue="0cqaae01r+E8HRvNK6/Wrg==" spinCount="100000" sheet="1" objects="1" scenarios="1"/>
  <conditionalFormatting sqref="AE3:AE88">
    <cfRule type="expression" dxfId="19" priority="5">
      <formula>$AE3="Above 3rd Quintile"</formula>
    </cfRule>
    <cfRule type="expression" dxfId="18" priority="6">
      <formula>$AE3="3rd Quintile"</formula>
    </cfRule>
    <cfRule type="expression" dxfId="17" priority="7">
      <formula>$AE3="2nd Quintile (Median)"</formula>
    </cfRule>
    <cfRule type="expression" dxfId="16" priority="8">
      <formula>$AE3="1st Quintile (Lowest)"</formula>
    </cfRule>
  </conditionalFormatting>
  <conditionalFormatting sqref="AG3:AG88">
    <cfRule type="expression" dxfId="15" priority="1">
      <formula>$AG3="Above 3rd Quintile"</formula>
    </cfRule>
    <cfRule type="expression" dxfId="14" priority="2">
      <formula>$AG3="3rd Quintile"</formula>
    </cfRule>
    <cfRule type="expression" dxfId="13" priority="3">
      <formula>$AG3="2nd Quintile (Median)"</formula>
    </cfRule>
    <cfRule type="expression" dxfId="12" priority="4">
      <formula>$AG3="1st Quintile (Lowest)"</formula>
    </cfRule>
  </conditionalFormatting>
  <dataValidations count="1">
    <dataValidation type="list" allowBlank="1" showInputMessage="1" showErrorMessage="1" sqref="AA3:AA88" xr:uid="{00000000-0002-0000-0400-000000000000}">
      <formula1>"Stable, FCAS, Both"</formula1>
    </dataValidation>
  </dataValidations>
  <pageMargins left="0.7" right="0.7" top="0.75" bottom="0.75" header="0.3" footer="0.3"/>
  <pageSetup orientation="portrait"/>
  <legacy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A87CD"/>
  </sheetPr>
  <dimension ref="B1:CW70"/>
  <sheetViews>
    <sheetView topLeftCell="L1" zoomScale="80" zoomScaleNormal="80" workbookViewId="0">
      <selection activeCell="BE12" sqref="BE12"/>
    </sheetView>
  </sheetViews>
  <sheetFormatPr defaultRowHeight="15" x14ac:dyDescent="0.25"/>
  <cols>
    <col min="1" max="1" width="16.28515625" customWidth="1"/>
    <col min="2" max="2" width="32.140625" customWidth="1"/>
    <col min="3" max="4" width="11.7109375" bestFit="1" customWidth="1"/>
    <col min="5" max="5" width="12.85546875" customWidth="1"/>
    <col min="6" max="6" width="9.28515625" customWidth="1"/>
    <col min="7" max="11" width="12.85546875" customWidth="1"/>
    <col min="12" max="12" width="4.7109375" customWidth="1"/>
    <col min="13" max="21" width="12.85546875" customWidth="1"/>
    <col min="22" max="22" width="4.28515625" customWidth="1"/>
    <col min="23" max="24" width="11.5703125" bestFit="1" customWidth="1"/>
    <col min="25" max="31" width="11.42578125" customWidth="1"/>
    <col min="32" max="32" width="5.42578125" customWidth="1"/>
    <col min="33" max="33" width="11.5703125" bestFit="1" customWidth="1"/>
    <col min="34" max="34" width="10.5703125" customWidth="1"/>
    <col min="35" max="41" width="12" customWidth="1"/>
    <col min="42" max="42" width="4.28515625" customWidth="1"/>
    <col min="43" max="43" width="11.28515625" customWidth="1"/>
    <col min="44" max="44" width="12.7109375" bestFit="1" customWidth="1"/>
    <col min="45" max="51" width="11.5703125" customWidth="1"/>
    <col min="52" max="52" width="3.7109375" customWidth="1"/>
    <col min="53" max="53" width="10.140625" customWidth="1"/>
    <col min="54" max="54" width="10.85546875" customWidth="1"/>
    <col min="55" max="56" width="11" customWidth="1"/>
    <col min="57" max="57" width="12" customWidth="1"/>
    <col min="58" max="61" width="11" customWidth="1"/>
    <col min="62" max="62" width="3.7109375" customWidth="1"/>
    <col min="63" max="66" width="11" customWidth="1"/>
    <col min="67" max="67" width="12.28515625" customWidth="1"/>
    <col min="68" max="71" width="11" customWidth="1"/>
    <col min="72" max="72" width="3.28515625" customWidth="1"/>
    <col min="73" max="73" width="9.28515625" customWidth="1"/>
    <col min="74" max="74" width="10.42578125" customWidth="1"/>
    <col min="75" max="81" width="11" customWidth="1"/>
    <col min="82" max="82" width="3.140625" customWidth="1"/>
    <col min="83" max="91" width="11" customWidth="1"/>
    <col min="92" max="92" width="3.7109375" customWidth="1"/>
    <col min="93" max="93" width="9.85546875" customWidth="1"/>
    <col min="94" max="94" width="10.5703125" customWidth="1"/>
    <col min="95" max="95" width="11.5703125" customWidth="1"/>
  </cols>
  <sheetData>
    <row r="1" spans="2:101" ht="15" customHeight="1" thickBot="1" x14ac:dyDescent="0.3"/>
    <row r="2" spans="2:101" ht="45.6" customHeight="1" x14ac:dyDescent="0.25">
      <c r="B2" s="331" t="s">
        <v>621</v>
      </c>
      <c r="C2" s="530" t="s">
        <v>622</v>
      </c>
      <c r="D2" s="531"/>
      <c r="E2" s="531"/>
      <c r="F2" s="531"/>
      <c r="G2" s="531"/>
      <c r="H2" s="531"/>
      <c r="I2" s="531"/>
      <c r="J2" s="531"/>
      <c r="K2" s="532"/>
      <c r="L2" s="386"/>
      <c r="M2" s="530" t="s">
        <v>693</v>
      </c>
      <c r="N2" s="531"/>
      <c r="O2" s="531"/>
      <c r="P2" s="531"/>
      <c r="Q2" s="531"/>
      <c r="R2" s="531"/>
      <c r="S2" s="531"/>
      <c r="T2" s="531"/>
      <c r="U2" s="532"/>
      <c r="V2" s="392"/>
      <c r="W2" s="530" t="s">
        <v>623</v>
      </c>
      <c r="X2" s="531"/>
      <c r="Y2" s="531"/>
      <c r="Z2" s="531"/>
      <c r="AA2" s="531"/>
      <c r="AB2" s="531"/>
      <c r="AC2" s="531"/>
      <c r="AD2" s="531"/>
      <c r="AE2" s="532"/>
      <c r="AF2" s="382"/>
      <c r="AG2" s="530" t="s">
        <v>624</v>
      </c>
      <c r="AH2" s="531"/>
      <c r="AI2" s="531"/>
      <c r="AJ2" s="531"/>
      <c r="AK2" s="531"/>
      <c r="AL2" s="531"/>
      <c r="AM2" s="531"/>
      <c r="AN2" s="531"/>
      <c r="AO2" s="532"/>
      <c r="AP2" s="382"/>
      <c r="AQ2" s="530" t="s">
        <v>562</v>
      </c>
      <c r="AR2" s="531"/>
      <c r="AS2" s="531"/>
      <c r="AT2" s="531"/>
      <c r="AU2" s="531"/>
      <c r="AV2" s="531"/>
      <c r="AW2" s="531"/>
      <c r="AX2" s="531"/>
      <c r="AY2" s="532"/>
      <c r="AZ2" s="382"/>
      <c r="BA2" s="513" t="s">
        <v>625</v>
      </c>
      <c r="BB2" s="514"/>
      <c r="BC2" s="514"/>
      <c r="BD2" s="514"/>
      <c r="BE2" s="514"/>
      <c r="BF2" s="514"/>
      <c r="BG2" s="514"/>
      <c r="BH2" s="514"/>
      <c r="BI2" s="515"/>
      <c r="BJ2" s="382"/>
      <c r="BK2" s="535" t="s">
        <v>31</v>
      </c>
      <c r="BL2" s="514"/>
      <c r="BM2" s="514"/>
      <c r="BN2" s="514"/>
      <c r="BO2" s="514"/>
      <c r="BP2" s="514"/>
      <c r="BQ2" s="514"/>
      <c r="BR2" s="514"/>
      <c r="BS2" s="514"/>
      <c r="BT2" s="382"/>
      <c r="BU2" s="513" t="s">
        <v>626</v>
      </c>
      <c r="BV2" s="514"/>
      <c r="BW2" s="514"/>
      <c r="BX2" s="514"/>
      <c r="BY2" s="514"/>
      <c r="BZ2" s="514"/>
      <c r="CA2" s="514"/>
      <c r="CB2" s="514"/>
      <c r="CC2" s="515"/>
      <c r="CD2" s="382"/>
      <c r="CE2" s="513" t="s">
        <v>33</v>
      </c>
      <c r="CF2" s="514"/>
      <c r="CG2" s="514"/>
      <c r="CH2" s="514"/>
      <c r="CI2" s="514"/>
      <c r="CJ2" s="514"/>
      <c r="CK2" s="514"/>
      <c r="CL2" s="515"/>
      <c r="CM2" s="329"/>
      <c r="CN2" s="392"/>
      <c r="CO2" s="534" t="s">
        <v>34</v>
      </c>
      <c r="CP2" s="529"/>
      <c r="CQ2" s="529"/>
      <c r="CR2" s="529"/>
      <c r="CS2" s="529"/>
      <c r="CT2" s="529"/>
      <c r="CU2" s="529"/>
      <c r="CV2" s="529"/>
      <c r="CW2" s="529"/>
    </row>
    <row r="3" spans="2:101" ht="57.6" customHeight="1" x14ac:dyDescent="0.25">
      <c r="B3" s="389" t="s">
        <v>627</v>
      </c>
      <c r="C3" s="390" t="s">
        <v>628</v>
      </c>
      <c r="D3" s="201" t="s">
        <v>629</v>
      </c>
      <c r="E3" s="201" t="s">
        <v>630</v>
      </c>
      <c r="F3" s="337" t="s">
        <v>694</v>
      </c>
      <c r="G3" s="337" t="s">
        <v>695</v>
      </c>
      <c r="H3" s="357" t="s">
        <v>696</v>
      </c>
      <c r="I3" s="337" t="s">
        <v>697</v>
      </c>
      <c r="J3" s="357" t="s">
        <v>698</v>
      </c>
      <c r="K3" s="358" t="s">
        <v>699</v>
      </c>
      <c r="L3" s="383"/>
      <c r="M3" s="390" t="s">
        <v>628</v>
      </c>
      <c r="N3" s="201" t="s">
        <v>629</v>
      </c>
      <c r="O3" s="201" t="s">
        <v>630</v>
      </c>
      <c r="P3" s="337" t="s">
        <v>694</v>
      </c>
      <c r="Q3" s="337" t="s">
        <v>695</v>
      </c>
      <c r="R3" s="357" t="s">
        <v>696</v>
      </c>
      <c r="S3" s="337" t="s">
        <v>697</v>
      </c>
      <c r="T3" s="357" t="s">
        <v>698</v>
      </c>
      <c r="U3" s="358" t="s">
        <v>699</v>
      </c>
      <c r="V3" s="383"/>
      <c r="W3" s="390" t="s">
        <v>628</v>
      </c>
      <c r="X3" s="201" t="s">
        <v>629</v>
      </c>
      <c r="Y3" s="201" t="s">
        <v>630</v>
      </c>
      <c r="Z3" s="337" t="s">
        <v>694</v>
      </c>
      <c r="AA3" s="337" t="s">
        <v>695</v>
      </c>
      <c r="AB3" s="357" t="s">
        <v>696</v>
      </c>
      <c r="AC3" s="337" t="s">
        <v>697</v>
      </c>
      <c r="AD3" s="357" t="s">
        <v>698</v>
      </c>
      <c r="AE3" s="358" t="s">
        <v>699</v>
      </c>
      <c r="AF3" s="383"/>
      <c r="AG3" s="390" t="s">
        <v>628</v>
      </c>
      <c r="AH3" s="201" t="s">
        <v>629</v>
      </c>
      <c r="AI3" s="201" t="s">
        <v>630</v>
      </c>
      <c r="AJ3" s="337" t="s">
        <v>694</v>
      </c>
      <c r="AK3" s="337" t="s">
        <v>695</v>
      </c>
      <c r="AL3" s="357" t="s">
        <v>696</v>
      </c>
      <c r="AM3" s="337" t="s">
        <v>697</v>
      </c>
      <c r="AN3" s="357" t="s">
        <v>698</v>
      </c>
      <c r="AO3" s="358" t="s">
        <v>699</v>
      </c>
      <c r="AP3" s="383"/>
      <c r="AQ3" s="390" t="s">
        <v>628</v>
      </c>
      <c r="AR3" s="201" t="s">
        <v>629</v>
      </c>
      <c r="AS3" s="201" t="s">
        <v>630</v>
      </c>
      <c r="AT3" s="337" t="s">
        <v>694</v>
      </c>
      <c r="AU3" s="337" t="s">
        <v>695</v>
      </c>
      <c r="AV3" s="357" t="s">
        <v>696</v>
      </c>
      <c r="AW3" s="337" t="s">
        <v>697</v>
      </c>
      <c r="AX3" s="357" t="s">
        <v>698</v>
      </c>
      <c r="AY3" s="358" t="s">
        <v>699</v>
      </c>
      <c r="AZ3" s="383"/>
      <c r="BA3" s="201" t="s">
        <v>628</v>
      </c>
      <c r="BB3" s="201" t="s">
        <v>629</v>
      </c>
      <c r="BC3" s="201" t="s">
        <v>630</v>
      </c>
      <c r="BD3" s="337" t="s">
        <v>694</v>
      </c>
      <c r="BE3" s="337" t="s">
        <v>695</v>
      </c>
      <c r="BF3" s="357" t="s">
        <v>696</v>
      </c>
      <c r="BG3" s="337" t="s">
        <v>697</v>
      </c>
      <c r="BH3" s="357" t="s">
        <v>698</v>
      </c>
      <c r="BI3" s="358" t="s">
        <v>699</v>
      </c>
      <c r="BJ3" s="383"/>
      <c r="BK3" s="201" t="s">
        <v>628</v>
      </c>
      <c r="BL3" s="201" t="s">
        <v>629</v>
      </c>
      <c r="BM3" s="201" t="s">
        <v>630</v>
      </c>
      <c r="BN3" s="337" t="s">
        <v>694</v>
      </c>
      <c r="BO3" s="337" t="s">
        <v>695</v>
      </c>
      <c r="BP3" s="357" t="s">
        <v>696</v>
      </c>
      <c r="BQ3" s="337" t="s">
        <v>697</v>
      </c>
      <c r="BR3" s="357" t="s">
        <v>698</v>
      </c>
      <c r="BS3" s="358" t="s">
        <v>699</v>
      </c>
      <c r="BT3" s="383"/>
      <c r="BU3" s="201" t="s">
        <v>628</v>
      </c>
      <c r="BV3" s="201" t="s">
        <v>629</v>
      </c>
      <c r="BW3" s="201" t="s">
        <v>630</v>
      </c>
      <c r="BX3" s="337" t="s">
        <v>694</v>
      </c>
      <c r="BY3" s="337" t="s">
        <v>695</v>
      </c>
      <c r="BZ3" s="357" t="s">
        <v>696</v>
      </c>
      <c r="CA3" s="337" t="s">
        <v>697</v>
      </c>
      <c r="CB3" s="357" t="s">
        <v>698</v>
      </c>
      <c r="CC3" s="358" t="s">
        <v>699</v>
      </c>
      <c r="CD3" s="383"/>
      <c r="CE3" s="337" t="s">
        <v>628</v>
      </c>
      <c r="CF3" s="337" t="s">
        <v>629</v>
      </c>
      <c r="CG3" s="337" t="s">
        <v>630</v>
      </c>
      <c r="CH3" s="337" t="s">
        <v>694</v>
      </c>
      <c r="CI3" s="337" t="s">
        <v>695</v>
      </c>
      <c r="CJ3" s="357" t="s">
        <v>696</v>
      </c>
      <c r="CK3" s="337" t="s">
        <v>697</v>
      </c>
      <c r="CL3" s="357" t="s">
        <v>698</v>
      </c>
      <c r="CM3" s="358" t="s">
        <v>699</v>
      </c>
      <c r="CN3" s="383"/>
      <c r="CO3" s="201" t="s">
        <v>628</v>
      </c>
      <c r="CP3" s="201" t="s">
        <v>629</v>
      </c>
      <c r="CQ3" s="201" t="s">
        <v>630</v>
      </c>
      <c r="CR3" s="337" t="s">
        <v>694</v>
      </c>
      <c r="CS3" s="337" t="s">
        <v>695</v>
      </c>
      <c r="CT3" s="357" t="s">
        <v>696</v>
      </c>
      <c r="CU3" s="337" t="s">
        <v>697</v>
      </c>
      <c r="CV3" s="357" t="s">
        <v>698</v>
      </c>
      <c r="CW3" s="358" t="s">
        <v>699</v>
      </c>
    </row>
    <row r="4" spans="2:101" ht="28.15" customHeight="1" x14ac:dyDescent="0.25">
      <c r="B4" s="216" t="s">
        <v>631</v>
      </c>
      <c r="C4" s="359">
        <f t="array" ref="C4">MEDIAN(_xlfn._xlws.FILTER(Table9[Income per beneficiary (USD)], Table9[Income per beneficiary (USD)]&gt;0))</f>
        <v>189.99599231861066</v>
      </c>
      <c r="D4" s="217">
        <f t="array" ref="D4">AVERAGE(_xlfn._xlws.FILTER(Table9[Income per beneficiary (USD)], Table9[Income per beneficiary (USD)]&gt;0))</f>
        <v>446.14076697653491</v>
      </c>
      <c r="E4" s="218">
        <f>COUNTIFS(Table9[Income per beneficiary (USD)],"&gt;0")</f>
        <v>44</v>
      </c>
      <c r="F4" s="217">
        <f t="array" ref="F4">_xlfn.LET(
_xlpm.data,_xlfn._xlws.FILTER(Table9[Income per beneficiary (USD)],Table9[Income per beneficiary (USD)]&gt;0),
MEDIAN(ABS(_xlpm.data-MEDIAN(_xlpm.data)))
)</f>
        <v>139.41004596096892</v>
      </c>
      <c r="G4" s="333">
        <f>F4/C4</f>
        <v>0.7337525610918546</v>
      </c>
      <c r="H4" s="333">
        <f t="array" ref="H4">_xlfn.LET(
_xlpm.data,_xlfn._xlws.FILTER(Table9[Income per beneficiary (USD)],Table9[Income per beneficiary (USD)]&gt;0),
_xlpm.med,MEDIAN(_xlpm.data),
_xlpm.mad,MEDIAN(ABS(_xlpm.data-_xlpm.med)),
IF(_xlpm.mad=0,"N/A",
SUMPRODUCT(--(ABS(_xlpm.data-_xlpm.med)&gt;2.5*_xlpm.mad))/COUNT(_xlpm.data)
)
)</f>
        <v>0.20454545454545456</v>
      </c>
      <c r="I4" s="334">
        <f t="array" ref="I4">_xlfn.LET(
_xlpm.data,_xlfn._xlws.FILTER(Table9[Income per beneficiary (USD)],Table9[Income per beneficiary (USD)]&gt;0),
_xlpm.med,MEDIAN(_xlpm.data),
_xlpm.mad,MEDIAN(ABS(_xlpm.data-_xlpm.med)),
IF(_xlpm.mad=0,"N/A",
SUMPRODUCT(--(ABS(_xlpm.data-_xlpm.med)&gt;2.5*_xlpm.mad))
)
)</f>
        <v>9</v>
      </c>
      <c r="J4" s="336">
        <f t="array" ref="J4">_xlfn.LET(
_xlpm.data,_xlfn._xlws.FILTER(Table9[Income per beneficiary (USD)],Table9[Income per beneficiary (USD)]&gt;0),
_xlpm.med,MEDIAN(_xlpm.data),
_xlpm.mad,MEDIAN(ABS(_xlpm.data-_xlpm.med)),
IF(_xlpm.mad=0,"N/A",AVERAGE(_xlfn._xlws.FILTER(_xlpm.data,ABS(_xlpm.data-_xlpm.med)&lt;=2.5*_xlpm.mad)))
)</f>
        <v>193.20709578774699</v>
      </c>
      <c r="K4" s="360">
        <f>E4-I4</f>
        <v>35</v>
      </c>
      <c r="L4" s="387"/>
      <c r="M4" s="369">
        <f t="array" ref="M4">MEDIAN(_xlfn._xlws.FILTER(Table9[Normalised Income Impact Ratio], Table9[Normalised Income Impact Ratio]&gt;0))</f>
        <v>2.5295999999999999E-2</v>
      </c>
      <c r="N4" s="335">
        <f t="array" ref="N4">AVERAGE(_xlfn._xlws.FILTER(Table9[Normalised Income Impact Ratio], Table9[Normalised Income Impact Ratio]&gt;0))</f>
        <v>7.5719240859744436E-2</v>
      </c>
      <c r="O4" s="336">
        <f>COUNTIFS(Table9[Normalised Income Impact Ratio],"&gt;0")</f>
        <v>43</v>
      </c>
      <c r="P4" s="335">
        <f t="array" ref="P4">_xlfn.LET(
_xlpm.data,_xlfn._xlws.FILTER(
Table9[Normalised Income Impact Ratio],
ISNUMBER(Table9[Normalised Income Impact Ratio])*
(Table9[Normalised Income Impact Ratio]&gt;0)
),
MEDIAN(ABS(_xlpm.data-MEDIAN(_xlpm.data)))
)</f>
        <v>1.7339010752688171E-2</v>
      </c>
      <c r="Q4" s="333">
        <f>P4/M4</f>
        <v>0.68544476410057609</v>
      </c>
      <c r="R4" s="333">
        <f t="array" ref="R4">_xlfn.LET(
_xlpm.data,_xlfn._xlws.FILTER(
Table9[Normalised Income Impact Ratio],
ISNUMBER(Table9[Normalised Income Impact Ratio])*
(Table9[Normalised Income Impact Ratio]&gt;0)
),
_xlpm.med,MEDIAN(_xlpm.data),
_xlpm.mad,MEDIAN(ABS(_xlpm.data-_xlpm.med)),
SUMPRODUCT(--(ABS(_xlpm.data-_xlpm.med)&gt;2.5*_xlpm.mad))/COUNT(_xlpm.data)
)</f>
        <v>0.30232558139534882</v>
      </c>
      <c r="S4" s="336">
        <f t="array" ref="S4">_xlfn.LET(
_xlpm.data,_xlfn._xlws.FILTER(
Table9[Normalised Income Impact Ratio],
ISNUMBER(Table9[Normalised Income Impact Ratio])*
(Table9[Normalised Income Impact Ratio]&gt;0)
),
_xlpm.med,MEDIAN(_xlpm.data),
_xlpm.mad,MEDIAN(ABS(_xlpm.data-_xlpm.med)),
SUMPRODUCT(--(ABS(_xlpm.data-_xlpm.med)&gt;2.5*_xlpm.mad))
)</f>
        <v>13</v>
      </c>
      <c r="T4" s="335">
        <f t="array" ref="T4">_xlfn.LET(
_xlpm.data,_xlfn._xlws.FILTER(
Table9[Normalised Income Impact Ratio],
ISNUMBER(Table9[Normalised Income Impact Ratio])*
(Table9[Normalised Income Impact Ratio]&gt;0)
),
_xlpm.med,MEDIAN(_xlpm.data),
_xlpm.mad,MEDIAN(ABS(_xlpm.data-_xlpm.med)),
AVERAGE(_xlfn._xlws.FILTER(_xlpm.data,ABS(_xlpm.data-_xlpm.med)&lt;=2.5*_xlpm.mad))
)</f>
        <v>1.9804711722936529E-2</v>
      </c>
      <c r="U4" s="360">
        <f>O4-S4</f>
        <v>30</v>
      </c>
      <c r="V4" s="387"/>
      <c r="W4" s="395">
        <f t="array" ref="W4">MEDIAN(_xlfn._xlws.FILTER(Table9[Private Sector Investment (USD) / Project cost ], Table9[Private Sector Investment (USD) / Project cost ]&gt;0))</f>
        <v>0.43977591240875907</v>
      </c>
      <c r="X4" s="219">
        <f t="array" ref="X4">AVERAGE(_xlfn._xlws.FILTER(Table9[Private Sector Investment (USD) / Project cost ], Table9[Private Sector Investment (USD) / Project cost ]&gt;0))</f>
        <v>1.5074048678161964</v>
      </c>
      <c r="Y4" s="218">
        <f>COUNTIFS(Table9[Private Sector Investment (USD) / Project cost ],"&gt;0")</f>
        <v>57</v>
      </c>
      <c r="Z4" s="219">
        <f t="array" ref="Z4">_xlfn.LET(
_xlpm.data,_xlfn._xlws.FILTER(
Table9[Private Sector Investment (USD) / Project cost ],
ISNUMBER(Table9[Private Sector Investment (USD) / Project cost ])*
(Table9[Private Sector Investment (USD) / Project cost ]&gt;0)
),
MEDIAN(ABS(_xlpm.data-MEDIAN(_xlpm.data)))
)</f>
        <v>0.37249269651989109</v>
      </c>
      <c r="AA4" s="333">
        <f>Z4/W4</f>
        <v>0.84700568177929181</v>
      </c>
      <c r="AB4" s="333">
        <f t="array" ref="AB4">_xlfn.LET(
_xlpm.data,_xlfn._xlws.FILTER(
Table9[Private Sector Investment (USD) / Project cost ],
ISNUMBER(Table9[Private Sector Investment (USD) / Project cost ])*
(Table9[Private Sector Investment (USD) / Project cost ]&gt;0)
),
_xlpm.med,MEDIAN(_xlpm.data),
_xlpm.mad,MEDIAN(ABS(_xlpm.data-_xlpm.med)),
SUMPRODUCT(--(ABS(_xlpm.data-_xlpm.med)&gt;2.5*_xlpm.mad))/COUNT(_xlpm.data)
)</f>
        <v>0.19298245614035087</v>
      </c>
      <c r="AC4" s="218">
        <f t="array" ref="AC4">_xlfn.LET(
_xlpm.data,_xlfn._xlws.FILTER(
Table9[Private Sector Investment (USD) / Project cost ],
ISNUMBER(Table9[Private Sector Investment (USD) / Project cost ])*
(Table9[Private Sector Investment (USD) / Project cost ]&gt;0)
),
_xlpm.med,MEDIAN(_xlpm.data),
_xlpm.mad,MEDIAN(ABS(_xlpm.data-_xlpm.med)),
SUMPRODUCT(--(ABS(_xlpm.data-_xlpm.med)&gt;2.5*_xlpm.mad))
)</f>
        <v>11</v>
      </c>
      <c r="AD4" s="219">
        <f t="array" ref="AD4">_xlfn.LET(
_xlpm.data,_xlfn._xlws.FILTER(
Table9[Private Sector Investment (USD) / Project cost ],
ISNUMBER(Table9[Private Sector Investment (USD) / Project cost ])*
(Table9[Private Sector Investment (USD) / Project cost ]&gt;0)
),
_xlpm.med,MEDIAN(_xlpm.data),
_xlpm.mad,MEDIAN(ABS(_xlpm.data-_xlpm.med)),
AVERAGE(_xlfn._xlws.FILTER(_xlpm.data,ABS(_xlpm.data-_xlpm.med)&lt;=2.5*_xlpm.mad))
)</f>
        <v>0.42706102368504933</v>
      </c>
      <c r="AE4" s="396">
        <f>Y4-AC4</f>
        <v>46</v>
      </c>
      <c r="AF4" s="401"/>
      <c r="AG4" s="395">
        <f t="array" ref="AG4">MEDIAN(_xlfn._xlws.FILTER(Table9[Private Sector Revenues Generated (USD) / Project cost],Table9[Private Sector Revenues Generated (USD) / Project cost]&gt;0))</f>
        <v>1.33125</v>
      </c>
      <c r="AH4" s="219">
        <f t="array" ref="AH4">AVERAGE(_xlfn._xlws.FILTER(Table9[Private Sector Revenues Generated (USD) / Project cost],Table9[Private Sector Revenues Generated (USD) / Project cost] &gt;0))</f>
        <v>2.91600401937513</v>
      </c>
      <c r="AI4" s="218">
        <f>COUNTIFS(Table9[Private Sector Revenues Generated (USD) / Project cost],"&gt;0")</f>
        <v>47</v>
      </c>
      <c r="AJ4" s="219">
        <f t="array" ref="AJ4">_xlfn.LET(_xlpm.data,_xlfn._xlws.FILTER(Table9[Private Sector Revenues Generated (USD) / Project cost],ISNUMBER(Table9[Private Sector Revenues Generated (USD) / Project cost])*(Table9[Private Sector Revenues Generated (USD) / Project cost]&gt;0)),MEDIAN(ABS(_xlpm.data-MEDIAN(_xlpm.data))))</f>
        <v>1.0925833333333332</v>
      </c>
      <c r="AK4" s="333">
        <f>AJ4/AG4</f>
        <v>0.8207198748043818</v>
      </c>
      <c r="AL4" s="333">
        <f t="array" ref="AL4">_xlfn.LET(_xlpm.data,_xlfn._xlws.FILTER(Table9[Private Sector Revenues Generated (USD) / Project cost],ISNUMBER(Table9[Private Sector Revenues Generated (USD) / Project cost])*(Table9[Private Sector Revenues Generated (USD) / Project cost]&gt;0)),_xlpm.med,MEDIAN(_xlpm.data),_xlpm.mad,MEDIAN(ABS(_xlpm.data-_xlpm.med)),SUMPRODUCT(--(ABS(_xlpm.data-_xlpm.med)&gt;2.5*_xlpm.mad))/COUNT(_xlpm.data))</f>
        <v>0.1702127659574468</v>
      </c>
      <c r="AM4" s="218">
        <f t="array" ref="AM4">_xlfn.LET(_xlpm.data,_xlfn._xlws.FILTER(Table9[Private Sector Revenues Generated (USD) / Project cost],ISNUMBER(Table9[Private Sector Revenues Generated (USD) / Project cost])*(Table9[Private Sector Revenues Generated (USD) / Project cost]&gt;0)),_xlpm.med,MEDIAN(_xlpm.data),_xlpm.mad,MEDIAN(ABS(_xlpm.data-_xlpm.med)),SUMPRODUCT(--(ABS(_xlpm.data-_xlpm.med)&gt;2.5*_xlpm.mad)))</f>
        <v>8</v>
      </c>
      <c r="AN4" s="219">
        <f t="array" ref="AN4">_xlfn.LET(_xlpm.data,_xlfn._xlws.FILTER(Table9[Private Sector Revenues Generated (USD) / Project cost],ISNUMBER(Table9[Private Sector Revenues Generated (USD) / Project cost])*(Table9[Private Sector Revenues Generated (USD) / Project cost]&gt;0)),_xlpm.med,MEDIAN(_xlpm.data),_xlpm.mad,MEDIAN(ABS(_xlpm.data-_xlpm.med)),AVERAGE(_xlfn._xlws.FILTER(_xlpm.data,ABS(_xlpm.data-_xlpm.med)&lt;=2.5*_xlpm.mad)))</f>
        <v>1.0470640789475101</v>
      </c>
      <c r="AO4" s="396">
        <f>AI4-AM4</f>
        <v>39</v>
      </c>
      <c r="AP4" s="401"/>
      <c r="AQ4" s="395">
        <f t="array" ref="AQ4">MEDIAN(_xlfn._xlws.FILTER(Table9[Export Revenue Generated (USD) /Project Cost],Table9[Export Revenue Generated (USD) /Project Cost]&gt;0))</f>
        <v>0.12824730379810756</v>
      </c>
      <c r="AR4" s="219">
        <f t="array" ref="AR4">AVERAGE(_xlfn._xlws.FILTER(Table9[Export Revenue Generated (USD) /Project Cost],Table9[Export Revenue Generated (USD) /Project Cost] &gt;0))</f>
        <v>7.0871542427435754</v>
      </c>
      <c r="AS4" s="218">
        <f>COUNTIFS(Table9[Export Revenue Generated (USD) /Project Cost],"&gt;0")</f>
        <v>14</v>
      </c>
      <c r="AT4" s="219">
        <f t="array" ref="AT4">_xlfn.LET(
_xlpm.data,_xlfn._xlws.FILTER(
Table9[Export Revenue Generated (USD) /Project Cost],
ISNUMBER(Table9[Export Revenue Generated (USD) /Project Cost])*
(Table9[Export Revenue Generated (USD) /Project Cost]&gt;0)
),
MEDIAN(ABS(_xlpm.data-MEDIAN(_xlpm.data)))
)</f>
        <v>0.10841917769737489</v>
      </c>
      <c r="AU4" s="333">
        <f>AT4/AQ4</f>
        <v>0.84539147792185199</v>
      </c>
      <c r="AV4" s="333">
        <f t="array" ref="AV4">_xlfn.LET(
_xlpm.data,_xlfn._xlws.FILTER(
Table9[Export Revenue Generated (USD) /Project Cost],
ISNUMBER(Table9[Export Revenue Generated (USD) /Project Cost])*
(Table9[Export Revenue Generated (USD) /Project Cost]&gt;0)
),
_xlpm.med,MEDIAN(_xlpm.data),
_xlpm.mad,MEDIAN(ABS(_xlpm.data-_xlpm.med)),
SUMPRODUCT(--(ABS(_xlpm.data-_xlpm.med)&gt;2.5*_xlpm.mad))/COUNT(_xlpm.data)
)</f>
        <v>0.2857142857142857</v>
      </c>
      <c r="AW4" s="218">
        <f t="array" ref="AW4">_xlfn.LET(
_xlpm.data,_xlfn._xlws.FILTER(
Table9[Export Revenue Generated (USD) /Project Cost],
ISNUMBER(Table9[Export Revenue Generated (USD) /Project Cost])*
(Table9[Export Revenue Generated (USD) /Project Cost]&gt;0)
),
_xlpm.med,MEDIAN(_xlpm.data),
_xlpm.mad,MEDIAN(ABS(_xlpm.data-_xlpm.med)),
SUMPRODUCT(--(ABS(_xlpm.data-_xlpm.med)&gt;2.5*_xlpm.mad))
)</f>
        <v>4</v>
      </c>
      <c r="AX4" s="219">
        <f t="array" ref="AX4">_xlfn.LET(
_xlpm.data,_xlfn._xlws.FILTER(
Table9[Export Revenue Generated (USD) /Project Cost],
ISNUMBER(Table9[Export Revenue Generated (USD) /Project Cost])*
(Table9[Export Revenue Generated (USD) /Project Cost]&gt;0)
),
_xlpm.med,MEDIAN(_xlpm.data),
_xlpm.mad,MEDIAN(ABS(_xlpm.data-_xlpm.med)),
AVERAGE(_xlfn._xlws.FILTER(_xlpm.data,ABS(_xlpm.data-_xlpm.med)&lt;=2.5*_xlpm.mad))
)</f>
        <v>0.1029357100877261</v>
      </c>
      <c r="AY4" s="396">
        <f>AS4-AW4</f>
        <v>10</v>
      </c>
      <c r="AZ4" s="394"/>
      <c r="BA4" s="217">
        <f t="array" ref="BA4">MEDIAN(_xlfn._xlws.FILTER(Table9[Cost (USD)/Job created],Table9[Cost (USD)/Job created]&gt;0))</f>
        <v>3575.547866205306</v>
      </c>
      <c r="BB4" s="217">
        <f t="array" ref="BB4">AVERAGE(_xlfn._xlws.FILTER(Table9[Cost (USD)/Job created],Table9[Cost (USD)/Job created]&gt;0))</f>
        <v>18181.973900985911</v>
      </c>
      <c r="BC4" s="218">
        <f>COUNTIFS(Table9[Cost (USD)/Job created],"&gt;0")</f>
        <v>41</v>
      </c>
      <c r="BD4" s="217">
        <f t="array" ref="BD4">_xlfn.LET(
_xlpm.data,_xlfn._xlws.FILTER(
Table9[Cost (USD)/Job created],
ISNUMBER(Table9[Cost (USD)/Job created])*
(Table9[Cost (USD)/Job created]&gt;0)
),
MEDIAN(ABS(_xlpm.data-MEDIAN(_xlpm.data)))
)</f>
        <v>2770.8458483235518</v>
      </c>
      <c r="BE4" s="333">
        <f>BD4/BA4</f>
        <v>0.7749430162891997</v>
      </c>
      <c r="BF4" s="333">
        <f t="array" ref="BF4">_xlfn.LET(
_xlpm.data,_xlfn._xlws.FILTER(
Table9[Cost (USD)/Job created],
ISNUMBER(Table9[Cost (USD)/Job created])*
(Table9[Cost (USD)/Job created]&gt;0)
),
_xlpm.med,MEDIAN(_xlpm.data),
_xlpm.mad,MEDIAN(ABS(_xlpm.data-_xlpm.med)),
SUMPRODUCT(--(ABS(_xlpm.data-_xlpm.med)&gt;2.5*_xlpm.mad))/COUNT(_xlpm.data)
)</f>
        <v>0.26829268292682928</v>
      </c>
      <c r="BG4" s="218">
        <f t="array" ref="BG4">_xlfn.LET(
_xlpm.data,_xlfn._xlws.FILTER(
Table9[Cost (USD)/Job created],
ISNUMBER(Table9[Cost (USD)/Job created])*
(Table9[Cost (USD)/Job created]&gt;0)
),
_xlpm.med,MEDIAN(_xlpm.data),
_xlpm.mad,MEDIAN(ABS(_xlpm.data-_xlpm.med)),
SUMPRODUCT(--(ABS(_xlpm.data-_xlpm.med)&gt;2.5*_xlpm.mad))
)</f>
        <v>11</v>
      </c>
      <c r="BH4" s="217">
        <f t="array" ref="BH4">_xlfn.LET(
_xlpm.data,_xlfn._xlws.FILTER(
Table9[Cost (USD)/Job created],
ISNUMBER(Table9[Cost (USD)/Job created])*
(Table9[Cost (USD)/Job created]&gt;0)
),
_xlpm.med,MEDIAN(_xlpm.data),
_xlpm.mad,MEDIAN(ABS(_xlpm.data-_xlpm.med)),
AVERAGE(_xlfn._xlws.FILTER(_xlpm.data,ABS(_xlpm.data-_xlpm.med)&lt;=2.5*_xlpm.mad))
)</f>
        <v>2579.1442217604304</v>
      </c>
      <c r="BI4" s="218">
        <f>BC4-BG4</f>
        <v>30</v>
      </c>
      <c r="BJ4" s="384"/>
      <c r="BK4" s="217">
        <f t="array" ref="BK4">MEDIAN(_xlfn._xlws.FILTER(Table9[Job created per $Mn], Table9[Job created per $Mn]&gt;0))</f>
        <v>279.67741935483872</v>
      </c>
      <c r="BL4" s="217">
        <f t="array" ref="BL4">AVERAGE(_xlfn._xlws.FILTER(Table9[Job created per $Mn], Table9[Job created per $Mn]&gt;0))</f>
        <v>924.7619645300764</v>
      </c>
      <c r="BM4" s="218">
        <f>COUNTIFS(Table9[Job created per $Mn],"&gt;0")</f>
        <v>41</v>
      </c>
      <c r="BN4" s="217">
        <f t="array" ref="BN4">_xlfn.LET(
_xlpm.data,_xlfn._xlws.FILTER(Table9[Job created per $Mn],Table9[Job created per $Mn]&gt;0),
MEDIAN(ABS(_xlpm.data-MEDIAN(_xlpm.data)))
)</f>
        <v>263.59088275062783</v>
      </c>
      <c r="BO4" s="333">
        <f>BN4/BK4</f>
        <v>0.94248181837018019</v>
      </c>
      <c r="BP4" s="333">
        <f t="array" ref="BP4">_xlfn.LET(
_xlpm.data,_xlfn._xlws.FILTER(Table9[Job created per $Mn],Table9[Job created per $Mn]&gt;0),
_xlpm.med,MEDIAN(_xlpm.data),
_xlpm.mad,MEDIAN(ABS(_xlpm.data-_xlpm.med)),
IF(_xlpm.mad=0,"N/A",
SUMPRODUCT(--(ABS(_xlpm.data-_xlpm.med)&gt;2.5*_xlpm.mad))/COUNT(_xlpm.data)
)
)</f>
        <v>0.21951219512195122</v>
      </c>
      <c r="BQ4" s="334">
        <f t="array" ref="BQ4">_xlfn.LET(
_xlpm.data,_xlfn._xlws.FILTER(Table9[Job created per $Mn],Table9[Job created per $Mn]&gt;0),
_xlpm.med,MEDIAN(_xlpm.data),
_xlpm.mad,MEDIAN(ABS(_xlpm.data-_xlpm.med)),
IF(_xlpm.mad=0,"N/A",
SUMPRODUCT(--(ABS(_xlpm.data-_xlpm.med)&gt;2.5*_xlpm.mad))
)
)</f>
        <v>9</v>
      </c>
      <c r="BR4" s="217">
        <f t="array" ref="BR4">_xlfn.LET(
_xlpm.data,_xlfn._xlws.FILTER(Table9[Job created per $Mn],Table9[Job created per $Mn]&gt;0),
_xlpm.med,MEDIAN(_xlpm.data),
_xlpm.mad,MEDIAN(ABS(_xlpm.data-_xlpm.med)),
IF(_xlpm.mad=0,"N/A",AVERAGE(_xlfn._xlws.FILTER(_xlpm.data,ABS(_xlpm.data-_xlpm.med)&lt;=2.5*_xlpm.mad)))
)</f>
        <v>278.25100874351381</v>
      </c>
      <c r="BS4" s="217">
        <f>BM4-BQ4</f>
        <v>32</v>
      </c>
      <c r="BT4" s="402"/>
      <c r="BU4" s="217">
        <f t="array" ref="BU4">MEDIAN(_xlfn._xlws.FILTER(Table9[Cost (USD)/Job improved],Table9[Cost (USD)/Job improved]&gt;0))</f>
        <v>471.53129788989742</v>
      </c>
      <c r="BV4" s="217">
        <f t="array" ref="BV4">AVERAGE(_xlfn._xlws.FILTER(Table9[Cost (USD)/Job improved],Table9[Cost (USD)/Job improved]&gt;0))</f>
        <v>5491.427919747417</v>
      </c>
      <c r="BW4" s="218">
        <f>COUNTIFS(Table9[Cost (USD)/Job improved],"&gt;0")</f>
        <v>65</v>
      </c>
      <c r="BX4" s="217">
        <f t="array" ref="BX4">_xlfn.LET(
_xlpm.data,_xlfn._xlws.FILTER(
Table9[Cost (USD)/Job improved],
ISNUMBER(Table9[Cost (USD)/Job improved])*
(Table9[Cost (USD)/Job improved]&gt;0)
),
MEDIAN(ABS(_xlpm.data-MEDIAN(_xlpm.data)))
)</f>
        <v>382.9583667287875</v>
      </c>
      <c r="BY4" s="333">
        <f>BX4/BU4</f>
        <v>0.81215895624007617</v>
      </c>
      <c r="BZ4" s="333">
        <f t="array" ref="BZ4">_xlfn.LET(
_xlpm.data,_xlfn._xlws.FILTER(
Table9[Cost (USD)/Job improved],
ISNUMBER(Table9[Cost (USD)/Job improved])*
(Table9[Cost (USD)/Job improved]&gt;0)
),
_xlpm.med,MEDIAN(_xlpm.data),
_xlpm.mad,MEDIAN(ABS(_xlpm.data-_xlpm.med)),
SUMPRODUCT(--(ABS(_xlpm.data-_xlpm.med)&gt;2.5*_xlpm.mad))/COUNT(_xlpm.data)
)</f>
        <v>0.26153846153846155</v>
      </c>
      <c r="CA4" s="218">
        <f t="array" ref="CA4">_xlfn.LET(
_xlpm.data,_xlfn._xlws.FILTER(
Table9[Cost (USD)/Job improved],
ISNUMBER(Table9[Cost (USD)/Job improved])*
(Table9[Cost (USD)/Job improved]&gt;0)
),
_xlpm.med,MEDIAN(_xlpm.data),
_xlpm.mad,MEDIAN(ABS(_xlpm.data-_xlpm.med)),
SUMPRODUCT(--(ABS(_xlpm.data-_xlpm.med)&gt;2.5*_xlpm.mad))
)</f>
        <v>17</v>
      </c>
      <c r="CB4" s="217">
        <f t="array" ref="CB4">_xlfn.LET(
_xlpm.data,_xlfn._xlws.FILTER(
Table9[Cost (USD)/Job improved],
ISNUMBER(Table9[Cost (USD)/Job improved])*
(Table9[Cost (USD)/Job improved]&gt;0)
),
_xlpm.med,MEDIAN(_xlpm.data),
_xlpm.mad,MEDIAN(ABS(_xlpm.data-_xlpm.med)),
AVERAGE(_xlfn._xlws.FILTER(_xlpm.data,ABS(_xlpm.data-_xlpm.med)&lt;=2.5*_xlpm.mad))
)</f>
        <v>375.66979965429709</v>
      </c>
      <c r="CC4" s="218">
        <f>BW4-CA4</f>
        <v>48</v>
      </c>
      <c r="CD4" s="384"/>
      <c r="CE4" s="218"/>
      <c r="CF4" s="218"/>
      <c r="CG4" s="218"/>
      <c r="CH4" s="218"/>
      <c r="CI4" s="218"/>
      <c r="CJ4" s="218"/>
      <c r="CK4" s="218"/>
      <c r="CL4" s="218"/>
      <c r="CM4" s="218"/>
      <c r="CN4" s="403"/>
      <c r="CO4" s="219">
        <f t="array" ref="CO4">MEDIAN(_xlfn._xlws.FILTER(Table9[Beneficiary Income (USD) / Project Cost],Table9[Beneficiary Income (USD) / Project Cost]&gt;0))</f>
        <v>1.1640735593775156</v>
      </c>
      <c r="CP4" s="219">
        <f t="array" ref="CP4">AVERAGE(_xlfn._xlws.FILTER(Table9[Beneficiary Income (USD) / Project Cost],Table9[Beneficiary Income (USD) / Project Cost]&gt;0))</f>
        <v>1.5762862058440392</v>
      </c>
      <c r="CQ4" s="218">
        <f>COUNTIFS(Table9[Beneficiary Income (USD) / Project Cost],"&gt;0")</f>
        <v>44</v>
      </c>
      <c r="CR4" s="15"/>
      <c r="CS4" s="15"/>
      <c r="CT4" s="15"/>
      <c r="CU4" s="15"/>
      <c r="CV4" s="15"/>
      <c r="CW4" s="15"/>
    </row>
    <row r="5" spans="2:101" x14ac:dyDescent="0.25">
      <c r="B5" s="292" t="s">
        <v>700</v>
      </c>
      <c r="C5" s="361"/>
      <c r="D5" s="293"/>
      <c r="E5" s="293"/>
      <c r="F5" s="293"/>
      <c r="G5" s="293"/>
      <c r="H5" s="293"/>
      <c r="I5" s="293"/>
      <c r="J5" s="293"/>
      <c r="K5" s="362"/>
      <c r="L5" s="385"/>
      <c r="M5" s="361"/>
      <c r="N5" s="293"/>
      <c r="O5" s="293"/>
      <c r="P5" s="293"/>
      <c r="Q5" s="347"/>
      <c r="R5" s="347"/>
      <c r="S5" s="293"/>
      <c r="T5" s="293"/>
      <c r="U5" s="362"/>
      <c r="V5" s="385"/>
      <c r="W5" s="361"/>
      <c r="X5" s="293"/>
      <c r="Y5" s="293"/>
      <c r="Z5" s="293"/>
      <c r="AA5" s="293"/>
      <c r="AB5" s="293"/>
      <c r="AC5" s="293"/>
      <c r="AD5" s="293"/>
      <c r="AE5" s="362"/>
      <c r="AF5" s="385"/>
      <c r="AG5" s="361"/>
      <c r="AH5" s="293"/>
      <c r="AI5" s="293"/>
      <c r="AJ5" s="293"/>
      <c r="AK5" s="293"/>
      <c r="AL5" s="293"/>
      <c r="AM5" s="293"/>
      <c r="AN5" s="293"/>
      <c r="AO5" s="362"/>
      <c r="AP5" s="385"/>
      <c r="AQ5" s="361"/>
      <c r="AR5" s="293"/>
      <c r="AS5" s="293"/>
      <c r="AT5" s="293"/>
      <c r="AU5" s="293"/>
      <c r="AV5" s="293"/>
      <c r="AW5" s="293"/>
      <c r="AX5" s="293"/>
      <c r="AY5" s="362"/>
      <c r="AZ5" s="385"/>
      <c r="BA5" s="293"/>
      <c r="BB5" s="293"/>
      <c r="BC5" s="293"/>
      <c r="BD5" s="293"/>
      <c r="BE5" s="293"/>
      <c r="BF5" s="293"/>
      <c r="BG5" s="293"/>
      <c r="BH5" s="293"/>
      <c r="BI5" s="293"/>
      <c r="BJ5" s="385"/>
      <c r="BK5" s="293"/>
      <c r="BL5" s="293"/>
      <c r="BM5" s="293"/>
      <c r="BN5" s="293"/>
      <c r="BO5" s="293"/>
      <c r="BP5" s="293"/>
      <c r="BQ5" s="293"/>
      <c r="BR5" s="293"/>
      <c r="BS5" s="293"/>
      <c r="BT5" s="385"/>
      <c r="BU5" s="293"/>
      <c r="BV5" s="293"/>
      <c r="BW5" s="293"/>
      <c r="BX5" s="293"/>
      <c r="BY5" s="293"/>
      <c r="BZ5" s="293"/>
      <c r="CA5" s="293"/>
      <c r="CB5" s="293"/>
      <c r="CC5" s="293"/>
      <c r="CD5" s="385"/>
      <c r="CE5" s="293"/>
      <c r="CF5" s="293"/>
      <c r="CG5" s="293"/>
      <c r="CH5" s="293"/>
      <c r="CI5" s="293"/>
      <c r="CJ5" s="293"/>
      <c r="CK5" s="293"/>
      <c r="CL5" s="293"/>
      <c r="CM5" s="293"/>
      <c r="CN5" s="385"/>
      <c r="CO5" s="373"/>
      <c r="CP5" s="373"/>
      <c r="CQ5" s="373"/>
      <c r="CR5" s="373"/>
      <c r="CS5" s="373"/>
      <c r="CT5" s="373"/>
      <c r="CU5" s="373"/>
      <c r="CV5" s="373"/>
      <c r="CW5" s="373"/>
    </row>
    <row r="6" spans="2:101" x14ac:dyDescent="0.25">
      <c r="B6" s="205" t="s">
        <v>633</v>
      </c>
      <c r="C6" s="363">
        <f t="array" ref="C6">MEDIAN(_xlfn._xlws.FILTER(Table9[Income per beneficiary (USD)],(Table9[Income per beneficiary (USD)]&gt;0)*(Table9[Sector]="Agriculture")))</f>
        <v>125.03383604055691</v>
      </c>
      <c r="D6" s="202">
        <f t="array" ref="D6">AVERAGE(_xlfn._xlws.FILTER(Table9[Income per beneficiary (USD)],(Table9[Income per beneficiary (USD)]&gt;0)*(Table9[Sector]="Agriculture")))</f>
        <v>282.55024083333819</v>
      </c>
      <c r="E6" s="15" t="e">
        <f>COUNTIFS(Table9[Income per beneficiary (USD)],"&gt;0",Table8[Sector],"Agriculture")</f>
        <v>#VALUE!</v>
      </c>
      <c r="F6" s="202">
        <f t="array" ref="F6">_xlfn.LET(
_xlpm.data,_xlfn._xlws.FILTER(
Table9[Income per beneficiary (USD)],
(Table9[Income per beneficiary (USD)]&gt;0)*
(Table9[Sector]="Agriculture")
),
MEDIAN(ABS(_xlpm.data-MEDIAN(_xlpm.data)))
)</f>
        <v>78.468975412860516</v>
      </c>
      <c r="G6" s="195">
        <f>F6/C6</f>
        <v>0.62758192420336312</v>
      </c>
      <c r="H6" s="195">
        <f t="array" ref="H6">_xlfn.LET(
_xlpm.data,_xlfn._xlws.FILTER(
Table9[Income per beneficiary (USD)],
(Table9[Income per beneficiary (USD)]&gt;0)*
(Table9[Sector]="Agriculture")
),
_xlpm.med,MEDIAN(_xlpm.data),
_xlpm.mad,MEDIAN(ABS(_xlpm.data-_xlpm.med)),
SUMPRODUCT(--(ABS(_xlpm.data-_xlpm.med)&gt;2.5*_xlpm.mad))/COUNT(_xlpm.data)
)</f>
        <v>0.35294117647058826</v>
      </c>
      <c r="I6" s="345">
        <f t="array" ref="I6">_xlfn.LET(
_xlpm.data,_xlfn._xlws.FILTER(
Table9[Income per beneficiary (USD)],
(Table9[Income per beneficiary (USD)]&gt;0)*
(Table9[Sector]="Agriculture")
),
_xlpm.med,MEDIAN(_xlpm.data),
_xlpm.mad,MEDIAN(ABS(_xlpm.data-_xlpm.med)),
SUMPRODUCT(--(ABS(_xlpm.data-_xlpm.med)&gt;2.5*_xlpm.mad))
)</f>
        <v>12</v>
      </c>
      <c r="J6" s="202">
        <f t="array" ref="J6">_xlfn.LET(
_xlpm.data,_xlfn._xlws.FILTER(
Table9[Income per beneficiary (USD)],
(Table9[Income per beneficiary (USD)]&gt;0)*
(Table9[Sector]="Agriculture")
),
_xlpm.med,MEDIAN(_xlpm.data),
_xlpm.mad,MEDIAN(ABS(_xlpm.data-_xlpm.med)),
AVERAGE(_xlfn._xlws.FILTER(_xlpm.data,ABS(_xlpm.data-_xlpm.med)&lt;=2.5*_xlpm.mad))
)</f>
        <v>101.12335105001353</v>
      </c>
      <c r="K6" s="364" t="e">
        <f>E6-I6</f>
        <v>#VALUE!</v>
      </c>
      <c r="L6" s="192"/>
      <c r="M6" s="370">
        <f t="array" ref="M6">MEDIAN(
_xlfn._xlws.FILTER(
Table9[Normalised Income Impact Ratio],
(Table9[Normalised Income Impact Ratio]&gt;0)*
(Table9[Sector]="Agriculture")
)
)</f>
        <v>2.4128012820512822E-2</v>
      </c>
      <c r="N6" s="203">
        <f t="array" ref="N6">AVERAGE(
_xlfn._xlws.FILTER(
Table9[Normalised Income Impact Ratio],
(Table9[Normalised Income Impact Ratio]&gt;0)*
(Table9[Sector]="Agriculture")
)
)</f>
        <v>6.6620341573174577E-2</v>
      </c>
      <c r="O6" s="202">
        <f>COUNTIFS(
Table9[Normalised Income Impact Ratio],"&gt;0",
Table9[Sector],"Agriculture"
)</f>
        <v>33</v>
      </c>
      <c r="P6" s="203">
        <f t="array" ref="P6">_xlfn.LET(
_xlpm.data,_xlfn._xlws.FILTER(
Table9[Normalised Income Impact Ratio],
ISNUMBER(Table9[Normalised Income Impact Ratio])*
(Table9[Normalised Income Impact Ratio]&gt;0)*
(Table9[Sector]="Agriculture")
),
MEDIAN(ABS(_xlpm.data-MEDIAN(_xlpm.data)))
)</f>
        <v>1.6120602977004295E-2</v>
      </c>
      <c r="Q6" s="195">
        <f>P6/N6</f>
        <v>0.24197718889354111</v>
      </c>
      <c r="R6" s="195">
        <f t="array" ref="R6">_xlfn.LET(
_xlpm.data,_xlfn._xlws.FILTER(
Table9[Normalised Income Impact Ratio],
ISNUMBER(Table9[Normalised Income Impact Ratio])*
(Table9[Normalised Income Impact Ratio]&gt;0)*
(Table9[Sector]="Agriculture")
),
_xlpm.med,MEDIAN(_xlpm.data),
_xlpm.mad,MEDIAN(ABS(_xlpm.data-_xlpm.med)),
SUMPRODUCT(--(ABS(_xlpm.data-_xlpm.med)&gt;2.5*_xlpm.mad))/COUNT(_xlpm.data)
)</f>
        <v>0.27272727272727271</v>
      </c>
      <c r="S6" s="202">
        <f t="array" ref="S6">_xlfn.LET(
_xlpm.data,_xlfn._xlws.FILTER(
Table9[Normalised Income Impact Ratio],
ISNUMBER(Table9[Normalised Income Impact Ratio])*
(Table9[Normalised Income Impact Ratio]&gt;0)*
(Table9[Sector]="Agriculture")
),
_xlpm.med,MEDIAN(_xlpm.data),
_xlpm.mad,MEDIAN(ABS(_xlpm.data-_xlpm.med)),
SUMPRODUCT(--(ABS(_xlpm.data-_xlpm.med)&gt;2.5*_xlpm.mad))
)</f>
        <v>9</v>
      </c>
      <c r="T6" s="203">
        <f t="array" ref="T6">_xlfn.LET(
_xlpm.data,_xlfn._xlws.FILTER(
Table9[Normalised Income Impact Ratio],
ISNUMBER(Table9[Normalised Income Impact Ratio])*
(Table9[Normalised Income Impact Ratio]&gt;0)*
(Table9[Sector]="Agriculture")
),
_xlpm.med,MEDIAN(_xlpm.data),
_xlpm.mad,MEDIAN(ABS(_xlpm.data-_xlpm.med)),
AVERAGE(_xlfn._xlws.FILTER(_xlpm.data,ABS(_xlpm.data-_xlpm.med)&lt;=2.5*_xlpm.mad))
)</f>
        <v>1.7921764853599875E-2</v>
      </c>
      <c r="U6" s="364">
        <f>O6-S6</f>
        <v>24</v>
      </c>
      <c r="V6" s="192"/>
      <c r="W6" s="370">
        <f t="array" ref="W6">MEDIAN(
_xlfn._xlws.FILTER(
Table9[Private Sector Investment (USD) / Project cost ],
ISNUMBER(Table9[Private Sector Investment (USD) / Project cost ])*
(Table9[Private Sector Investment (USD) / Project cost ]&gt;0)*
(Table9[Sector]="Agriculture")
)
)</f>
        <v>0.30848466448692158</v>
      </c>
      <c r="X6" s="203">
        <f t="array" ref="X6">AVERAGE(
_xlfn._xlws.FILTER(
Table9[Private Sector Investment (USD) / Project cost ],
ISNUMBER(Table9[Private Sector Investment (USD) / Project cost ])*
(Table9[Private Sector Investment (USD) / Project cost ]&gt;0)*
(Table9[Sector]="Agriculture")
)
)</f>
        <v>0.89839690131901806</v>
      </c>
      <c r="Y6" s="15">
        <f>COUNTIFS(
Table9[Private Sector Investment (USD) / Project cost ],"&gt;0",
Table9[Sector],"Agriculture"
)</f>
        <v>44</v>
      </c>
      <c r="Z6" s="203">
        <f t="array" ref="Z6">_xlfn.LET(
_xlpm.data,_xlfn._xlws.FILTER(
Table9[Private Sector Investment (USD) / Project cost ],
ISNUMBER(Table9[Private Sector Investment (USD) / Project cost ])*
(Table9[Private Sector Investment (USD) / Project cost ]&gt;0)*
(Table9[Sector]="Agriculture")
),
MEDIAN(ABS(_xlpm.data-MEDIAN(_xlpm.data)))
)</f>
        <v>0.25101239432194927</v>
      </c>
      <c r="AA6" s="195">
        <f>Z6/W6</f>
        <v>0.8136948873599229</v>
      </c>
      <c r="AB6" s="195">
        <f t="array" ref="AB6">_xlfn.LET(
_xlpm.data,_xlfn._xlws.FILTER(
Table9[Private Sector Investment (USD) / Project cost ],
ISNUMBER(Table9[Private Sector Investment (USD) / Project cost ])*
(Table9[Private Sector Investment (USD) / Project cost ]&gt;0)*
(Table9[Sector]="Agriculture")
),
_xlpm.med,MEDIAN(_xlpm.data),
_xlpm.mad,MEDIAN(ABS(_xlpm.data-_xlpm.med)),
SUMPRODUCT(--(ABS(_xlpm.data-_xlpm.med)&gt;2.5*_xlpm.mad))/COUNT(_xlpm.data)
)</f>
        <v>0.29545454545454547</v>
      </c>
      <c r="AC6" s="15">
        <f t="array" ref="AC6">_xlfn.LET(
_xlpm.data,_xlfn._xlws.FILTER(
Table9[Private Sector Investment (USD) / Project cost ],
ISNUMBER(Table9[Private Sector Investment (USD) / Project cost ])*
(Table9[Private Sector Investment (USD) / Project cost ]&gt;0)*
(Table9[Sector]="Agriculture")
),
_xlpm.med,MEDIAN(_xlpm.data),
_xlpm.mad,MEDIAN(ABS(_xlpm.data-_xlpm.med)),
SUMPRODUCT(--(ABS(_xlpm.data-_xlpm.med)&gt;2.5*_xlpm.mad))
)</f>
        <v>13</v>
      </c>
      <c r="AD6" s="203">
        <f t="array" ref="AD6">_xlfn.LET(
_xlpm.data,_xlfn._xlws.FILTER(
Table9[Private Sector Investment (USD) / Project cost ],
ISNUMBER(Table9[Private Sector Investment (USD) / Project cost ])*
(Table9[Private Sector Investment (USD) / Project cost ]&gt;0)*
(Table9[Sector]="Agriculture")
),
_xlpm.med,MEDIAN(_xlpm.data),
_xlpm.mad,MEDIAN(ABS(_xlpm.data-_xlpm.med)),
AVERAGE(_xlfn._xlws.FILTER(_xlpm.data,ABS(_xlpm.data-_xlpm.med)&lt;=2.5*_xlpm.mad))
)</f>
        <v>0.2483186867653196</v>
      </c>
      <c r="AE6" s="232">
        <f>Y6-AC6</f>
        <v>31</v>
      </c>
      <c r="AF6" s="191"/>
      <c r="AG6" s="370">
        <f t="array" ref="AG6">MEDIAN(
_xlfn._xlws.FILTER(
Table9[Private Sector Revenues Generated (USD) / Project cost],
ISNUMBER(Table9[Private Sector Revenues Generated (USD) / Project cost])*
(Table9[Private Sector Revenues Generated (USD) / Project cost]&gt;0)*
(Table9[Sector]="Agriculture")
)
)</f>
        <v>1.33125</v>
      </c>
      <c r="AH6" s="203">
        <f t="array" ref="AH6">AVERAGE(
_xlfn._xlws.FILTER(
Table9[Private Sector Revenues Generated (USD) / Project cost],
ISNUMBER(Table9[Private Sector Revenues Generated (USD) / Project cost])*
(Table9[Private Sector Revenues Generated (USD) / Project cost]&gt;0)*
(Table9[Sector]="Agriculture")
)
)</f>
        <v>2.9498192735519142</v>
      </c>
      <c r="AI6" s="15">
        <f>COUNTIFS(
Table9[Private Sector Revenues Generated (USD) / Project cost],"&gt;0",
Table9[Sector],"Agriculture"
)</f>
        <v>35</v>
      </c>
      <c r="AJ6" s="203">
        <f t="array" ref="AJ6">_xlfn.LET(
_xlpm.data,_xlfn._xlws.FILTER(
Table9[Private Sector Revenues Generated (USD) / Project cost],
ISNUMBER(Table9[Private Sector Revenues Generated (USD) / Project cost])*
(Table9[Private Sector Revenues Generated (USD) / Project cost]&gt;0)*
(Table9[Sector]="Agriculture")
),
MEDIAN(ABS(_xlpm.data-MEDIAN(_xlpm.data)))
)</f>
        <v>1.0925833333333332</v>
      </c>
      <c r="AK6" s="195">
        <f>AJ6/AG6</f>
        <v>0.8207198748043818</v>
      </c>
      <c r="AL6" s="195">
        <f t="array" ref="AL6">_xlfn.LET(
_xlpm.data,_xlfn._xlws.FILTER(
Table9[Private Sector Revenues Generated (USD) / Project cost],
ISNUMBER(Table9[Private Sector Revenues Generated (USD) / Project cost])*
(Table9[Private Sector Revenues Generated (USD) / Project cost]&gt;0)*
(Table9[Sector]="Agriculture")
),
_xlpm.med,MEDIAN(_xlpm.data),
_xlpm.mad,MEDIAN(ABS(_xlpm.data-_xlpm.med)),
SUMPRODUCT(--(ABS(_xlpm.data-_xlpm.med)&gt;2.5*_xlpm.mad))/COUNT(_xlpm.data)
)</f>
        <v>0.17142857142857143</v>
      </c>
      <c r="AM6" s="15">
        <f t="array" ref="AM6">_xlfn.LET(
_xlpm.data,_xlfn._xlws.FILTER(
Table9[Private Sector Revenues Generated (USD) / Project cost],
ISNUMBER(Table9[Private Sector Revenues Generated (USD) / Project cost])*
(Table9[Private Sector Revenues Generated (USD) / Project cost]&gt;0)*
(Table9[Sector]="Agriculture")
),
_xlpm.med,MEDIAN(_xlpm.data),
_xlpm.mad,MEDIAN(ABS(_xlpm.data-_xlpm.med)),
SUMPRODUCT(--(ABS(_xlpm.data-_xlpm.med)&gt;2.5*_xlpm.mad))
)</f>
        <v>6</v>
      </c>
      <c r="AN6" s="203">
        <f t="array" ref="AN6">_xlfn.LET(
_xlpm.data,_xlfn._xlws.FILTER(
Table9[Private Sector Revenues Generated (USD) / Project cost],
ISNUMBER(Table9[Private Sector Revenues Generated (USD) / Project cost])*
(Table9[Private Sector Revenues Generated (USD) / Project cost]&gt;0)*
(Table9[Sector]="Agriculture")
),
_xlpm.med,MEDIAN(_xlpm.data),
_xlpm.mad,MEDIAN(ABS(_xlpm.data-_xlpm.med)),
AVERAGE(_xlfn._xlws.FILTER(_xlpm.data,ABS(_xlpm.data-_xlpm.med)&lt;=2.5*_xlpm.mad))
)</f>
        <v>0.99383734268372981</v>
      </c>
      <c r="AO6" s="232">
        <f>AI6-AM6</f>
        <v>29</v>
      </c>
      <c r="AP6" s="191"/>
      <c r="AQ6" s="370">
        <f t="array" ref="AQ6">MEDIAN(
_xlfn._xlws.FILTER(
Table9[Export Revenue Generated (USD) /Project Cost],
ISNUMBER(Table9[Export Revenue Generated (USD) /Project Cost])*
(Table9[Export Revenue Generated (USD) /Project Cost]&gt;0)*
(Table9[Sector]="Agriculture")
)
)</f>
        <v>0.10208563993256134</v>
      </c>
      <c r="AR6" s="203">
        <f t="array" ref="AR6">AVERAGE(
_xlfn._xlws.FILTER(
Table9[Export Revenue Generated (USD) /Project Cost],
ISNUMBER(Table9[Export Revenue Generated (USD) /Project Cost])*
(Table9[Export Revenue Generated (USD) /Project Cost]&gt;0)*
(Table9[Sector]="Agriculture")
)
)</f>
        <v>1.4136142423389002</v>
      </c>
      <c r="AS6" s="15">
        <f>COUNTIFS(
Table9[Export Revenue Generated (USD) /Project Cost],"&gt;0",
Table9[Sector],"Agriculture"
)</f>
        <v>12</v>
      </c>
      <c r="AT6" s="203">
        <f t="array" ref="AT6">_xlfn.LET(
_xlpm.data,_xlfn._xlws.FILTER(
Table9[Export Revenue Generated (USD) /Project Cost],
ISNUMBER(Table9[Export Revenue Generated (USD) /Project Cost])*
(Table9[Export Revenue Generated (USD) /Project Cost]&gt;0)*
(Table9[Sector]="Agriculture")
),
MEDIAN(ABS(_xlpm.data-MEDIAN(_xlpm.data)))
)</f>
        <v>6.3080579875763154E-2</v>
      </c>
      <c r="AU6" s="195">
        <f>AT6/AQ6</f>
        <v>0.61791824900578307</v>
      </c>
      <c r="AV6" s="195">
        <f t="array" ref="AV6">_xlfn.LET(
_xlpm.data,_xlfn._xlws.FILTER(
Table9[Export Revenue Generated (USD) /Project Cost],
ISNUMBER(Table9[Export Revenue Generated (USD) /Project Cost])*
(Table9[Export Revenue Generated (USD) /Project Cost]&gt;0)*
(Table9[Sector]="Agriculture")
),
_xlpm.med,MEDIAN(_xlpm.data),
_xlpm.mad,MEDIAN(ABS(_xlpm.data-_xlpm.med)),
SUMPRODUCT(--(ABS(_xlpm.data-_xlpm.med)&gt;2.5*_xlpm.mad))/COUNT(_xlpm.data)
)</f>
        <v>0.25</v>
      </c>
      <c r="AW6" s="15">
        <f t="array" ref="AW6">_xlfn.LET(
_xlpm.data,_xlfn._xlws.FILTER(
Table9[Export Revenue Generated (USD) /Project Cost],
ISNUMBER(Table9[Export Revenue Generated (USD) /Project Cost])*
(Table9[Export Revenue Generated (USD) /Project Cost]&gt;0)*
(Table9[Sector]="Agriculture")
),
_xlpm.med,MEDIAN(_xlpm.data),
_xlpm.mad,MEDIAN(ABS(_xlpm.data-_xlpm.med)),
SUMPRODUCT(--(ABS(_xlpm.data-_xlpm.med)&gt;2.5*_xlpm.mad))
)</f>
        <v>3</v>
      </c>
      <c r="AX6" s="203">
        <f t="array" ref="AX6">_xlfn.LET(
_xlpm.data,_xlfn._xlws.FILTER(
Table9[Export Revenue Generated (USD) /Project Cost],
ISNUMBER(Table9[Export Revenue Generated (USD) /Project Cost])*
(Table9[Export Revenue Generated (USD) /Project Cost]&gt;0)*
(Table9[Sector]="Agriculture")
),
_xlpm.med,MEDIAN(_xlpm.data),
_xlpm.mad,MEDIAN(ABS(_xlpm.data-_xlpm.med)),
AVERAGE(_xlfn._xlws.FILTER(_xlpm.data,ABS(_xlpm.data-_xlpm.med)&lt;=2.5*_xlpm.mad))
)</f>
        <v>7.5771497720443726E-2</v>
      </c>
      <c r="AY6" s="232">
        <f>AS6-AW6</f>
        <v>9</v>
      </c>
      <c r="AZ6" s="142"/>
      <c r="BA6" s="202"/>
      <c r="BB6" s="202"/>
      <c r="BC6" s="15"/>
      <c r="BD6" s="15"/>
      <c r="BE6" s="15"/>
      <c r="BF6" s="15"/>
      <c r="BG6" s="15"/>
      <c r="BH6" s="15"/>
      <c r="BI6" s="15"/>
      <c r="BJ6" s="15"/>
      <c r="BK6" s="15"/>
      <c r="BL6" s="15"/>
      <c r="BM6" s="15"/>
      <c r="BN6" s="15"/>
      <c r="BO6" s="15"/>
      <c r="BP6" s="15"/>
      <c r="BQ6" s="15"/>
      <c r="BR6" s="15"/>
      <c r="BS6" s="15"/>
      <c r="BT6" s="15"/>
      <c r="BU6" s="202"/>
      <c r="BV6" s="202"/>
      <c r="BW6" s="15"/>
      <c r="BX6" s="15"/>
      <c r="BY6" s="15"/>
      <c r="BZ6" s="15"/>
      <c r="CA6" s="15"/>
      <c r="CB6" s="15"/>
      <c r="CC6" s="15"/>
      <c r="CD6" s="15"/>
      <c r="CE6" s="15"/>
      <c r="CF6" s="15"/>
      <c r="CG6" s="15"/>
      <c r="CH6" s="15"/>
      <c r="CI6" s="15"/>
      <c r="CJ6" s="15"/>
      <c r="CK6" s="15"/>
      <c r="CL6" s="15"/>
      <c r="CM6" s="15"/>
      <c r="CN6" s="135"/>
      <c r="CO6" s="203"/>
      <c r="CP6" s="203"/>
      <c r="CQ6" s="15"/>
      <c r="CR6" s="15"/>
      <c r="CS6" s="15"/>
      <c r="CT6" s="15"/>
      <c r="CU6" s="15"/>
      <c r="CV6" s="15"/>
      <c r="CW6" s="15"/>
    </row>
    <row r="7" spans="2:101" x14ac:dyDescent="0.25">
      <c r="B7" s="338" t="s">
        <v>701</v>
      </c>
      <c r="C7" s="363">
        <f t="array" ref="C7">MEDIAN(
_xlfn._xlws.FILTER(
Table9[Income per beneficiary (USD)],
(Table9[Income per beneficiary (USD)]&gt;0)*
ISNUMBER(SEARCH("Agriculture",Table9[Sector]))
)
)</f>
        <v>188.1985</v>
      </c>
      <c r="D7" s="202">
        <f t="array" ref="D7">AVERAGE(
_xlfn._xlws.FILTER(
Table9[Income per beneficiary (USD)],
(Table9[Income per beneficiary (USD)]&gt;0)*
ISNUMBER(SEARCH("Agriculture",Table9[Sector]))
)
)</f>
        <v>417.1929431413713</v>
      </c>
      <c r="E7" s="15">
        <f>COUNTIFS(
Table9[Income per beneficiary (USD)],"&gt;0",
Table9[Sector],"*Agriculture*"
)</f>
        <v>41</v>
      </c>
      <c r="F7" s="202">
        <f t="array" ref="F7">_xlfn.LET(
_xlpm.data,_xlfn._xlws.FILTER(
Table9[Income per beneficiary (USD)],
(Table9[Income per beneficiary (USD)]&gt;0)*
ISNUMBER(SEARCH("Agriculture",Table9[Sector]))
),
MEDIAN(ABS(_xlpm.data-MEDIAN(_xlpm.data)))
)</f>
        <v>134.26260939511909</v>
      </c>
      <c r="G7" s="195">
        <f>F7/C7</f>
        <v>0.71340956168683112</v>
      </c>
      <c r="H7" s="195">
        <f t="array" ref="H7">_xlfn.LET(
_xlpm.data,_xlfn._xlws.FILTER(
Table9[Income per beneficiary (USD)],
(Table9[Income per beneficiary (USD)]&gt;0)*
ISNUMBER(SEARCH("Agriculture",Table9[Sector]))
),
_xlpm.med,MEDIAN(_xlpm.data),
_xlpm.mad,MEDIAN(ABS(_xlpm.data-_xlpm.med)),
SUMPRODUCT(--(ABS(_xlpm.data-_xlpm.med)&gt;2.5*_xlpm.mad))/COUNT(_xlpm.data)
)</f>
        <v>0.21951219512195122</v>
      </c>
      <c r="I7" s="345">
        <f t="array" ref="I7">_xlfn.LET(
_xlpm.data,_xlfn._xlws.FILTER(
Table9[Income per beneficiary (USD)],
(Table9[Income per beneficiary (USD)]&gt;0)*
ISNUMBER(SEARCH("Agriculture",Table9[Sector]))
),
_xlpm.med,MEDIAN(_xlpm.data),
_xlpm.mad,MEDIAN(ABS(_xlpm.data-_xlpm.med)),
SUMPRODUCT(--(ABS(_xlpm.data-_xlpm.med)&gt;2.5*_xlpm.mad))
)</f>
        <v>9</v>
      </c>
      <c r="J7" s="202">
        <f t="array" ref="J7">_xlfn.LET(
_xlpm.data,_xlfn._xlws.FILTER(
Table9[Income per beneficiary (USD)],
(Table9[Income per beneficiary (USD)]&gt;0)*
ISNUMBER(SEARCH("Agriculture",Table9[Sector]))
),
_xlpm.med,MEDIAN(_xlpm.data),
_xlpm.mad,MEDIAN(ABS(_xlpm.data-_xlpm.med)),
AVERAGE(_xlfn._xlws.FILTER(_xlpm.data,ABS(_xlpm.data-_xlpm.med)&lt;=2.5*_xlpm.mad))
)</f>
        <v>167.19729270301286</v>
      </c>
      <c r="K7" s="364">
        <f>E7-I7</f>
        <v>32</v>
      </c>
      <c r="L7" s="192"/>
      <c r="M7" s="370">
        <f t="array" ref="M7">MEDIAN(
_xlfn._xlws.FILTER(
Table9[Normalised Income Impact Ratio],
ISNUMBER(Table9[Normalised Income Impact Ratio])*
(Table9[Normalised Income Impact Ratio]&gt;0)*
ISNUMBER(SEARCH("Agriculture",Table9[Sector]))
)
)</f>
        <v>2.5112285714285712E-2</v>
      </c>
      <c r="N7" s="203">
        <f t="array" ref="N7">AVERAGE(
_xlfn._xlws.FILTER(
Table9[Normalised Income Impact Ratio],
ISNUMBER(Table9[Normalised Income Impact Ratio])*
(Table9[Normalised Income Impact Ratio]&gt;0)*
ISNUMBER(SEARCH("Agriculture",Table9[Sector]))
)
)</f>
        <v>7.7445724292101253E-2</v>
      </c>
      <c r="O7" s="202">
        <f>COUNTIFS(
Table9[Normalised Income Impact Ratio],"&gt;0",
Table9[Sector],"*Agriculture*"
)</f>
        <v>40</v>
      </c>
      <c r="P7" s="203">
        <f t="array" ref="P7">_xlfn.LET(
_xlpm.data,_xlfn._xlws.FILTER(
Table9[Normalised Income Impact Ratio],
ISNUMBER(Table9[Normalised Income Impact Ratio])*
(Table9[Normalised Income Impact Ratio]&gt;0)*
ISNUMBER(SEARCH("Agriculture",Table9[Sector]))
),
MEDIAN(ABS(_xlpm.data-MEDIAN(_xlpm.data)))
)</f>
        <v>1.7599414606467797E-2</v>
      </c>
      <c r="Q7" s="195">
        <f>P7/N7</f>
        <v>0.22724836996924791</v>
      </c>
      <c r="R7" s="195">
        <f t="array" ref="R7">_xlfn.LET(
_xlpm.data,_xlfn._xlws.FILTER(
Table9[Normalised Income Impact Ratio],
ISNUMBER(Table9[Normalised Income Impact Ratio])*
(Table9[Normalised Income Impact Ratio]&gt;0)*
ISNUMBER(SEARCH("Agriculture",Table9[Sector]))
),
_xlpm.med,MEDIAN(_xlpm.data),
_xlpm.mad,MEDIAN(ABS(_xlpm.data-_xlpm.med)),
SUMPRODUCT(--(ABS(_xlpm.data-_xlpm.med)&gt;2.5*_xlpm.mad))/COUNT(_xlpm.data)
)</f>
        <v>0.3</v>
      </c>
      <c r="S7" s="202">
        <f t="array" ref="S7">_xlfn.LET(
_xlpm.data,_xlfn._xlws.FILTER(
Table9[Normalised Income Impact Ratio],
ISNUMBER(Table9[Normalised Income Impact Ratio])*
(Table9[Normalised Income Impact Ratio]&gt;0)*
ISNUMBER(SEARCH("Agriculture",Table9[Sector]))
),
_xlpm.med,MEDIAN(_xlpm.data),
_xlpm.mad,MEDIAN(ABS(_xlpm.data-_xlpm.med)),
SUMPRODUCT(--(ABS(_xlpm.data-_xlpm.med)&gt;2.5*_xlpm.mad))
)</f>
        <v>12</v>
      </c>
      <c r="T7" s="203">
        <f t="array" ref="T7">_xlfn.LET(
_xlpm.data,_xlfn._xlws.FILTER(
Table9[Normalised Income Impact Ratio],
ISNUMBER(Table9[Normalised Income Impact Ratio])*
(Table9[Normalised Income Impact Ratio]&gt;0)*
ISNUMBER(SEARCH("Agriculture",Table9[Sector]))
),
_xlpm.med,MEDIAN(_xlpm.data),
_xlpm.mad,MEDIAN(ABS(_xlpm.data-_xlpm.med)),
AVERAGE(_xlfn._xlws.FILTER(_xlpm.data,ABS(_xlpm.data-_xlpm.med)&lt;=2.5*_xlpm.mad))
)</f>
        <v>1.9480934733675261E-2</v>
      </c>
      <c r="U7" s="364">
        <f>O7-S7</f>
        <v>28</v>
      </c>
      <c r="V7" s="192"/>
      <c r="W7" s="370">
        <f t="array" ref="W7">MEDIAN(
_xlfn._xlws.FILTER(
Table9[Private Sector Investment (USD) / Project cost ],
ISNUMBER(Table9[Private Sector Investment (USD) / Project cost ])*
(Table9[Private Sector Investment (USD) / Project cost ]&gt;0)*
ISNUMBER(SEARCH("Agriculture",Table9[Sector]))
)
)</f>
        <v>0.41538795620437952</v>
      </c>
      <c r="X7" s="203">
        <f t="array" ref="X7">AVERAGE(
_xlfn._xlws.FILTER(
Table9[Private Sector Investment (USD) / Project cost ],
ISNUMBER(Table9[Private Sector Investment (USD) / Project cost ])*
(Table9[Private Sector Investment (USD) / Project cost ]&gt;0)*
ISNUMBER(SEARCH("Agriculture",Table9[Sector]))
)
)</f>
        <v>1.5886864851437617</v>
      </c>
      <c r="Y7" s="15">
        <f>COUNTIFS(
Table9[Private Sector Investment (USD) / Project cost ],"&gt;0",
Table9[Sector],"*Agriculture*"
)</f>
        <v>52</v>
      </c>
      <c r="Z7" s="203">
        <f t="array" ref="Z7">_xlfn.LET(
_xlpm.data,_xlfn._xlws.FILTER(
Table9[Private Sector Investment (USD) / Project cost ],
ISNUMBER(Table9[Private Sector Investment (USD) / Project cost ])*
(Table9[Private Sector Investment (USD) / Project cost ]&gt;0)*
ISNUMBER(SEARCH("Agriculture",Table9[Sector]))
),
MEDIAN(ABS(_xlpm.data-MEDIAN(_xlpm.data)))
)</f>
        <v>0.35473284480550504</v>
      </c>
      <c r="AA7" s="195">
        <f>Z7/W7</f>
        <v>0.85397960992149979</v>
      </c>
      <c r="AB7" s="195">
        <f t="array" ref="AB7">_xlfn.LET(
_xlpm.data,_xlfn._xlws.FILTER(
Table9[Private Sector Investment (USD) / Project cost ],
ISNUMBER(Table9[Private Sector Investment (USD) / Project cost ])*
(Table9[Private Sector Investment (USD) / Project cost ]&gt;0)*
ISNUMBER(SEARCH("Agriculture",Table9[Sector]))
),
_xlpm.med,MEDIAN(_xlpm.data),
_xlpm.mad,MEDIAN(ABS(_xlpm.data-_xlpm.med)),
SUMPRODUCT(--(ABS(_xlpm.data-_xlpm.med)&gt;2.5*_xlpm.mad))/COUNT(_xlpm.data)
)</f>
        <v>0.23076923076923078</v>
      </c>
      <c r="AC7" s="15">
        <f t="array" ref="AC7">_xlfn.LET(
_xlpm.data,_xlfn._xlws.FILTER(
Table9[Private Sector Investment (USD) / Project cost ],
ISNUMBER(Table9[Private Sector Investment (USD) / Project cost ])*
(Table9[Private Sector Investment (USD) / Project cost ]&gt;0)*
ISNUMBER(SEARCH("Agriculture",Table9[Sector]))
),
_xlpm.med,MEDIAN(_xlpm.data),
_xlpm.mad,MEDIAN(ABS(_xlpm.data-_xlpm.med)),
SUMPRODUCT(--(ABS(_xlpm.data-_xlpm.med)&gt;2.5*_xlpm.mad))
)</f>
        <v>12</v>
      </c>
      <c r="AD7" s="203">
        <f t="array" ref="AD7">_xlfn.LET(
_xlpm.data,_xlfn._xlws.FILTER(
Table9[Private Sector Investment (USD) / Project cost ],
ISNUMBER(Table9[Private Sector Investment (USD) / Project cost ])*
(Table9[Private Sector Investment (USD) / Project cost ]&gt;0)*
ISNUMBER(SEARCH("Agriculture",Table9[Sector]))
),
_xlpm.med,MEDIAN(_xlpm.data),
_xlpm.mad,MEDIAN(ABS(_xlpm.data-_xlpm.med)),
AVERAGE(_xlfn._xlws.FILTER(_xlpm.data,ABS(_xlpm.data-_xlpm.med)&lt;=2.5*_xlpm.mad))
)</f>
        <v>0.37416424271518844</v>
      </c>
      <c r="AE7" s="232">
        <f>Y7-AC7</f>
        <v>40</v>
      </c>
      <c r="AF7" s="191"/>
      <c r="AG7" s="370">
        <f t="array" ref="AG7">MEDIAN(
_xlfn._xlws.FILTER(
Table9[Private Sector Revenues Generated (USD) / Project cost],
ISNUMBER(Table9[Private Sector Revenues Generated (USD) / Project cost])*
(Table9[Private Sector Revenues Generated (USD) / Project cost]&gt;0)*
ISNUMBER(SEARCH("Agriculture",Table9[Sector]))
)
)</f>
        <v>1.4209120090634442</v>
      </c>
      <c r="AH7" s="203">
        <f t="array" ref="AH7">AVERAGE(
_xlfn._xlws.FILTER(
Table9[Private Sector Revenues Generated (USD) / Project cost],
ISNUMBER(Table9[Private Sector Revenues Generated (USD) / Project cost])*
(Table9[Private Sector Revenues Generated (USD) / Project cost]&gt;0)*
ISNUMBER(SEARCH("Agriculture",Table9[Sector]))
)
)</f>
        <v>2.9223731320564212</v>
      </c>
      <c r="AI7" s="15">
        <f>COUNTIFS(
Table9[Private Sector Revenues Generated (USD) / Project cost],"&gt;0",
Table9[Sector],"*Agriculture*"
)</f>
        <v>42</v>
      </c>
      <c r="AJ7" s="203">
        <f t="array" ref="AJ7">_xlfn.LET(
_xlpm.data,_xlfn._xlws.FILTER(
Table9[Private Sector Revenues Generated (USD) / Project cost],
ISNUMBER(Table9[Private Sector Revenues Generated (USD) / Project cost])*
(Table9[Private Sector Revenues Generated (USD) / Project cost]&gt;0)*
ISNUMBER(SEARCH("Agriculture",Table9[Sector]))
),
MEDIAN(ABS(_xlpm.data-MEDIAN(_xlpm.data)))
)</f>
        <v>1.1625936257301108</v>
      </c>
      <c r="AK7" s="195">
        <f>AJ7/AG7</f>
        <v>0.81820240684460332</v>
      </c>
      <c r="AL7" s="195">
        <f t="array" ref="AL7">_xlfn.LET(
_xlpm.data,_xlfn._xlws.FILTER(
Table9[Private Sector Revenues Generated (USD) / Project cost],
ISNUMBER(Table9[Private Sector Revenues Generated (USD) / Project cost])*
(Table9[Private Sector Revenues Generated (USD) / Project cost]&gt;0)*
ISNUMBER(SEARCH("Agriculture",Table9[Sector]))
),
_xlpm.med,MEDIAN(_xlpm.data),
_xlpm.mad,MEDIAN(ABS(_xlpm.data-_xlpm.med)),
SUMPRODUCT(--(ABS(_xlpm.data-_xlpm.med)&gt;2.5*_xlpm.mad))/COUNT(_xlpm.data)
)</f>
        <v>0.14285714285714285</v>
      </c>
      <c r="AM7" s="15">
        <f t="array" ref="AM7">_xlfn.LET(
_xlpm.data,_xlfn._xlws.FILTER(
Table9[Private Sector Revenues Generated (USD) / Project cost],
ISNUMBER(Table9[Private Sector Revenues Generated (USD) / Project cost])*
(Table9[Private Sector Revenues Generated (USD) / Project cost]&gt;0)*
ISNUMBER(SEARCH("Agriculture",Table9[Sector]))
),
_xlpm.med,MEDIAN(_xlpm.data),
_xlpm.mad,MEDIAN(ABS(_xlpm.data-_xlpm.med)),
SUMPRODUCT(--(ABS(_xlpm.data-_xlpm.med)&gt;2.5*_xlpm.mad))
)</f>
        <v>6</v>
      </c>
      <c r="AN7" s="203">
        <f t="array" ref="AN7">_xlfn.LET(
_xlpm.data,_xlfn._xlws.FILTER(
Table9[Private Sector Revenues Generated (USD) / Project cost],
ISNUMBER(Table9[Private Sector Revenues Generated (USD) / Project cost])*
(Table9[Private Sector Revenues Generated (USD) / Project cost]&gt;0)*
ISNUMBER(SEARCH("Agriculture",Table9[Sector]))
),
_xlpm.med,MEDIAN(_xlpm.data),
_xlpm.mad,MEDIAN(ABS(_xlpm.data-_xlpm.med)),
AVERAGE(_xlfn._xlws.FILTER(_xlpm.data,ABS(_xlpm.data-_xlpm.med)&lt;=2.5*_xlpm.mad))
)</f>
        <v>1.1402152485878676</v>
      </c>
      <c r="AO7" s="232">
        <f>AI7-AM7</f>
        <v>36</v>
      </c>
      <c r="AP7" s="191"/>
      <c r="AQ7" s="370">
        <f t="array" ref="AQ7">MEDIAN(
_xlfn._xlws.FILTER(
Table9[Export Revenue Generated (USD) /Project Cost],
ISNUMBER(Table9[Export Revenue Generated (USD) /Project Cost])*
(Table9[Export Revenue Generated (USD) /Project Cost]&gt;0)*
ISNUMBER(SEARCH("Agriculture",Table9[Sector]))
)
)</f>
        <v>0.1122911370079798</v>
      </c>
      <c r="AR7" s="203">
        <f t="array" ref="AR7">AVERAGE(
_xlfn._xlws.FILTER(
Table9[Export Revenue Generated (USD) /Project Cost],
ISNUMBER(Table9[Export Revenue Generated (USD) /Project Cost])*
(Table9[Export Revenue Generated (USD) /Project Cost]&gt;0)*
ISNUMBER(SEARCH("Agriculture",Table9[Sector]))
)
)</f>
        <v>1.4987814921853888</v>
      </c>
      <c r="AS7" s="15">
        <f>COUNTIFS(
Table9[Export Revenue Generated (USD) /Project Cost],"&gt;0",
Table9[Sector],"*Agriculture*"
)</f>
        <v>13</v>
      </c>
      <c r="AT7" s="203">
        <f t="array" ref="AT7">_xlfn.LET(
_xlpm.data,_xlfn._xlws.FILTER(
Table9[Export Revenue Generated (USD) /Project Cost],
ISNUMBER(Table9[Export Revenue Generated (USD) /Project Cost])*
(Table9[Export Revenue Generated (USD) /Project Cost]&gt;0)*
ISNUMBER(SEARCH("Agriculture",Table9[Sector]))
),
MEDIAN(ABS(_xlpm.data-MEDIAN(_xlpm.data)))
)</f>
        <v>7.595728917809913E-2</v>
      </c>
      <c r="AU7" s="195">
        <f>AT7/AQ7</f>
        <v>0.67643173986831517</v>
      </c>
      <c r="AV7" s="195">
        <f t="array" ref="AV7">_xlfn.LET(
_xlpm.data,_xlfn._xlws.FILTER(
Table9[Export Revenue Generated (USD) /Project Cost],
ISNUMBER(Table9[Export Revenue Generated (USD) /Project Cost])*
(Table9[Export Revenue Generated (USD) /Project Cost]&gt;0)*
ISNUMBER(SEARCH("Agriculture",Table9[Sector]))
),
_xlpm.med,MEDIAN(_xlpm.data),
_xlpm.mad,MEDIAN(ABS(_xlpm.data-_xlpm.med)),
SUMPRODUCT(--(ABS(_xlpm.data-_xlpm.med)&gt;2.5*_xlpm.mad))/COUNT(_xlpm.data)
)</f>
        <v>0.30769230769230771</v>
      </c>
      <c r="AW7" s="15">
        <f t="array" ref="AW7">_xlfn.LET(
_xlpm.data,_xlfn._xlws.FILTER(
Table9[Export Revenue Generated (USD) /Project Cost],
ISNUMBER(Table9[Export Revenue Generated (USD) /Project Cost])*
(Table9[Export Revenue Generated (USD) /Project Cost]&gt;0)*
ISNUMBER(SEARCH("Agriculture",Table9[Sector]))
),
_xlpm.med,MEDIAN(_xlpm.data),
_xlpm.mad,MEDIAN(ABS(_xlpm.data-_xlpm.med)),
SUMPRODUCT(--(ABS(_xlpm.data-_xlpm.med)&gt;2.5*_xlpm.mad))
)</f>
        <v>4</v>
      </c>
      <c r="AX7" s="203">
        <f t="array" ref="AX7">_xlfn.LET(
_xlpm.data,_xlfn._xlws.FILTER(
Table9[Export Revenue Generated (USD) /Project Cost],
ISNUMBER(Table9[Export Revenue Generated (USD) /Project Cost])*
(Table9[Export Revenue Generated (USD) /Project Cost]&gt;0)*
ISNUMBER(SEARCH("Agriculture",Table9[Sector]))
),
_xlpm.med,MEDIAN(_xlpm.data),
_xlpm.mad,MEDIAN(ABS(_xlpm.data-_xlpm.med)),
AVERAGE(_xlfn._xlws.FILTER(_xlpm.data,ABS(_xlpm.data-_xlpm.med)&lt;=2.5*_xlpm.mad))
)</f>
        <v>7.5771497720443726E-2</v>
      </c>
      <c r="AY7" s="232">
        <f>AS7-AW7</f>
        <v>9</v>
      </c>
      <c r="AZ7" s="142"/>
      <c r="BA7" s="202"/>
      <c r="BB7" s="202"/>
      <c r="BC7" s="15"/>
      <c r="BD7" s="15"/>
      <c r="BE7" s="15"/>
      <c r="BF7" s="15"/>
      <c r="BG7" s="15"/>
      <c r="BH7" s="15"/>
      <c r="BI7" s="15"/>
      <c r="BJ7" s="15"/>
      <c r="BK7" s="15"/>
      <c r="BL7" s="15"/>
      <c r="BM7" s="15"/>
      <c r="BN7" s="15"/>
      <c r="BO7" s="15"/>
      <c r="BP7" s="15"/>
      <c r="BQ7" s="15"/>
      <c r="BR7" s="15"/>
      <c r="BS7" s="15"/>
      <c r="BT7" s="15"/>
      <c r="BU7" s="202"/>
      <c r="BV7" s="202"/>
      <c r="BW7" s="15"/>
      <c r="BX7" s="15"/>
      <c r="BY7" s="15"/>
      <c r="BZ7" s="15"/>
      <c r="CA7" s="15"/>
      <c r="CB7" s="15"/>
      <c r="CC7" s="15"/>
      <c r="CD7" s="15"/>
      <c r="CE7" s="15"/>
      <c r="CF7" s="15"/>
      <c r="CG7" s="15"/>
      <c r="CH7" s="15"/>
      <c r="CI7" s="15"/>
      <c r="CJ7" s="15"/>
      <c r="CK7" s="15"/>
      <c r="CL7" s="15"/>
      <c r="CM7" s="15"/>
      <c r="CN7" s="135"/>
      <c r="CO7" s="203"/>
      <c r="CP7" s="203"/>
      <c r="CQ7" s="15"/>
      <c r="CR7" s="15"/>
      <c r="CS7" s="15"/>
      <c r="CT7" s="15"/>
      <c r="CU7" s="15"/>
      <c r="CV7" s="15"/>
      <c r="CW7" s="15"/>
    </row>
    <row r="8" spans="2:101" x14ac:dyDescent="0.25">
      <c r="B8" s="205" t="s">
        <v>634</v>
      </c>
      <c r="C8" s="363">
        <f t="array" ref="C8">MEDIAN(
_xlfn._xlws.FILTER(
Table9[Income per beneficiary (USD)],
(Table9[Income per beneficiary (USD)]&gt;0)*
NOT(ISNUMBER(SEARCH("Agriculture",Table9[Sector])))
)
)</f>
        <v>524.57566534914361</v>
      </c>
      <c r="D8" s="202">
        <f t="array" ref="D8">AVERAGE(
_xlfn._xlws.FILTER(
Table9[Income per beneficiary (USD)],
(Table9[Income per beneficiary (USD)]&gt;0)*
NOT(ISNUMBER(SEARCH("Agriculture",Table9[Sector])))
)
)</f>
        <v>841.76102605710446</v>
      </c>
      <c r="E8" s="15">
        <f>COUNTIFS(Table9[Income per beneficiary (USD)],"&gt;0",Table9[Sector],"&lt;&gt;*Agriculture*")</f>
        <v>3</v>
      </c>
      <c r="F8" s="202">
        <f t="array" ref="F8">_xlfn.LET(
_xlpm.data,_xlfn._xlws.FILTER(
Table9[Income per beneficiary (USD)],
(Table9[Income per beneficiary (USD)]&gt;0)*
NOT(ISNUMBER(SEARCH("Agriculture",Table9[Sector])))
),
MEDIAN(ABS(_xlpm.data-MEDIAN(_xlpm.data)))
)</f>
        <v>165.21634462355502</v>
      </c>
      <c r="G8" s="195">
        <f>F8/C8</f>
        <v>0.31495236156940565</v>
      </c>
      <c r="H8" s="195">
        <f t="array" ref="H8">_xlfn.LET(
_xlpm.data,_xlfn._xlws.FILTER(
Table9[Income per beneficiary (USD)],
(Table9[Income per beneficiary (USD)]&gt;0)*
NOT(ISNUMBER(SEARCH("Agriculture",Table9[Sector])))
),
_xlpm.med,MEDIAN(_xlpm.data),
_xlpm.mad,MEDIAN(ABS(_xlpm.data-_xlpm.med)),
SUMPRODUCT(--(ABS(_xlpm.data-_xlpm.med)&gt;2.5*_xlpm.mad))/COUNT(_xlpm.data)
)</f>
        <v>0.33333333333333331</v>
      </c>
      <c r="I8" s="345">
        <f t="array" ref="I8">_xlfn.LET(
_xlpm.data,_xlfn._xlws.FILTER(
Table9[Income per beneficiary (USD)],
(Table9[Income per beneficiary (USD)]&gt;0)*
NOT(ISNUMBER(SEARCH("Agriculture",Table9[Sector])))
),
_xlpm.med,MEDIAN(_xlpm.data),
_xlpm.mad,MEDIAN(ABS(_xlpm.data-_xlpm.med)),
SUMPRODUCT(--(ABS(_xlpm.data-_xlpm.med)&gt;2.5*_xlpm.mad))
)</f>
        <v>1</v>
      </c>
      <c r="J8" s="202">
        <f t="array" ref="J8">_xlfn.LET(
_xlpm.data,_xlfn._xlws.FILTER(
Table9[Income per beneficiary (USD)],
(Table9[Income per beneficiary (USD)]&gt;0)*
NOT(ISNUMBER(SEARCH("Agriculture",Table9[Sector])))
),
_xlpm.med,MEDIAN(_xlpm.data),
_xlpm.mad,MEDIAN(ABS(_xlpm.data-_xlpm.med)),
AVERAGE(_xlfn._xlws.FILTER(_xlpm.data,ABS(_xlpm.data-_xlpm.med)&lt;=2.5*_xlpm.mad))
)</f>
        <v>441.96749303736613</v>
      </c>
      <c r="K8" s="364">
        <f>E8-I8</f>
        <v>2</v>
      </c>
      <c r="L8" s="192"/>
      <c r="M8" s="370">
        <f t="array" ref="M8">MEDIAN(
_xlfn._xlws.FILTER(
Table9[Normalised Income Impact Ratio],
ISNUMBER(Table9[Normalised Income Impact Ratio])*
(Table9[Normalised Income Impact Ratio]&gt;0)*
NOT(ISNUMBER(SEARCH("Agriculture",Table9[Sector])))
)
)</f>
        <v>2.6817859755640938E-2</v>
      </c>
      <c r="N8" s="203">
        <f t="array" ref="N8">AVERAGE(
_xlfn._xlws.FILTER(
Table9[Normalised Income Impact Ratio],
ISNUMBER(Table9[Normalised Income Impact Ratio])*
(Table9[Normalised Income Impact Ratio]&gt;0)*
NOT(ISNUMBER(SEARCH("Agriculture",Table9[Sector])))
)
)</f>
        <v>5.2699461761653549E-2</v>
      </c>
      <c r="O8" s="202">
        <f>COUNTIFS(
Table9[Normalised Income Impact Ratio],"&gt;0",
Table9[Sector],"&lt;&gt;*Agriculture*"
)</f>
        <v>3</v>
      </c>
      <c r="P8" s="203">
        <f t="array" ref="P8">_xlfn.LET(
_xlpm.data,_xlfn._xlws.FILTER(
Table9[Normalised Income Impact Ratio],
ISNUMBER(Table9[Normalised Income Impact Ratio])*
(Table9[Normalised Income Impact Ratio]&gt;0)*
NOT(ISNUMBER(SEARCH("Agriculture",Table9[Sector])))
),
MEDIAN(ABS(_xlpm.data-MEDIAN(_xlpm.data)))
)</f>
        <v>4.960540366093287E-3</v>
      </c>
      <c r="Q8" s="195">
        <f>P8/N8</f>
        <v>9.4128862046610029E-2</v>
      </c>
      <c r="R8" s="195">
        <f t="array" ref="R8">_xlfn.LET(
_xlpm.data,_xlfn._xlws.FILTER(
Table9[Normalised Income Impact Ratio],
ISNUMBER(Table9[Normalised Income Impact Ratio])*
(Table9[Normalised Income Impact Ratio]&gt;0)*
NOT(ISNUMBER(SEARCH("Agriculture",Table9[Sector])))
),
_xlpm.med,MEDIAN(_xlpm.data),
_xlpm.mad,MEDIAN(ABS(_xlpm.data-_xlpm.med)),
SUMPRODUCT(--(ABS(_xlpm.data-_xlpm.med)&gt;2.5*_xlpm.mad))/COUNT(_xlpm.data)
)</f>
        <v>0.33333333333333331</v>
      </c>
      <c r="S8" s="202">
        <f t="array" ref="S8">_xlfn.LET(
_xlpm.data,_xlfn._xlws.FILTER(
Table9[Normalised Income Impact Ratio],
ISNUMBER(Table9[Normalised Income Impact Ratio])*
(Table9[Normalised Income Impact Ratio]&gt;0)*
NOT(ISNUMBER(SEARCH("Agriculture",Table9[Sector])))
),
_xlpm.med,MEDIAN(_xlpm.data),
_xlpm.mad,MEDIAN(ABS(_xlpm.data-_xlpm.med)),
SUMPRODUCT(--(ABS(_xlpm.data-_xlpm.med)&gt;2.5*_xlpm.mad))
)</f>
        <v>1</v>
      </c>
      <c r="T8" s="203">
        <f t="array" ref="T8">_xlfn.LET(
_xlpm.data,_xlfn._xlws.FILTER(
Table9[Normalised Income Impact Ratio],
ISNUMBER(Table9[Normalised Income Impact Ratio])*
(Table9[Normalised Income Impact Ratio]&gt;0)*
NOT(ISNUMBER(SEARCH("Agriculture",Table9[Sector])))
),
_xlpm.med,MEDIAN(_xlpm.data),
_xlpm.mad,MEDIAN(ABS(_xlpm.data-_xlpm.med)),
AVERAGE(_xlfn._xlws.FILTER(_xlpm.data,ABS(_xlpm.data-_xlpm.med)&lt;=2.5*_xlpm.mad))
)</f>
        <v>2.4337589572594295E-2</v>
      </c>
      <c r="U8" s="364">
        <f>O8-S8</f>
        <v>2</v>
      </c>
      <c r="V8" s="192"/>
      <c r="W8" s="370">
        <f t="array" ref="W8">MEDIAN(
_xlfn._xlws.FILTER(
Table9[Private Sector Investment (USD) / Project cost ],
ISNUMBER(Table9[Private Sector Investment (USD) / Project cost ])*
(Table9[Private Sector Investment (USD) / Project cost ]&gt;0)*
NOT(ISNUMBER(SEARCH("*Agriculture",Table9[Sector])))
)
)</f>
        <v>0.52782178217821785</v>
      </c>
      <c r="X8" s="203">
        <f t="array" ref="X8">AVERAGE(
_xlfn._xlws.FILTER(
Table9[Private Sector Investment (USD) / Project cost ],
ISNUMBER(Table9[Private Sector Investment (USD) / Project cost ])*
(Table9[Private Sector Investment (USD) / Project cost ]&gt;0)*
NOT(ISNUMBER(SEARCH("Agriculture",Table9[Sector])))
)
)</f>
        <v>0.66207604760951688</v>
      </c>
      <c r="Y8" s="15">
        <f>COUNTIFS(
Table9[Private Sector Investment (USD) / Project cost ],"&gt;0",
Table9[Sector],"&lt;&gt;*Agriculture*"
)</f>
        <v>5</v>
      </c>
      <c r="Z8" s="203">
        <f t="array" ref="Z8">_xlfn.LET(
_xlpm.data,_xlfn._xlws.FILTER(
Table9[Private Sector Investment (USD) / Project cost ],
ISNUMBER(Table9[Private Sector Investment (USD) / Project cost ])*
(Table9[Private Sector Investment (USD) / Project cost ]&gt;0)*
NOT(ISNUMBER(SEARCH("Agriculture",Table9[Sector])))
),
MEDIAN(ABS(_xlpm.data-MEDIAN(_xlpm.data)))
)</f>
        <v>0.37400578217821784</v>
      </c>
      <c r="AA8" s="195">
        <f>Z8/W8</f>
        <v>0.70858345526167699</v>
      </c>
      <c r="AB8" s="195">
        <f t="array" ref="AB8">_xlfn.LET(
_xlpm.data,_xlfn._xlws.FILTER(
Table9[Private Sector Investment (USD) / Project cost ],
ISNUMBER(Table9[Private Sector Investment (USD) / Project cost ])*
(Table9[Private Sector Investment (USD) / Project cost ]&gt;0)*
NOT(ISNUMBER(SEARCH("Agriculture",Table9[Sector])))
),
_xlpm.med,MEDIAN(_xlpm.data),
_xlpm.mad,MEDIAN(ABS(_xlpm.data-_xlpm.med)),
SUMPRODUCT(--(ABS(_xlpm.data-_xlpm.med)&gt;2.5*_xlpm.mad))/COUNT(_xlpm.data)
)</f>
        <v>0</v>
      </c>
      <c r="AC8" s="15">
        <f t="array" ref="AC8">_xlfn.LET(
_xlpm.data,_xlfn._xlws.FILTER(
Table9[Private Sector Investment (USD) / Project cost ],
ISNUMBER(Table9[Private Sector Investment (USD) / Project cost ])*
(Table9[Private Sector Investment (USD) / Project cost ]&gt;0)*
NOT(ISNUMBER(SEARCH("Agriculture",Table9[Sector])))
),
_xlpm.med,MEDIAN(_xlpm.data),
_xlpm.mad,MEDIAN(ABS(_xlpm.data-_xlpm.med)),
SUMPRODUCT(--(ABS(_xlpm.data-_xlpm.med)&gt;2.5*_xlpm.mad))
)</f>
        <v>0</v>
      </c>
      <c r="AD8" s="203">
        <f t="array" ref="AD8">_xlfn.LET(
_xlpm.data,_xlfn._xlws.FILTER(
Table9[Private Sector Investment (USD) / Project cost ],
ISNUMBER(Table9[Private Sector Investment (USD) / Project cost ])*
(Table9[Private Sector Investment (USD) / Project cost ]&gt;0)*
NOT(ISNUMBER(SEARCH("Agriculture",Table9[Sector])))
),
_xlpm.med,MEDIAN(_xlpm.data),
_xlpm.mad,MEDIAN(ABS(_xlpm.data-_xlpm.med)),
AVERAGE(_xlfn._xlws.FILTER(_xlpm.data,ABS(_xlpm.data-_xlpm.med)&lt;=2.5*_xlpm.mad))
)</f>
        <v>0.66207604760951688</v>
      </c>
      <c r="AE8" s="232">
        <f>Y8-AC8</f>
        <v>5</v>
      </c>
      <c r="AF8" s="191"/>
      <c r="AG8" s="370">
        <f t="array" ref="AG8">MEDIAN(
_xlfn._xlws.FILTER(
Table9[Private Sector Revenues Generated (USD) / Project cost],
ISNUMBER(Table9[Private Sector Revenues Generated (USD) / Project cost])*
(Table9[Private Sector Revenues Generated (USD) / Project cost]&gt;0)*
NOT(ISNUMBER(SEARCH("Agriculture",Table9[Sector])))
)
)</f>
        <v>1.0723423999999999</v>
      </c>
      <c r="AH8" s="203">
        <f t="array" ref="AH8">AVERAGE(
_xlfn._xlws.FILTER(
Table9[Private Sector Revenues Generated (USD) / Project cost],
ISNUMBER(Table9[Private Sector Revenues Generated (USD) / Project cost])*
(Table9[Private Sector Revenues Generated (USD) / Project cost]&gt;0)*
NOT(ISNUMBER(SEARCH("Agriculture",Table9[Sector])))
)
)</f>
        <v>2.8625034728522825</v>
      </c>
      <c r="AI8" s="15">
        <f>COUNTIFS(
Table9[Private Sector Revenues Generated (USD) / Project cost],"&gt;0",
Table9[Sector],"&lt;&gt;*Agriculture*"
)</f>
        <v>5</v>
      </c>
      <c r="AJ8" s="203">
        <f t="array" ref="AJ8">_xlfn.LET(
_xlpm.data,_xlfn._xlws.FILTER(
Table9[Private Sector Revenues Generated (USD) / Project cost],
ISNUMBER(Table9[Private Sector Revenues Generated (USD) / Project cost])*
(Table9[Private Sector Revenues Generated (USD) / Project cost]&gt;0)*
NOT(ISNUMBER(SEARCH("Agriculture",Table9[Sector])))
),
MEDIAN(ABS(_xlpm.data-MEDIAN(_xlpm.data)))
)</f>
        <v>1.0599661623762375</v>
      </c>
      <c r="AK8" s="195">
        <f>AJ8/AG8</f>
        <v>0.98845868854596963</v>
      </c>
      <c r="AL8" s="195">
        <f t="array" ref="AL8">_xlfn.LET(
_xlpm.data,_xlfn._xlws.FILTER(
Table9[Private Sector Revenues Generated (USD) / Project cost],
ISNUMBER(Table9[Private Sector Revenues Generated (USD) / Project cost])*
(Table9[Private Sector Revenues Generated (USD) / Project cost]&gt;0)*
NOT(ISNUMBER(SEARCH("Agriculture",Table9[Sector])))
),
_xlpm.med,MEDIAN(_xlpm.data),
_xlpm.mad,MEDIAN(ABS(_xlpm.data-_xlpm.med)),
SUMPRODUCT(--(ABS(_xlpm.data-_xlpm.med)&gt;2.5*_xlpm.mad))/COUNT(_xlpm.data)
)</f>
        <v>0.2</v>
      </c>
      <c r="AM8" s="15">
        <f t="array" ref="AM8">_xlfn.LET(
_xlpm.data,_xlfn._xlws.FILTER(
Table9[Private Sector Revenues Generated (USD) / Project cost],
ISNUMBER(Table9[Private Sector Revenues Generated (USD) / Project cost])*
(Table9[Private Sector Revenues Generated (USD) / Project cost]&gt;0)*
NOT(ISNUMBER(SEARCH("Agriculture",Table9[Sector])))
),
_xlpm.med,MEDIAN(_xlpm.data),
_xlpm.mad,MEDIAN(ABS(_xlpm.data-_xlpm.med)),
SUMPRODUCT(--(ABS(_xlpm.data-_xlpm.med)&gt;2.5*_xlpm.mad))
)</f>
        <v>1</v>
      </c>
      <c r="AN8" s="203">
        <f t="array" ref="AN8">_xlfn.LET(
_xlpm.data,_xlfn._xlws.FILTER(
Table9[Private Sector Revenues Generated (USD) / Project cost],
ISNUMBER(Table9[Private Sector Revenues Generated (USD) / Project cost])*
(Table9[Private Sector Revenues Generated (USD) / Project cost]&gt;0)*
NOT(ISNUMBER(SEARCH("Agriculture",Table9[Sector])))
),
_xlpm.med,MEDIAN(_xlpm.data),
_xlpm.mad,MEDIAN(ABS(_xlpm.data-_xlpm.med)),
AVERAGE(_xlfn._xlws.FILTER(_xlpm.data,ABS(_xlpm.data-_xlpm.med)&lt;=2.5*_xlpm.mad))
)</f>
        <v>1.0159725094059406</v>
      </c>
      <c r="AO8" s="232">
        <f>AI8-AM8</f>
        <v>4</v>
      </c>
      <c r="AP8" s="191"/>
      <c r="AQ8" s="405">
        <f t="array" ref="AQ8">MEDIAN(
_xlfn._xlws.FILTER(
Table9[Export Revenue Generated (USD) /Project Cost],
ISNUMBER(Table9[Export Revenue Generated (USD) /Project Cost])*
(Table9[Export Revenue Generated (USD) /Project Cost]&gt;0)*
NOT(ISNUMBER(SEARCH("Agriculture",Table9[Sector])))
)
)</f>
        <v>79.736000000000004</v>
      </c>
      <c r="AR8" s="198">
        <f t="array" ref="AR8">AVERAGE(
_xlfn._xlws.FILTER(
Table9[Export Revenue Generated (USD) /Project Cost],
ISNUMBER(Table9[Export Revenue Generated (USD) /Project Cost])*
(Table9[Export Revenue Generated (USD) /Project Cost]&gt;0)*
NOT(ISNUMBER(SEARCH("Agriculture",Table9[Sector])))
)
)</f>
        <v>79.736000000000004</v>
      </c>
      <c r="AS8" s="15">
        <f>COUNTIFS(
Table9[Export Revenue Generated (USD) /Project Cost],"&gt;0",
Table9[Sector],"&lt;&gt;*Agriculture*"
)</f>
        <v>1</v>
      </c>
      <c r="AT8" s="203">
        <f t="array" ref="AT8">_xlfn.LET(
_xlpm.data,_xlfn._xlws.FILTER(
Table9[Export Revenue Generated (USD) /Project Cost],
ISNUMBER(Table9[Export Revenue Generated (USD) /Project Cost])*
(Table9[Export Revenue Generated (USD) /Project Cost]&gt;0)*
NOT(ISNUMBER(SEARCH("Agriculture",Table9[Sector])))
),
MEDIAN(ABS(_xlpm.data-MEDIAN(_xlpm.data)))
)</f>
        <v>0</v>
      </c>
      <c r="AU8" s="195">
        <f>AT8/AQ8</f>
        <v>0</v>
      </c>
      <c r="AV8" s="195">
        <f t="array" ref="AV8">_xlfn.LET(
_xlpm.data,_xlfn._xlws.FILTER(
Table9[Export Revenue Generated (USD) /Project Cost],
ISNUMBER(Table9[Export Revenue Generated (USD) /Project Cost])*
(Table9[Export Revenue Generated (USD) /Project Cost]&gt;0)*
NOT(ISNUMBER(SEARCH("Agriculture",Table9[Sector])))
),
_xlpm.med,MEDIAN(_xlpm.data),
_xlpm.mad,MEDIAN(ABS(_xlpm.data-_xlpm.med)),
SUMPRODUCT(--(ABS(_xlpm.data-_xlpm.med)&gt;2.5*_xlpm.mad))/COUNT(_xlpm.data)
)</f>
        <v>0</v>
      </c>
      <c r="AW8" s="15">
        <f t="array" ref="AW8">_xlfn.LET(
_xlpm.data,_xlfn._xlws.FILTER(
Table9[Export Revenue Generated (USD) /Project Cost],
ISNUMBER(Table9[Export Revenue Generated (USD) /Project Cost])*
(Table9[Export Revenue Generated (USD) /Project Cost]&gt;0)*
NOT(ISNUMBER(SEARCH("Agriculture",Table9[Sector])))
),
_xlpm.med,MEDIAN(_xlpm.data),
_xlpm.mad,MEDIAN(ABS(_xlpm.data-_xlpm.med)),
SUMPRODUCT(--(ABS(_xlpm.data-_xlpm.med)&gt;2.5*_xlpm.mad))
)</f>
        <v>0</v>
      </c>
      <c r="AX8" s="203">
        <f t="array" ref="AX8">_xlfn.LET(
_xlpm.data,_xlfn._xlws.FILTER(
Table9[Export Revenue Generated (USD) /Project Cost],
ISNUMBER(Table9[Export Revenue Generated (USD) /Project Cost])*
(Table9[Export Revenue Generated (USD) /Project Cost]&gt;0)*
NOT(ISNUMBER(SEARCH("Agriculture",Table9[Sector])))
),
_xlpm.med,MEDIAN(_xlpm.data),
_xlpm.mad,MEDIAN(ABS(_xlpm.data-_xlpm.med)),
AVERAGE(_xlfn._xlws.FILTER(_xlpm.data,ABS(_xlpm.data-_xlpm.med)&lt;=2.5*_xlpm.mad))
)</f>
        <v>79.736000000000004</v>
      </c>
      <c r="AY8" s="232">
        <f>AS8-AW8</f>
        <v>1</v>
      </c>
      <c r="AZ8" s="142"/>
      <c r="BA8" s="202"/>
      <c r="BB8" s="202"/>
      <c r="BC8" s="15"/>
      <c r="BD8" s="15"/>
      <c r="BE8" s="15"/>
      <c r="BF8" s="15"/>
      <c r="BG8" s="15"/>
      <c r="BH8" s="15"/>
      <c r="BI8" s="15"/>
      <c r="BJ8" s="15"/>
      <c r="BK8" s="15"/>
      <c r="BL8" s="15"/>
      <c r="BM8" s="15"/>
      <c r="BN8" s="15"/>
      <c r="BO8" s="15"/>
      <c r="BP8" s="15"/>
      <c r="BQ8" s="15"/>
      <c r="BR8" s="15"/>
      <c r="BS8" s="15"/>
      <c r="BT8" s="15"/>
      <c r="BU8" s="202"/>
      <c r="BV8" s="202"/>
      <c r="BW8" s="15"/>
      <c r="BX8" s="15"/>
      <c r="BY8" s="15"/>
      <c r="BZ8" s="15"/>
      <c r="CA8" s="15"/>
      <c r="CB8" s="15"/>
      <c r="CC8" s="15"/>
      <c r="CD8" s="15"/>
      <c r="CE8" s="15"/>
      <c r="CF8" s="15"/>
      <c r="CG8" s="15"/>
      <c r="CH8" s="15"/>
      <c r="CI8" s="15"/>
      <c r="CJ8" s="15"/>
      <c r="CK8" s="15"/>
      <c r="CL8" s="15"/>
      <c r="CM8" s="15"/>
      <c r="CN8" s="135"/>
      <c r="CO8" s="203"/>
      <c r="CP8" s="203"/>
      <c r="CQ8" s="15"/>
      <c r="CR8" s="15"/>
      <c r="CS8" s="15"/>
      <c r="CT8" s="15"/>
      <c r="CU8" s="15"/>
      <c r="CV8" s="15"/>
      <c r="CW8" s="15"/>
    </row>
    <row r="9" spans="2:101" x14ac:dyDescent="0.25">
      <c r="B9" s="292" t="s">
        <v>635</v>
      </c>
      <c r="C9" s="361"/>
      <c r="D9" s="293"/>
      <c r="E9" s="293"/>
      <c r="F9" s="293"/>
      <c r="G9" s="293"/>
      <c r="H9" s="293"/>
      <c r="I9" s="293"/>
      <c r="J9" s="293"/>
      <c r="K9" s="362"/>
      <c r="L9" s="385"/>
      <c r="M9" s="361"/>
      <c r="N9" s="293"/>
      <c r="O9" s="293"/>
      <c r="P9" s="293"/>
      <c r="Q9" s="347"/>
      <c r="R9" s="347"/>
      <c r="S9" s="293"/>
      <c r="T9" s="293"/>
      <c r="U9" s="362"/>
      <c r="V9" s="385"/>
      <c r="W9" s="361"/>
      <c r="X9" s="293"/>
      <c r="Y9" s="293"/>
      <c r="Z9" s="293"/>
      <c r="AA9" s="293"/>
      <c r="AB9" s="293"/>
      <c r="AC9" s="293"/>
      <c r="AD9" s="293"/>
      <c r="AE9" s="362"/>
      <c r="AF9" s="385"/>
      <c r="AG9" s="361"/>
      <c r="AH9" s="293"/>
      <c r="AI9" s="293"/>
      <c r="AJ9" s="293"/>
      <c r="AK9" s="293"/>
      <c r="AL9" s="293"/>
      <c r="AM9" s="293"/>
      <c r="AN9" s="293"/>
      <c r="AO9" s="362"/>
      <c r="AP9" s="385"/>
      <c r="AQ9" s="361"/>
      <c r="AR9" s="293"/>
      <c r="AS9" s="293"/>
      <c r="AT9" s="293"/>
      <c r="AU9" s="293"/>
      <c r="AV9" s="293"/>
      <c r="AW9" s="293"/>
      <c r="AX9" s="293"/>
      <c r="AY9" s="362"/>
      <c r="AZ9" s="385"/>
      <c r="BA9" s="293"/>
      <c r="BB9" s="293"/>
      <c r="BC9" s="293"/>
      <c r="BD9" s="293"/>
      <c r="BE9" s="293"/>
      <c r="BF9" s="293"/>
      <c r="BG9" s="293"/>
      <c r="BH9" s="293"/>
      <c r="BI9" s="293"/>
      <c r="BJ9" s="385"/>
      <c r="BK9" s="293"/>
      <c r="BL9" s="293"/>
      <c r="BM9" s="293"/>
      <c r="BN9" s="293"/>
      <c r="BO9" s="293"/>
      <c r="BP9" s="293"/>
      <c r="BQ9" s="293"/>
      <c r="BR9" s="293"/>
      <c r="BS9" s="293"/>
      <c r="BT9" s="385"/>
      <c r="BU9" s="293"/>
      <c r="BV9" s="293"/>
      <c r="BW9" s="293"/>
      <c r="BX9" s="293"/>
      <c r="BY9" s="293"/>
      <c r="BZ9" s="293"/>
      <c r="CA9" s="293"/>
      <c r="CB9" s="293"/>
      <c r="CC9" s="293"/>
      <c r="CD9" s="385"/>
      <c r="CE9" s="293"/>
      <c r="CF9" s="293"/>
      <c r="CG9" s="293"/>
      <c r="CH9" s="293"/>
      <c r="CI9" s="293"/>
      <c r="CJ9" s="293"/>
      <c r="CK9" s="293"/>
      <c r="CL9" s="293"/>
      <c r="CM9" s="293"/>
      <c r="CN9" s="385"/>
      <c r="CO9" s="373"/>
      <c r="CP9" s="373"/>
      <c r="CQ9" s="373"/>
      <c r="CR9" s="373"/>
      <c r="CS9" s="373"/>
      <c r="CT9" s="373"/>
      <c r="CU9" s="373"/>
      <c r="CV9" s="373"/>
      <c r="CW9" s="373"/>
    </row>
    <row r="10" spans="2:101" x14ac:dyDescent="0.25">
      <c r="B10" s="205" t="s">
        <v>636</v>
      </c>
      <c r="C10" s="365" t="e">
        <f t="array" ref="C10">MEDIAN(_xlfn._xlws.FILTER(Table9[Income per beneficiary (USD)],(Table9[Income per beneficiary (USD)]&gt;0)*(Table8[Programme Length]&gt;=10)))</f>
        <v>#VALUE!</v>
      </c>
      <c r="D10" s="257">
        <f t="array" ref="D10">AVERAGE(_xlfn._xlws.FILTER(Table9[Income per beneficiary (USD)],(Table9[Income per beneficiary (USD)]&gt;0)*(Table9[Programme Length]&gt;=10)))</f>
        <v>559.99148446210302</v>
      </c>
      <c r="E10" s="255">
        <f>COUNTIFS(Table9[Income per beneficiary (USD)],"&gt;0",Table9[Programme Length],"&gt;=10")</f>
        <v>6</v>
      </c>
      <c r="F10" s="344">
        <f t="array" ref="F10">_xlfn.LET(
_xlpm.data,_xlfn._xlws.FILTER(
Table9[Income per beneficiary (USD)],
(Table9[Income per beneficiary (USD)]&gt;0)*
(Table9[Programme Length]&gt;=10)
),
MEDIAN(ABS(_xlpm.data-MEDIAN(_xlpm.data)))
)</f>
        <v>276.56644337263356</v>
      </c>
      <c r="G10" s="343" t="e">
        <f>F10/C10</f>
        <v>#VALUE!</v>
      </c>
      <c r="H10" s="343">
        <f t="array" ref="H10">_xlfn.LET(
_xlpm.data,_xlfn._xlws.FILTER(
Table9[Income per beneficiary (USD)],
(Table9[Income per beneficiary (USD)]&gt;0)*
(Table9[Programme Length]&gt;=10)
),
_xlpm.med,MEDIAN(_xlpm.data),
_xlpm.mad,MEDIAN(ABS(_xlpm.data-_xlpm.med)),
SUMPRODUCT(--(ABS(_xlpm.data-_xlpm.med)&gt;2.5*_xlpm.mad))/COUNT(_xlpm.data)
)</f>
        <v>0.16666666666666666</v>
      </c>
      <c r="I10" s="346">
        <f t="array" ref="I10">_xlfn.LET(
_xlpm.data,_xlfn._xlws.FILTER(
Table9[Income per beneficiary (USD)],
(Table9[Income per beneficiary (USD)]&gt;0)*
(Table9[Programme Length]&gt;=10)
),
_xlpm.med,MEDIAN(_xlpm.data),
_xlpm.mad,MEDIAN(ABS(_xlpm.data-_xlpm.med)),
SUMPRODUCT(--(ABS(_xlpm.data-_xlpm.med)&gt;2.5*_xlpm.mad))
)</f>
        <v>1</v>
      </c>
      <c r="J10" s="344">
        <f t="array" ref="J10">_xlfn.LET(
_xlpm.data,_xlfn._xlws.FILTER(
Table9[Income per beneficiary (USD)],
(Table9[Income per beneficiary (USD)]&gt;0)*
(Table9[Programme Length]&gt;=10)
),
_xlpm.med,MEDIAN(_xlpm.data),
_xlpm.mad,MEDIAN(ABS(_xlpm.data-_xlpm.med)),
AVERAGE(_xlfn._xlws.FILTER(_xlpm.data,ABS(_xlpm.data-_xlpm.med)&lt;=2.5*_xlpm.mad))
)</f>
        <v>343.72016293520738</v>
      </c>
      <c r="K10" s="364">
        <f>E10-I10</f>
        <v>5</v>
      </c>
      <c r="L10" s="192"/>
      <c r="M10" s="377">
        <f t="array" ref="M10">MEDIAN(
_xlfn._xlws.FILTER(
Table9[Normalised Income Impact Ratio],
ISNUMBER(Table9[Normalised Income Impact Ratio])*
(Table9[Normalised Income Impact Ratio]&gt;0)*
(Table9[Programme Length]&gt;=10)
)
)</f>
        <v>3.3591108910614828E-2</v>
      </c>
      <c r="N10" s="371">
        <f t="array" ref="N10">AVERAGE(
_xlfn._xlws.FILTER(
Table9[Normalised Income Impact Ratio],
ISNUMBER(Table9[Normalised Income Impact Ratio])*
(Table9[Normalised Income Impact Ratio]&gt;0)*
(Table9[Programme Length]&gt;=10)
)
)</f>
        <v>0.12036455764101893</v>
      </c>
      <c r="O10" s="344">
        <f>COUNTIFS(
Table9[Normalised Income Impact Ratio],"&gt;0",
Table9[Programme Length],"&gt;=10"
)</f>
        <v>6</v>
      </c>
      <c r="P10" s="371">
        <f t="array" ref="P10">_xlfn.LET(
_xlpm.data,_xlfn._xlws.FILTER(
Table9[Normalised Income Impact Ratio],
ISNUMBER(Table9[Normalised Income Impact Ratio])*
(Table9[Normalised Income Impact Ratio]&gt;0)*
(Table9[Programme Length]&gt;=10)
),
MEDIAN(ABS(_xlpm.data-MEDIAN(_xlpm.data)))
)</f>
        <v>2.832842641541413E-2</v>
      </c>
      <c r="Q10" s="343">
        <f>P10/M10</f>
        <v>0.84333108772310628</v>
      </c>
      <c r="R10" s="343">
        <f t="array" ref="R10">_xlfn.LET(
_xlpm.data,_xlfn._xlws.FILTER(
Table9[Normalised Income Impact Ratio],
ISNUMBER(Table9[Normalised Income Impact Ratio])*
(Table9[Normalised Income Impact Ratio]&gt;0)*
(Table9[Programme Length]&gt;=10)
),
_xlpm.med,MEDIAN(_xlpm.data),
_xlpm.mad,MEDIAN(ABS(_xlpm.data-_xlpm.med)),
SUMPRODUCT(--(ABS(_xlpm.data-_xlpm.med)&gt;2.5*_xlpm.mad))/COUNT(_xlpm.data)
)</f>
        <v>0.33333333333333331</v>
      </c>
      <c r="S10" s="344">
        <f t="array" ref="S10">_xlfn.LET(
_xlpm.data,_xlfn._xlws.FILTER(
Table9[Normalised Income Impact Ratio],
ISNUMBER(Table9[Normalised Income Impact Ratio])*
(Table9[Normalised Income Impact Ratio]&gt;0)*
(Table9[Programme Length]&gt;=10)
),
_xlpm.med,MEDIAN(_xlpm.data),
_xlpm.mad,MEDIAN(ABS(_xlpm.data-_xlpm.med)),
SUMPRODUCT(--(ABS(_xlpm.data-_xlpm.med)&gt;2.5*_xlpm.mad))
)</f>
        <v>2</v>
      </c>
      <c r="T10" s="371">
        <f t="array" ref="T10">_xlfn.LET(
_xlpm.data,_xlfn._xlws.FILTER(
Table9[Normalised Income Impact Ratio],
ISNUMBER(Table9[Normalised Income Impact Ratio])*
(Table9[Normalised Income Impact Ratio]&gt;0)*
(Table9[Programme Length]&gt;=10)
),
_xlpm.med,MEDIAN(_xlpm.data),
_xlpm.mad,MEDIAN(ABS(_xlpm.data-_xlpm.med)),
AVERAGE(_xlfn._xlws.FILTER(_xlpm.data,ABS(_xlpm.data-_xlpm.med)&lt;=2.5*_xlpm.mad))
)</f>
        <v>1.9426895702907766E-2</v>
      </c>
      <c r="U10" s="393">
        <f>O10-S10</f>
        <v>4</v>
      </c>
      <c r="V10" s="257"/>
      <c r="W10" s="377">
        <f t="array" ref="W10">MEDIAN(
_xlfn._xlws.FILTER(
Table9[Private Sector Investment (USD) / Project cost ],
ISNUMBER(Table9[Private Sector Investment (USD) / Project cost ])*
(Table9[Private Sector Investment (USD) / Project cost ]&gt;0)*
(Table9[Programme Length]&gt;=10)
)
)</f>
        <v>0.50501613647702559</v>
      </c>
      <c r="X10" s="371">
        <f t="array" ref="X10">AVERAGE(
_xlfn._xlws.FILTER(
Table9[Private Sector Investment (USD) / Project cost ],
ISNUMBER(Table9[Private Sector Investment (USD) / Project cost ])*
(Table9[Private Sector Investment (USD) / Project cost ]&gt;0)*
(Table9[Programme Length]&gt;=10)
)
)</f>
        <v>0.59209484509801702</v>
      </c>
      <c r="Y10" s="261">
        <f>COUNTIFS(
Table9[Private Sector Investment (USD) / Project cost ],"&gt;0",
Table9[Programme Length],"&gt;=10"
)</f>
        <v>4</v>
      </c>
      <c r="Z10" s="371">
        <f t="array" ref="Z10">_xlfn.LET(
_xlpm.data,_xlfn._xlws.FILTER(
Table9[Private Sector Investment (USD) / Project cost ],
ISNUMBER(Table9[Private Sector Investment (USD) / Project cost ])*
(Table9[Private Sector Investment (USD) / Project cost ]&gt;0)*
(Table9[Programme Length]&gt;=10)
),
MEDIAN(ABS(_xlpm.data-MEDIAN(_xlpm.data)))
)</f>
        <v>0.18391089108910891</v>
      </c>
      <c r="AA10" s="343">
        <f>Z10/W10</f>
        <v>0.36416834593061653</v>
      </c>
      <c r="AB10" s="343">
        <f t="array" ref="AB10">_xlfn.LET(
_xlpm.data,_xlfn._xlws.FILTER(
Table9[Private Sector Investment (USD) / Project cost ],
ISNUMBER(Table9[Private Sector Investment (USD) / Project cost ])*
(Table9[Private Sector Investment (USD) / Project cost ]&gt;0)*
(Table9[Programme Length]&gt;=10)
),
_xlpm.med,MEDIAN(_xlpm.data),
_xlpm.mad,MEDIAN(ABS(_xlpm.data-_xlpm.med)),
SUMPRODUCT(--(ABS(_xlpm.data-_xlpm.med)&gt;2.5*_xlpm.mad))/COUNT(_xlpm.data)
)</f>
        <v>0.25</v>
      </c>
      <c r="AC10" s="261">
        <f t="array" ref="AC10">_xlfn.LET(
_xlpm.data,_xlfn._xlws.FILTER(
Table9[Private Sector Investment (USD) / Project cost ],
ISNUMBER(Table9[Private Sector Investment (USD) / Project cost ])*
(Table9[Private Sector Investment (USD) / Project cost ]&gt;0)*
(Table9[Programme Length]&gt;=10)
),
_xlpm.med,MEDIAN(_xlpm.data),
_xlpm.mad,MEDIAN(ABS(_xlpm.data-_xlpm.med)),
SUMPRODUCT(--(ABS(_xlpm.data-_xlpm.med)&gt;2.5*_xlpm.mad))
)</f>
        <v>1</v>
      </c>
      <c r="AD10" s="371">
        <f t="array" ref="AD10">_xlfn.LET(
_xlpm.data,_xlfn._xlws.FILTER(
Table9[Private Sector Investment (USD) / Project cost ],
ISNUMBER(Table9[Private Sector Investment (USD) / Project cost ])*
(Table9[Private Sector Investment (USD) / Project cost ]&gt;0)*
(Table9[Programme Length]&gt;=10)
),
_xlpm.med,MEDIAN(_xlpm.data),
_xlpm.mad,MEDIAN(ABS(_xlpm.data-_xlpm.med)),
AVERAGE(_xlfn._xlws.FILTER(_xlpm.data,ABS(_xlpm.data-_xlpm.med)&lt;=2.5*_xlpm.mad))
)</f>
        <v>0.39001075765135046</v>
      </c>
      <c r="AE10" s="397">
        <f>Y10-AC10</f>
        <v>3</v>
      </c>
      <c r="AF10" s="255"/>
      <c r="AG10" s="377">
        <f t="array" ref="AG10">MEDIAN(
_xlfn._xlws.FILTER(
Table9[Private Sector Revenues Generated (USD) / Project cost],
ISNUMBER(Table9[Private Sector Revenues Generated (USD) / Project cost])*
(Table9[Private Sector Revenues Generated (USD) / Project cost]&gt;0)*
(Table9[Programme Length]&gt;=10)
)
)</f>
        <v>0.48617511520737328</v>
      </c>
      <c r="AH10" s="371">
        <f t="array" ref="AH10">AVERAGE(
_xlfn._xlws.FILTER(
Table9[Private Sector Revenues Generated (USD) / Project cost],
ISNUMBER(Table9[Private Sector Revenues Generated (USD) / Project cost])*
(Table9[Private Sector Revenues Generated (USD) / Project cost]&gt;0)*
(Table9[Programme Length]&gt;=10)
)
)</f>
        <v>1.1663914250924978</v>
      </c>
      <c r="AI10" s="261">
        <f>COUNTIFS(
Table9[Private Sector Revenues Generated (USD) / Project cost],"&gt;0",
Table9[Programme Length],"&gt;=10"
)</f>
        <v>5</v>
      </c>
      <c r="AJ10" s="371">
        <f t="array" ref="AJ10">_xlfn.LET(
_xlpm.data,_xlfn._xlws.FILTER(
Table9[Private Sector Revenues Generated (USD) / Project cost],
ISNUMBER(Table9[Private Sector Revenues Generated (USD) / Project cost])*
(Table9[Private Sector Revenues Generated (USD) / Project cost]&gt;0)*
(Table9[Programme Length]&gt;=10)
),
MEDIAN(ABS(_xlpm.data-MEDIAN(_xlpm.data)))
)</f>
        <v>0.47379887758361089</v>
      </c>
      <c r="AK10" s="343">
        <f>AJ10/AG10</f>
        <v>0.97454366289709538</v>
      </c>
      <c r="AL10" s="343">
        <f t="array" ref="AL10">_xlfn.LET(
_xlpm.data,_xlfn._xlws.FILTER(
Table9[Private Sector Revenues Generated (USD) / Project cost],
ISNUMBER(Table9[Private Sector Revenues Generated (USD) / Project cost])*
(Table9[Private Sector Revenues Generated (USD) / Project cost]&gt;0)*
(Table9[Programme Length]&gt;=10)
),
_xlpm.med,MEDIAN(_xlpm.data),
_xlpm.mad,MEDIAN(ABS(_xlpm.data-_xlpm.med)),
SUMPRODUCT(--(ABS(_xlpm.data-_xlpm.med)&gt;2.5*_xlpm.mad))/COUNT(_xlpm.data)
)</f>
        <v>0.4</v>
      </c>
      <c r="AM10" s="261">
        <f t="array" ref="AM10">_xlfn.LET(
_xlpm.data,_xlfn._xlws.FILTER(
Table9[Private Sector Revenues Generated (USD) / Project cost],
ISNUMBER(Table9[Private Sector Revenues Generated (USD) / Project cost])*
(Table9[Private Sector Revenues Generated (USD) / Project cost]&gt;0)*
(Table9[Programme Length]&gt;=10)
),
_xlpm.med,MEDIAN(_xlpm.data),
_xlpm.mad,MEDIAN(ABS(_xlpm.data-_xlpm.med)),
SUMPRODUCT(--(ABS(_xlpm.data-_xlpm.med)&gt;2.5*_xlpm.mad))
)</f>
        <v>2</v>
      </c>
      <c r="AN10" s="371">
        <f t="array" ref="AN10">_xlfn.LET(
_xlpm.data,_xlfn._xlws.FILTER(
Table9[Private Sector Revenues Generated (USD) / Project cost],
ISNUMBER(Table9[Private Sector Revenues Generated (USD) / Project cost])*
(Table9[Private Sector Revenues Generated (USD) / Project cost]&gt;0)*
(Table9[Programme Length]&gt;=10)
),
_xlpm.med,MEDIAN(_xlpm.data),
_xlpm.mad,MEDIAN(ABS(_xlpm.data-_xlpm.med)),
AVERAGE(_xlfn._xlws.FILTER(_xlpm.data,ABS(_xlpm.data-_xlpm.med)&lt;=2.5*_xlpm.mad))
)</f>
        <v>0.20951711761037858</v>
      </c>
      <c r="AO10" s="232">
        <f>AI10-AM10</f>
        <v>3</v>
      </c>
      <c r="AP10" s="255"/>
      <c r="AQ10" s="371">
        <f t="array" ref="AQ10">MEDIAN(
_xlfn._xlws.FILTER(
Table9[Export Revenue Generated (USD) /Project Cost],
ISNUMBER(Table9[Export Revenue Generated (USD) /Project Cost])*
(Table9[Export Revenue Generated (USD) /Project Cost]&gt;0)*
(Table9[Programme Length]&gt;=10)
)
)</f>
        <v>0.24083813614185784</v>
      </c>
      <c r="AR10" s="371">
        <f t="array" ref="AR10">AVERAGE(
_xlfn._xlws.FILTER(
Table9[Export Revenue Generated (USD) /Project Cost],
ISNUMBER(Table9[Export Revenue Generated (USD) /Project Cost])*
(Table9[Export Revenue Generated (USD) /Project Cost]&gt;0)*
(Table9[Programme Length]&gt;=10)
)
)</f>
        <v>0.24083813614185787</v>
      </c>
      <c r="AS10" s="261">
        <f>COUNTIFS(
Table9[Export Revenue Generated (USD) /Project Cost],"&gt;0",
Table9[Programme Length],"&gt;=10"
)</f>
        <v>2</v>
      </c>
      <c r="AT10" s="371">
        <f t="array" ref="AT10">_xlfn.LET(
_xlpm.data,_xlfn._xlws.FILTER(
Table9[Export Revenue Generated (USD) /Project Cost],
ISNUMBER(Table9[Export Revenue Generated (USD) /Project Cost])*
(Table9[Export Revenue Generated (USD) /Project Cost]&gt;0)*
(Table9[Programme Length]&gt;=10)
),
MEDIAN(ABS(_xlpm.data-MEDIAN(_xlpm.data)))
)</f>
        <v>0.19916186385814214</v>
      </c>
      <c r="AU10" s="195">
        <f>AT10/AQ10</f>
        <v>0.82695318544083207</v>
      </c>
      <c r="AV10" s="343">
        <f t="array" ref="AV10">_xlfn.LET(
_xlpm.data,_xlfn._xlws.FILTER(
Table9[Export Revenue Generated (USD) /Project Cost],
ISNUMBER(Table9[Export Revenue Generated (USD) /Project Cost])*
(Table9[Export Revenue Generated (USD) /Project Cost]&gt;0)*
(Table9[Programme Length]&gt;=10)
),
_xlpm.med,MEDIAN(_xlpm.data),
_xlpm.mad,MEDIAN(ABS(_xlpm.data-_xlpm.med)),
SUMPRODUCT(--(ABS(_xlpm.data-_xlpm.med)&gt;2.5*_xlpm.mad))/COUNT(_xlpm.data)
)</f>
        <v>0</v>
      </c>
      <c r="AW10" s="261">
        <f t="array" ref="AW10">_xlfn.LET(
_xlpm.data,_xlfn._xlws.FILTER(
Table9[Export Revenue Generated (USD) /Project Cost],
ISNUMBER(Table9[Export Revenue Generated (USD) /Project Cost])*
(Table9[Export Revenue Generated (USD) /Project Cost]&gt;0)*
(Table9[Programme Length]&gt;=10)
),
_xlpm.med,MEDIAN(_xlpm.data),
_xlpm.mad,MEDIAN(ABS(_xlpm.data-_xlpm.med)),
SUMPRODUCT(--(ABS(_xlpm.data-_xlpm.med)&gt;2.5*_xlpm.mad))
)</f>
        <v>0</v>
      </c>
      <c r="AX10" s="371">
        <f t="array" ref="AX10">_xlfn.LET(
_xlpm.data,_xlfn._xlws.FILTER(
Table9[Export Revenue Generated (USD) /Project Cost],
ISNUMBER(Table9[Export Revenue Generated (USD) /Project Cost])*
(Table9[Export Revenue Generated (USD) /Project Cost]&gt;0)*
(Table9[Programme Length]&gt;=10)
),
_xlpm.med,MEDIAN(_xlpm.data),
_xlpm.mad,MEDIAN(ABS(_xlpm.data-_xlpm.med)),
AVERAGE(_xlfn._xlws.FILTER(_xlpm.data,ABS(_xlpm.data-_xlpm.med)&lt;=2.5*_xlpm.mad))
)</f>
        <v>0.24083813614185787</v>
      </c>
      <c r="AY10" s="15">
        <f>AS10-AW10</f>
        <v>2</v>
      </c>
      <c r="AZ10" s="255"/>
      <c r="BA10" s="257"/>
      <c r="BB10" s="257"/>
      <c r="BC10" s="255"/>
      <c r="BD10" s="255"/>
      <c r="BE10" s="255"/>
      <c r="BF10" s="255"/>
      <c r="BG10" s="255"/>
      <c r="BH10" s="255"/>
      <c r="BI10" s="255"/>
      <c r="BJ10" s="255"/>
      <c r="BK10" s="255"/>
      <c r="BL10" s="255"/>
      <c r="BM10" s="255"/>
      <c r="BN10" s="255"/>
      <c r="BO10" s="255"/>
      <c r="BP10" s="255"/>
      <c r="BQ10" s="255"/>
      <c r="BR10" s="255"/>
      <c r="BS10" s="255"/>
      <c r="BT10" s="255"/>
      <c r="BU10" s="257"/>
      <c r="BV10" s="257"/>
      <c r="BW10" s="255"/>
      <c r="BX10" s="255"/>
      <c r="BY10" s="255"/>
      <c r="BZ10" s="255"/>
      <c r="CA10" s="255"/>
      <c r="CB10" s="255"/>
      <c r="CC10" s="255"/>
      <c r="CD10" s="255"/>
      <c r="CE10" s="255"/>
      <c r="CF10" s="255"/>
      <c r="CG10" s="255"/>
      <c r="CH10" s="255"/>
      <c r="CI10" s="255"/>
      <c r="CJ10" s="255"/>
      <c r="CK10" s="255"/>
      <c r="CL10" s="255"/>
      <c r="CM10" s="255"/>
      <c r="CN10" s="255"/>
      <c r="CO10" s="371"/>
      <c r="CP10" s="371"/>
      <c r="CQ10" s="261"/>
      <c r="CR10" s="15"/>
      <c r="CS10" s="15"/>
      <c r="CT10" s="15"/>
      <c r="CU10" s="15"/>
      <c r="CV10" s="15"/>
      <c r="CW10" s="15"/>
    </row>
    <row r="11" spans="2:101" x14ac:dyDescent="0.25">
      <c r="B11" s="205" t="s">
        <v>637</v>
      </c>
      <c r="C11" s="363" t="e">
        <f t="array" ref="C11">MEDIAN(_xlfn._xlws.FILTER(Table9[Income per beneficiary (USD)],(Table9[Income per beneficiary (USD)]&gt;0)*(Table8[Programme Length]&gt;5)*(Table9[Programme Length]&lt;=9)))</f>
        <v>#VALUE!</v>
      </c>
      <c r="D11" s="202" t="e">
        <f t="array" ref="D11">AVERAGE(_xlfn._xlws.FILTER(Table9[Income per beneficiary (USD)],(Table9[Income per beneficiary (USD)]&gt;0)*(Table9[Programme Length]&gt;5)*(Table8[Programme Length]&lt;=9)))</f>
        <v>#VALUE!</v>
      </c>
      <c r="E11" s="15">
        <f>COUNTIFS(Table9[Income per beneficiary (USD)],"&gt;0",Table9[Programme Length],"&gt;5",Table9[Programme Length],"&lt;=9")</f>
        <v>13</v>
      </c>
      <c r="F11" s="202">
        <f t="array" ref="F11">_xlfn.LET(
_xlpm.data,_xlfn._xlws.FILTER(
Table9[Income per beneficiary (USD)],
(Table9[Income per beneficiary (USD)]&gt;0)*
(Table9[Programme Length]&gt;5)*
(Table9[Programme Length]&lt;=9)
),
MEDIAN(ABS(_xlpm.data-MEDIAN(_xlpm.data)))
)</f>
        <v>76.392112110110986</v>
      </c>
      <c r="G11" s="342" t="e">
        <f>F11/C11</f>
        <v>#VALUE!</v>
      </c>
      <c r="H11" s="195">
        <f t="array" ref="H11">_xlfn.LET(
_xlpm.data,_xlfn._xlws.FILTER(
Table9[Income per beneficiary (USD)],
(Table9[Income per beneficiary (USD)]&gt;0)*
(Table9[Programme Length]&gt;5)*
(Table9[Programme Length]&lt;=9)
),
_xlpm.med,MEDIAN(_xlpm.data),
_xlpm.mad,MEDIAN(ABS(_xlpm.data-_xlpm.med)),
SUMPRODUCT(--(ABS(_xlpm.data-_xlpm.med)&gt;2.5*_xlpm.mad))/COUNT(_xlpm.data)
)</f>
        <v>0.38461538461538464</v>
      </c>
      <c r="I11" s="15">
        <f t="array" ref="I11">_xlfn.LET(
_xlpm.data,_xlfn._xlws.FILTER(
Table9[Income per beneficiary (USD)],
(Table9[Income per beneficiary (USD)]&gt;0)*
(Table9[Programme Length]&gt;5)*
(Table9[Programme Length]&lt;=9)
),
_xlpm.med,MEDIAN(_xlpm.data),
_xlpm.mad,MEDIAN(ABS(_xlpm.data-_xlpm.med)),
SUMPRODUCT(--(ABS(_xlpm.data-_xlpm.med)&gt;2.5*_xlpm.mad))
)</f>
        <v>5</v>
      </c>
      <c r="J11" s="202">
        <f t="array" ref="J11">_xlfn.LET(
_xlpm.data,_xlfn._xlws.FILTER(
Table9[Income per beneficiary (USD)],
(Table9[Income per beneficiary (USD)]&gt;0)*
(Table9[Programme Length]&gt;5)*
(Table9[Programme Length]&lt;=9)
),
_xlpm.med,MEDIAN(_xlpm.data),
_xlpm.mad,MEDIAN(ABS(_xlpm.data-_xlpm.med)),
AVERAGE(_xlfn._xlws.FILTER(_xlpm.data,ABS(_xlpm.data-_xlpm.med)&lt;=2.5*_xlpm.mad))
)</f>
        <v>110.64080922329943</v>
      </c>
      <c r="K11" s="364">
        <f>E11-I11</f>
        <v>8</v>
      </c>
      <c r="L11" s="192"/>
      <c r="M11" s="370">
        <f t="array" ref="M11">MEDIAN(
_xlfn._xlws.FILTER(
Table9[Normalised Income Impact Ratio],
ISNUMBER(Table9[Normalised Income Impact Ratio])*
(Table9[Normalised Income Impact Ratio]&gt;0)*
(Table9[Programme Length]&gt;5)*
(Table9[Programme Length]&lt;=9)
)
)</f>
        <v>3.4613189173909979E-2</v>
      </c>
      <c r="N11" s="203">
        <f t="array" ref="N11">AVERAGE(
_xlfn._xlws.FILTER(
Table9[Normalised Income Impact Ratio],
ISNUMBER(Table9[Normalised Income Impact Ratio])*
(Table9[Normalised Income Impact Ratio]&gt;0)*
(Table9[Programme Length]&gt;5)*
(Table9[Programme Length]&lt;=9)
)
)</f>
        <v>0.11276678025975849</v>
      </c>
      <c r="O11" s="202">
        <f>COUNTIFS(
Table9[Normalised Income Impact Ratio],"&gt;0",
Table9[Programme Length],"&gt;5",
Table9[Programme Length],"&lt;=9"
)</f>
        <v>13</v>
      </c>
      <c r="P11" s="203">
        <f t="array" ref="P11">_xlfn.LET(
_xlpm.data,_xlfn._xlws.FILTER(
Table9[Normalised Income Impact Ratio],
ISNUMBER(Table9[Normalised Income Impact Ratio])*
(Table9[Normalised Income Impact Ratio]&gt;0)*
(Table9[Programme Length]&gt;5)*
(Table9[Programme Length]&lt;=9)
),
MEDIAN(ABS(_xlpm.data-MEDIAN(_xlpm.data)))
)</f>
        <v>3.0735921986409977E-2</v>
      </c>
      <c r="Q11" s="343">
        <f>P11/M11</f>
        <v>0.88798295447382447</v>
      </c>
      <c r="R11" s="195">
        <f t="array" ref="R11">_xlfn.LET(
_xlpm.data,_xlfn._xlws.FILTER(
Table9[Normalised Income Impact Ratio],
ISNUMBER(Table9[Normalised Income Impact Ratio])*
(Table9[Normalised Income Impact Ratio]&gt;0)*
(Table9[Programme Length]&gt;5)*
(Table9[Programme Length]&lt;=9)
),
_xlpm.med,MEDIAN(_xlpm.data),
_xlpm.mad,MEDIAN(ABS(_xlpm.data-_xlpm.med)),
SUMPRODUCT(--(ABS(_xlpm.data-_xlpm.med)&gt;2.5*_xlpm.mad))/COUNT(_xlpm.data)
)</f>
        <v>0.30769230769230771</v>
      </c>
      <c r="S11" s="202">
        <f t="array" ref="S11">_xlfn.LET(
_xlpm.data,_xlfn._xlws.FILTER(
Table9[Normalised Income Impact Ratio],
ISNUMBER(Table9[Normalised Income Impact Ratio])*
(Table9[Normalised Income Impact Ratio]&gt;0)*
(Table9[Programme Length]&gt;5)*
(Table9[Programme Length]&lt;=9)
),
_xlpm.med,MEDIAN(_xlpm.data),
_xlpm.mad,MEDIAN(ABS(_xlpm.data-_xlpm.med)),
SUMPRODUCT(--(ABS(_xlpm.data-_xlpm.med)&gt;2.5*_xlpm.mad))
)</f>
        <v>4</v>
      </c>
      <c r="T11" s="203">
        <f t="array" ref="T11">_xlfn.LET(
_xlpm.data,_xlfn._xlws.FILTER(
Table9[Normalised Income Impact Ratio],
ISNUMBER(Table9[Normalised Income Impact Ratio])*
(Table9[Normalised Income Impact Ratio]&gt;0)*
(Table9[Programme Length]&gt;5)*
(Table9[Programme Length]&lt;=9)
),
_xlpm.med,MEDIAN(_xlpm.data),
_xlpm.mad,MEDIAN(ABS(_xlpm.data-_xlpm.med)),
AVERAGE(_xlfn._xlws.FILTER(_xlpm.data,ABS(_xlpm.data-_xlpm.med)&lt;=2.5*_xlpm.mad))
)</f>
        <v>3.3680765987567987E-2</v>
      </c>
      <c r="U11" s="393">
        <f>O11-S11</f>
        <v>9</v>
      </c>
      <c r="V11" s="257"/>
      <c r="W11" s="370">
        <f t="array" ref="W11">MEDIAN(
_xlfn._xlws.FILTER(
Table9[Private Sector Investment (USD) / Project cost ],
ISNUMBER(Table9[Private Sector Investment (USD) / Project cost ])*
(Table9[Private Sector Investment (USD) / Project cost ]&gt;0)*
(Table9[Programme Length]&gt;5)*
(Table9[Programme Length]&lt;=9)
)
)</f>
        <v>0.70857276000000002</v>
      </c>
      <c r="X11" s="203">
        <f t="array" ref="X11">AVERAGE(
_xlfn._xlws.FILTER(
Table9[Private Sector Investment (USD) / Project cost ],
ISNUMBER(Table9[Private Sector Investment (USD) / Project cost ])*
(Table9[Private Sector Investment (USD) / Project cost ]&gt;0)*(Table9[Programme Length]&gt;5)*
(Table9[Programme Length]&lt;=9)
)
)</f>
        <v>3.0686412411503179</v>
      </c>
      <c r="Y11" s="15">
        <f>COUNTIFS(
Table9[Private Sector Investment (USD) / Project cost ],"&gt;0",
Table9[Programme Length],"&gt;5",
Table9[Programme Length],"&lt;=9"
)</f>
        <v>15</v>
      </c>
      <c r="Z11" s="203">
        <f t="array" ref="Z11">_xlfn.LET(
_xlpm.data,_xlfn._xlws.FILTER(
Table9[Private Sector Investment (USD) / Project cost ],
ISNUMBER(Table9[Private Sector Investment (USD) / Project cost ])*
(Table9[Private Sector Investment (USD) / Project cost ]&gt;0)*
(Table9[Programme Length]&gt;5)*
(Table9[Programme Length]&lt;=9)
),
MEDIAN(ABS(_xlpm.data-MEDIAN(_xlpm.data)))
)</f>
        <v>0.64265097229050283</v>
      </c>
      <c r="AA11" s="343">
        <f>Z11/W11</f>
        <v>0.90696539377339713</v>
      </c>
      <c r="AB11" s="195">
        <f t="array" ref="AB11">_xlfn.LET(
_xlpm.data,_xlfn._xlws.FILTER(
Table9[Private Sector Investment (USD) / Project cost ],
ISNUMBER(Table9[Private Sector Investment (USD) / Project cost ])*
(Table9[Private Sector Investment (USD) / Project cost ]&gt;0)*
(Table9[Programme Length]&gt;5)*
(Table9[Programme Length]&lt;=9)
),
_xlpm.med,MEDIAN(_xlpm.data),
_xlpm.mad,MEDIAN(ABS(_xlpm.data-_xlpm.med)),
SUMPRODUCT(--(ABS(_xlpm.data-_xlpm.med)&gt;2.5*_xlpm.mad))/COUNT(_xlpm.data)
)</f>
        <v>0.2</v>
      </c>
      <c r="AC11" s="15">
        <f t="array" ref="AC11">_xlfn.LET(
_xlpm.data,_xlfn._xlws.FILTER(
Table9[Private Sector Investment (USD) / Project cost ],
ISNUMBER(Table9[Private Sector Investment (USD) / Project cost ])*
(Table9[Private Sector Investment (USD) / Project cost ]&gt;0)*
(Table9[Programme Length]&gt;5)*
(Table9[Programme Length]&lt;=9)
),
_xlpm.med,MEDIAN(_xlpm.data),
_xlpm.mad,MEDIAN(ABS(_xlpm.data-_xlpm.med)),
SUMPRODUCT(--(ABS(_xlpm.data-_xlpm.med)&gt;2.5*_xlpm.mad))
)</f>
        <v>3</v>
      </c>
      <c r="AD11" s="203">
        <f t="array" ref="AD11">_xlfn.LET(
_xlpm.data,_xlfn._xlws.FILTER(
Table9[Private Sector Investment (USD) / Project cost ],
ISNUMBER(Table9[Private Sector Investment (USD) / Project cost ])*
(Table9[Private Sector Investment (USD) / Project cost ]&gt;0)*
(Table9[Programme Length]&gt;5)*
(Table9[Programme Length]&lt;=9)
),
_xlpm.med,MEDIAN(_xlpm.data),
_xlpm.mad,MEDIAN(ABS(_xlpm.data-_xlpm.med)),
AVERAGE(_xlfn._xlws.FILTER(_xlpm.data,ABS(_xlpm.data-_xlpm.med)&lt;=2.5*_xlpm.mad))
)</f>
        <v>0.68347033875225394</v>
      </c>
      <c r="AE11" s="397">
        <f>Y11-AC11</f>
        <v>12</v>
      </c>
      <c r="AF11" s="255"/>
      <c r="AG11" s="370">
        <f t="array" ref="AG11">MEDIAN(
_xlfn._xlws.FILTER(
Table9[Private Sector Revenues Generated (USD) / Project cost],
ISNUMBER(Table9[Private Sector Revenues Generated (USD) / Project cost])*
(Table9[Private Sector Revenues Generated (USD) / Project cost]&gt;0)*
(Table9[Programme Length]&gt;5)*
(Table9[Programme Length]&lt;=9)
)
)</f>
        <v>1.93865246449457</v>
      </c>
      <c r="AH11" s="203">
        <f t="array" ref="AH11">AVERAGE(
_xlfn._xlws.FILTER(
Table9[Private Sector Revenues Generated (USD) / Project cost],
ISNUMBER(Table9[Private Sector Revenues Generated (USD) / Project cost])*
(Table9[Private Sector Revenues Generated (USD) / Project cost]&gt;0)*
(Table9[Programme Length]&gt;5)*
(Table9[Programme Length]&lt;=9)
)
)</f>
        <v>3.1690620584901201</v>
      </c>
      <c r="AI11" s="15">
        <f>COUNTIFS(
Table9[Private Sector Revenues Generated (USD) / Project cost],"&gt;0",
Table9[Programme Length],"&gt;5",
Table9[Programme Length],"&lt;=9"
)</f>
        <v>11</v>
      </c>
      <c r="AJ11" s="203">
        <f t="array" ref="AJ11">_xlfn.LET(
_xlpm.data,_xlfn._xlws.FILTER(
Table9[Private Sector Revenues Generated (USD) / Project cost],
ISNUMBER(Table9[Private Sector Revenues Generated (USD) / Project cost])*
(Table9[Private Sector Revenues Generated (USD) / Project cost]&gt;0)*
(Table9[Programme Length]&gt;5)*
(Table9[Programme Length]&lt;=9)
),
MEDIAN(ABS(_xlpm.data-MEDIAN(_xlpm.data)))
)</f>
        <v>1.2526059528666629</v>
      </c>
      <c r="AK11" s="343">
        <f>AJ11/AG11</f>
        <v>0.64612197173423358</v>
      </c>
      <c r="AL11" s="195">
        <f t="array" ref="AL11">_xlfn.LET(
_xlpm.data,_xlfn._xlws.FILTER(
Table9[Private Sector Revenues Generated (USD) / Project cost],
ISNUMBER(Table9[Private Sector Revenues Generated (USD) / Project cost])*
(Table9[Private Sector Revenues Generated (USD) / Project cost]&gt;0)*
(Table9[Programme Length]&gt;5)*
(Table9[Programme Length]&lt;=9)
),
_xlpm.med,MEDIAN(_xlpm.data),
_xlpm.mad,MEDIAN(ABS(_xlpm.data-_xlpm.med)),
SUMPRODUCT(--(ABS(_xlpm.data-_xlpm.med)&gt;2.5*_xlpm.mad))/COUNT(_xlpm.data)
)</f>
        <v>0.18181818181818182</v>
      </c>
      <c r="AM11" s="15">
        <f t="array" ref="AM11">_xlfn.LET(
_xlpm.data,_xlfn._xlws.FILTER(
Table9[Private Sector Revenues Generated (USD) / Project cost],
ISNUMBER(Table9[Private Sector Revenues Generated (USD) / Project cost])*
(Table9[Private Sector Revenues Generated (USD) / Project cost]&gt;0)*
(Table9[Programme Length]&gt;5)*
(Table9[Programme Length]&lt;=9)
),
_xlpm.med,MEDIAN(_xlpm.data),
_xlpm.mad,MEDIAN(ABS(_xlpm.data-_xlpm.med)),
SUMPRODUCT(--(ABS(_xlpm.data-_xlpm.med)&gt;2.5*_xlpm.mad))
)</f>
        <v>2</v>
      </c>
      <c r="AN11" s="203">
        <f t="array" ref="AN11">_xlfn.LET(
_xlpm.data,_xlfn._xlws.FILTER(
Table9[Private Sector Revenues Generated (USD) / Project cost],
ISNUMBER(Table9[Private Sector Revenues Generated (USD) / Project cost])*
(Table9[Private Sector Revenues Generated (USD) / Project cost]&gt;0)*
(Table9[Programme Length]&gt;5)*
(Table9[Programme Length]&lt;=9)
),
_xlpm.med,MEDIAN(_xlpm.data),
_xlpm.mad,MEDIAN(ABS(_xlpm.data-_xlpm.med)),
AVERAGE(_xlfn._xlws.FILTER(_xlpm.data,ABS(_xlpm.data-_xlpm.med)&lt;=2.5*_xlpm.mad))
)</f>
        <v>1.5287888899434554</v>
      </c>
      <c r="AO11" s="232">
        <f>AI11-AM11</f>
        <v>9</v>
      </c>
      <c r="AP11" s="191"/>
      <c r="AQ11" s="370">
        <f t="array" ref="AQ11">MEDIAN(
_xlfn._xlws.FILTER(
Table9[Export Revenue Generated (USD) /Project Cost],
ISNUMBER(Table9[Export Revenue Generated (USD) /Project Cost])*
(Table9[Export Revenue Generated (USD) /Project Cost]&gt;0)*
(Table9[Programme Length]&gt;5)*
(Table9[Programme Length]&lt;=9)
)
)</f>
        <v>0.12625825324675324</v>
      </c>
      <c r="AR11" s="203">
        <f t="array" ref="AR11">AVERAGE(
_xlfn._xlws.FILTER(
Table9[Export Revenue Generated (USD) /Project Cost],
ISNUMBER(Table9[Export Revenue Generated (USD) /Project Cost])*
(Table9[Export Revenue Generated (USD) /Project Cost]&gt;0)*
(Table9[Programme Length]&gt;5)*
(Table9[Programme Length]&lt;=9)
)
)</f>
        <v>0.12625825324675324</v>
      </c>
      <c r="AS11" s="15">
        <f>COUNTIFS(
Table9[Export Revenue Generated (USD) /Project Cost],"&gt;0",
Table9[Programme Length],"&gt;5",
Table9[Programme Length],"&lt;=9"
)</f>
        <v>2</v>
      </c>
      <c r="AT11" s="203">
        <f t="array" ref="AT11">_xlfn.LET(
_xlpm.data,_xlfn._xlws.FILTER(
Table9[Export Revenue Generated (USD) /Project Cost],
ISNUMBER(Table9[Export Revenue Generated (USD) /Project Cost])*
(Table9[Export Revenue Generated (USD) /Project Cost]&gt;0)*
(Table9[Programme Length]&gt;5)*
(Table9[Programme Length]&lt;=9)
),
MEDIAN(ABS(_xlpm.data-MEDIAN(_xlpm.data)))
)</f>
        <v>3.4378110389610368E-2</v>
      </c>
      <c r="AU11" s="195">
        <f>AT11/AQ11</f>
        <v>0.27228406464980465</v>
      </c>
      <c r="AV11" s="195">
        <f t="array" ref="AV11">_xlfn.LET(
_xlpm.data,_xlfn._xlws.FILTER(
Table9[Export Revenue Generated (USD) /Project Cost],
ISNUMBER(Table9[Export Revenue Generated (USD) /Project Cost])*
(Table9[Export Revenue Generated (USD) /Project Cost]&gt;0)*
(Table9[Programme Length]&gt;5)*
(Table9[Programme Length]&lt;=9)
),
_xlpm.med,MEDIAN(_xlpm.data),
_xlpm.mad,MEDIAN(ABS(_xlpm.data-_xlpm.med)),
SUMPRODUCT(--(ABS(_xlpm.data-_xlpm.med)&gt;2.5*_xlpm.mad))/COUNT(_xlpm.data)
)</f>
        <v>0</v>
      </c>
      <c r="AW11" s="15">
        <f t="array" ref="AW11">_xlfn.LET(
_xlpm.data,_xlfn._xlws.FILTER(
Table9[Export Revenue Generated (USD) /Project Cost],
ISNUMBER(Table9[Export Revenue Generated (USD) /Project Cost])*
(Table9[Export Revenue Generated (USD) /Project Cost]&gt;0)*
(Table9[Programme Length]&gt;5)*
(Table9[Programme Length]&lt;=9)
),
_xlpm.med,MEDIAN(_xlpm.data),
_xlpm.mad,MEDIAN(ABS(_xlpm.data-_xlpm.med)),
SUMPRODUCT(--(ABS(_xlpm.data-_xlpm.med)&gt;2.5*_xlpm.mad))
)</f>
        <v>0</v>
      </c>
      <c r="AX11" s="203">
        <f t="array" ref="AX11">_xlfn.LET(
_xlpm.data,_xlfn._xlws.FILTER(
Table9[Export Revenue Generated (USD) /Project Cost],
ISNUMBER(Table9[Export Revenue Generated (USD) /Project Cost])*
(Table9[Export Revenue Generated (USD) /Project Cost]&gt;0)*
(Table9[Programme Length]&gt;5)*
(Table9[Programme Length]&lt;=9)
),
_xlpm.med,MEDIAN(_xlpm.data),
_xlpm.mad,MEDIAN(ABS(_xlpm.data-_xlpm.med)),
AVERAGE(_xlfn._xlws.FILTER(_xlpm.data,ABS(_xlpm.data-_xlpm.med)&lt;=2.5*_xlpm.mad))
)</f>
        <v>0.12625825324675324</v>
      </c>
      <c r="AY11" s="232">
        <f>AS11-AW11</f>
        <v>2</v>
      </c>
      <c r="AZ11" s="142"/>
      <c r="BA11" s="202"/>
      <c r="BB11" s="202"/>
      <c r="BC11" s="15"/>
      <c r="BD11" s="15"/>
      <c r="BE11" s="15"/>
      <c r="BF11" s="15"/>
      <c r="BG11" s="15"/>
      <c r="BH11" s="15"/>
      <c r="BI11" s="15"/>
      <c r="BJ11" s="15"/>
      <c r="BK11" s="15"/>
      <c r="BL11" s="15"/>
      <c r="BM11" s="15"/>
      <c r="BN11" s="15"/>
      <c r="BO11" s="15"/>
      <c r="BP11" s="15"/>
      <c r="BQ11" s="15"/>
      <c r="BR11" s="15"/>
      <c r="BS11" s="15"/>
      <c r="BT11" s="15"/>
      <c r="BU11" s="202"/>
      <c r="BV11" s="202"/>
      <c r="BW11" s="15"/>
      <c r="BX11" s="15"/>
      <c r="BY11" s="15"/>
      <c r="BZ11" s="15"/>
      <c r="CA11" s="15"/>
      <c r="CB11" s="15"/>
      <c r="CC11" s="15"/>
      <c r="CD11" s="15"/>
      <c r="CE11" s="15"/>
      <c r="CF11" s="15"/>
      <c r="CG11" s="15"/>
      <c r="CH11" s="15"/>
      <c r="CI11" s="15"/>
      <c r="CJ11" s="15"/>
      <c r="CK11" s="15"/>
      <c r="CL11" s="15"/>
      <c r="CM11" s="15"/>
      <c r="CN11" s="135"/>
      <c r="CO11" s="203"/>
      <c r="CP11" s="203"/>
      <c r="CQ11" s="15"/>
      <c r="CR11" s="15"/>
      <c r="CS11" s="15"/>
      <c r="CT11" s="15"/>
      <c r="CU11" s="15"/>
      <c r="CV11" s="15"/>
      <c r="CW11" s="15"/>
    </row>
    <row r="12" spans="2:101" x14ac:dyDescent="0.25">
      <c r="B12" s="205" t="s">
        <v>638</v>
      </c>
      <c r="C12" s="363">
        <f t="array" ref="C12">MEDIAN(_xlfn._xlws.FILTER(Table9[Income per beneficiary (USD)], (Table9[Income per beneficiary (USD)]&gt;0)*(Table9[Programme Length]&lt;=5)))</f>
        <v>191.32203389830511</v>
      </c>
      <c r="D12" s="202">
        <f t="array" ref="D12">AVERAGE(_xlfn._xlws.FILTER(Table9[Income per beneficiary (USD)], (Table9[Income per beneficiary (USD)]&gt;0)*(Table9[Programme Length]&lt;=5)))</f>
        <v>265.88889926621664</v>
      </c>
      <c r="E12" s="15">
        <f>COUNTIFS(Table9[Income per beneficiary (USD)],"&gt;0", Table9[Programme Length], "&lt;=5")</f>
        <v>25</v>
      </c>
      <c r="F12" s="202">
        <f t="array" ref="F12">_xlfn.LET(
_xlpm.data,_xlfn._xlws.FILTER(
Table9[Income per beneficiary (USD)],
(Table9[Income per beneficiary (USD)]&gt;0)*
(Table9[Programme Length]&lt;=5)
),
MEDIAN(ABS(_xlpm.data-MEDIAN(_xlpm.data)))
)</f>
        <v>144.67796610169489</v>
      </c>
      <c r="G12" s="342">
        <f>F12/C12</f>
        <v>0.75620127569099904</v>
      </c>
      <c r="H12" s="195">
        <f t="array" ref="H12">_xlfn.LET(
_xlpm.data,_xlfn._xlws.FILTER(
Table9[Income per beneficiary (USD)],
(Table9[Income per beneficiary (USD)]&gt;0)*
(Table9[Programme Length]&lt;=5)
),
_xlpm.med,MEDIAN(_xlpm.data),
_xlpm.mad,MEDIAN(ABS(_xlpm.data-_xlpm.med)),
SUMPRODUCT(--(ABS(_xlpm.data-_xlpm.med)&gt;2.5*_xlpm.mad))/COUNT(_xlpm.data)
)</f>
        <v>0.12</v>
      </c>
      <c r="I12" s="15">
        <f t="array" ref="I12">_xlfn.LET(
_xlpm.data,_xlfn._xlws.FILTER(
Table9[Income per beneficiary (USD)],
(Table9[Income per beneficiary (USD)]&gt;0)*
(Table9[Programme Length]&lt;=5)
),
_xlpm.med,MEDIAN(_xlpm.data),
_xlpm.mad,MEDIAN(ABS(_xlpm.data-_xlpm.med)),
SUMPRODUCT(--(ABS(_xlpm.data-_xlpm.med)&gt;2.5*_xlpm.mad))
)</f>
        <v>3</v>
      </c>
      <c r="J12" s="202">
        <f t="array" ref="J12">_xlfn.LET(
_xlpm.data,_xlfn._xlws.FILTER(
Table9[Income per beneficiary (USD)],
(Table9[Income per beneficiary (USD)]&gt;0)*
(Table9[Programme Length]&lt;=5)
),
_xlpm.med,MEDIAN(_xlpm.data),
_xlpm.mad,MEDIAN(ABS(_xlpm.data-_xlpm.med)),
AVERAGE(_xlfn._xlws.FILTER(_xlpm.data,ABS(_xlpm.data-_xlpm.med)&lt;=2.5*_xlpm.mad))
)</f>
        <v>214.44363945329894</v>
      </c>
      <c r="K12" s="364">
        <f>E12-I12</f>
        <v>22</v>
      </c>
      <c r="L12" s="192"/>
      <c r="M12" s="370">
        <f t="array" ref="M12">MEDIAN(
_xlfn._xlws.FILTER(
Table9[Normalised Income Impact Ratio],
ISNUMBER(Table9[Normalised Income Impact Ratio])*
(Table9[Normalised Income Impact Ratio]&gt;0)*
(Table9[Programme Length]&lt;=5)
)
)</f>
        <v>2.341663050893052E-2</v>
      </c>
      <c r="N12" s="203">
        <f t="array" ref="N12">AVERAGE(
_xlfn._xlws.FILTER(
Table9[Normalised Income Impact Ratio],
ISNUMBER(Table9[Normalised Income Impact Ratio])*
(Table9[Normalised Income Impact Ratio]&gt;0)*
(Table9[Programme Length]&lt;=5)
)
)</f>
        <v>4.4490494489418157E-2</v>
      </c>
      <c r="O12" s="202">
        <f>COUNTIFS(
Table9[Normalised Income Impact Ratio],"&gt;0",
Table9[Programme Length],"&lt;=5"
)</f>
        <v>24</v>
      </c>
      <c r="P12" s="203">
        <f t="array" ref="P12">_xlfn.LET(
_xlpm.data,_xlfn._xlws.FILTER(
Table9[Normalised Income Impact Ratio],
ISNUMBER(Table9[Normalised Income Impact Ratio])*
(Table9[Normalised Income Impact Ratio]&gt;0)*
(Table9[Programme Length]&lt;=5)
),
MEDIAN(ABS(_xlpm.data-MEDIAN(_xlpm.data)))
)</f>
        <v>1.5128498468076249E-2</v>
      </c>
      <c r="Q12" s="343">
        <f>P12/M12</f>
        <v>0.64605787166119466</v>
      </c>
      <c r="R12" s="195">
        <f t="array" ref="R12">_xlfn.LET(
_xlpm.data,_xlfn._xlws.FILTER(
Table9[Normalised Income Impact Ratio],
ISNUMBER(Table9[Normalised Income Impact Ratio])*
(Table9[Normalised Income Impact Ratio]&gt;0)*
(Table9[Programme Length]&lt;=5)
),
_xlpm.med,MEDIAN(_xlpm.data),
_xlpm.mad,MEDIAN(ABS(_xlpm.data-_xlpm.med)),
SUMPRODUCT(--(ABS(_xlpm.data-_xlpm.med)&gt;2.5*_xlpm.mad))/COUNT(_xlpm.data)
)</f>
        <v>0.20833333333333334</v>
      </c>
      <c r="S12" s="202">
        <f t="array" ref="S12">_xlfn.LET(
_xlpm.data,_xlfn._xlws.FILTER(
Table9[Normalised Income Impact Ratio],
ISNUMBER(Table9[Normalised Income Impact Ratio])*
(Table9[Normalised Income Impact Ratio]&gt;0)*
(Table9[Programme Length]&lt;=5)
),
_xlpm.med,MEDIAN(_xlpm.data),
_xlpm.mad,MEDIAN(ABS(_xlpm.data-_xlpm.med)),
SUMPRODUCT(--(ABS(_xlpm.data-_xlpm.med)&gt;2.5*_xlpm.mad))
)</f>
        <v>5</v>
      </c>
      <c r="T12" s="203">
        <f t="array" ref="T12">_xlfn.LET(
_xlpm.data,_xlfn._xlws.FILTER(
Table9[Normalised Income Impact Ratio],
ISNUMBER(Table9[Normalised Income Impact Ratio])*
(Table9[Normalised Income Impact Ratio]&gt;0)*
(Table9[Programme Length]&lt;=5)
),
_xlpm.med,MEDIAN(_xlpm.data),
_xlpm.mad,MEDIAN(ABS(_xlpm.data-_xlpm.med)),
AVERAGE(_xlfn._xlws.FILTER(_xlpm.data,ABS(_xlpm.data-_xlpm.med)&lt;=2.5*_xlpm.mad))
)</f>
        <v>2.0185337129445851E-2</v>
      </c>
      <c r="U12" s="393">
        <f>O12-S12</f>
        <v>19</v>
      </c>
      <c r="V12" s="257"/>
      <c r="W12" s="370">
        <f t="array" ref="W12">MEDIAN(
_xlfn._xlws.FILTER(
Table9[Private Sector Investment (USD) / Project cost ],
ISNUMBER(Table9[Private Sector Investment (USD) / Project cost ])*
(Table9[Private Sector Investment (USD) / Project cost ]&gt;0)*
(Table9[Programme Length]&lt;=5)
)
)</f>
        <v>0.30848466448692158</v>
      </c>
      <c r="X12" s="203">
        <f t="array" ref="X12">AVERAGE(
_xlfn._xlws.FILTER(
Table9[Private Sector Investment (USD) / Project cost ],
ISNUMBER(Table9[Private Sector Investment (USD) / Project cost ])*
(Table9[Private Sector Investment (USD) / Project cost ]&gt;0)*
(Table9[Programme Length]&lt;=5)
)
)</f>
        <v>0.98747577547043053</v>
      </c>
      <c r="Y12" s="15">
        <f>COUNTIFS(
Table9[Private Sector Investment (USD) / Project cost ],"&gt;0",
Table9[Programme Length],"&lt;=5"
)</f>
        <v>38</v>
      </c>
      <c r="Z12" s="203">
        <f t="array" ref="Z12">_xlfn.LET(
_xlpm.data,_xlfn._xlws.FILTER(
Table9[Private Sector Investment (USD) / Project cost ],
ISNUMBER(Table9[Private Sector Investment (USD) / Project cost ])*
(Table9[Private Sector Investment (USD) / Project cost ]&gt;0)*
(Table9[Programme Length]&lt;=5)
),
MEDIAN(ABS(_xlpm.data-MEDIAN(_xlpm.data)))
)</f>
        <v>0.24782955308804708</v>
      </c>
      <c r="AA12" s="343">
        <f>Z12/W12</f>
        <v>0.80337722298203251</v>
      </c>
      <c r="AB12" s="195">
        <f t="array" ref="AB12">_xlfn.LET(
_xlpm.data,_xlfn._xlws.FILTER(
Table9[Private Sector Investment (USD) / Project cost ],
ISNUMBER(Table9[Private Sector Investment (USD) / Project cost ])*
(Table9[Private Sector Investment (USD) / Project cost ]&gt;0)*
(Table9[Programme Length]&lt;=5)
),
_xlpm.med,MEDIAN(_xlpm.data),
_xlpm.mad,MEDIAN(ABS(_xlpm.data-_xlpm.med)),
SUMPRODUCT(--(ABS(_xlpm.data-_xlpm.med)&gt;2.5*_xlpm.mad))/COUNT(_xlpm.data)
)</f>
        <v>0.28947368421052633</v>
      </c>
      <c r="AC12" s="15">
        <f t="array" ref="AC12">_xlfn.LET(
_xlpm.data,_xlfn._xlws.FILTER(
Table9[Private Sector Investment (USD) / Project cost ],
ISNUMBER(Table9[Private Sector Investment (USD) / Project cost ])*
(Table9[Private Sector Investment (USD) / Project cost ]&gt;0)*
(Table9[Programme Length]&lt;=5)
),
_xlpm.med,MEDIAN(_xlpm.data),
_xlpm.mad,MEDIAN(ABS(_xlpm.data-_xlpm.med)),
SUMPRODUCT(--(ABS(_xlpm.data-_xlpm.med)&gt;2.5*_xlpm.mad))
)</f>
        <v>11</v>
      </c>
      <c r="AD12" s="203">
        <f t="array" ref="AD12">_xlfn.LET(
_xlpm.data,_xlfn._xlws.FILTER(
Table9[Private Sector Investment (USD) / Project cost ],
ISNUMBER(Table9[Private Sector Investment (USD) / Project cost ])*
(Table9[Private Sector Investment (USD) / Project cost ]&gt;0)*
(Table9[Programme Length]&lt;=5)
),
_xlpm.med,MEDIAN(_xlpm.data),
_xlpm.mad,MEDIAN(ABS(_xlpm.data-_xlpm.med)),
AVERAGE(_xlfn._xlws.FILTER(_xlpm.data,ABS(_xlpm.data-_xlpm.med)&lt;=2.5*_xlpm.mad))
)</f>
        <v>0.25102907132053359</v>
      </c>
      <c r="AE12" s="397">
        <f>Y12-AC12</f>
        <v>27</v>
      </c>
      <c r="AF12" s="255"/>
      <c r="AG12" s="370">
        <f t="array" ref="AG12">MEDIAN(
_xlfn._xlws.FILTER(
Table9[Private Sector Revenues Generated (USD) / Project cost],
ISNUMBER(Table9[Private Sector Revenues Generated (USD) / Project cost])*
(Table9[Private Sector Revenues Generated (USD) / Project cost]&gt;0)*
(Table9[Programme Length]&lt;=5)
)
)</f>
        <v>1.0723423999999999</v>
      </c>
      <c r="AH12" s="203">
        <f t="array" ref="AH12">AVERAGE(
_xlfn._xlws.FILTER(
Table9[Private Sector Revenues Generated (USD) / Project cost],
ISNUMBER(Table9[Private Sector Revenues Generated (USD) / Project cost])*
(Table9[Private Sector Revenues Generated (USD) / Project cost]&gt;0)*
(Table9[Programme Length]&lt;=5)
)
)</f>
        <v>3.1084048110250739</v>
      </c>
      <c r="AI12" s="15">
        <f>COUNTIFS(
Table9[Private Sector Revenues Generated (USD) / Project cost],"&gt;0",
Table9[Programme Length],"&lt;=5"
)</f>
        <v>31</v>
      </c>
      <c r="AJ12" s="203">
        <f t="array" ref="AJ12">_xlfn.LET(
_xlpm.data,_xlfn._xlws.FILTER(
Table9[Private Sector Revenues Generated (USD) / Project cost],
ISNUMBER(Table9[Private Sector Revenues Generated (USD) / Project cost])*
(Table9[Private Sector Revenues Generated (USD) / Project cost]&gt;0)*
(Table9[Programme Length]&lt;=5)
),
MEDIAN(ABS(_xlpm.data-MEDIAN(_xlpm.data)))
)</f>
        <v>0.88758266345781611</v>
      </c>
      <c r="AK12" s="343">
        <f>AJ12/AG12</f>
        <v>0.82770453118128706</v>
      </c>
      <c r="AL12" s="195">
        <f t="array" ref="AL12">_xlfn.LET(
_xlpm.data,_xlfn._xlws.FILTER(
Table9[Private Sector Revenues Generated (USD) / Project cost],
ISNUMBER(Table9[Private Sector Revenues Generated (USD) / Project cost])*
(Table9[Private Sector Revenues Generated (USD) / Project cost]&gt;0)*
(Table9[Programme Length]&lt;=5)
),
_xlpm.med,MEDIAN(_xlpm.data),
_xlpm.mad,MEDIAN(ABS(_xlpm.data-_xlpm.med)),
SUMPRODUCT(--(ABS(_xlpm.data-_xlpm.med)&gt;2.5*_xlpm.mad))/COUNT(_xlpm.data)
)</f>
        <v>0.19354838709677419</v>
      </c>
      <c r="AM12" s="15">
        <f t="array" ref="AM12">_xlfn.LET(
_xlpm.data,_xlfn._xlws.FILTER(
Table9[Private Sector Revenues Generated (USD) / Project cost],
ISNUMBER(Table9[Private Sector Revenues Generated (USD) / Project cost])*
(Table9[Private Sector Revenues Generated (USD) / Project cost]&gt;0)*
(Table9[Programme Length]&lt;=5)
),
_xlpm.med,MEDIAN(_xlpm.data),
_xlpm.mad,MEDIAN(ABS(_xlpm.data-_xlpm.med)),
SUMPRODUCT(--(ABS(_xlpm.data-_xlpm.med)&gt;2.5*_xlpm.mad))
)</f>
        <v>6</v>
      </c>
      <c r="AN12" s="203">
        <f t="array" ref="AN12">_xlfn.LET(
_xlpm.data,_xlfn._xlws.FILTER(
Table9[Private Sector Revenues Generated (USD) / Project cost],
ISNUMBER(Table9[Private Sector Revenues Generated (USD) / Project cost])*
(Table9[Private Sector Revenues Generated (USD) / Project cost]&gt;0)*
(Table9[Programme Length]&lt;=5)
),
_xlpm.med,MEDIAN(_xlpm.data),
_xlpm.mad,MEDIAN(ABS(_xlpm.data-_xlpm.med)),
AVERAGE(_xlfn._xlws.FILTER(_xlpm.data,ABS(_xlpm.data-_xlpm.med)&lt;=2.5*_xlpm.mad))
)</f>
        <v>0.84977767775997204</v>
      </c>
      <c r="AO12" s="232">
        <f>AI12-AM12</f>
        <v>25</v>
      </c>
      <c r="AP12" s="191"/>
      <c r="AQ12" s="370">
        <f t="array" ref="AQ12">MEDIAN(
_xlfn._xlws.FILTER(
Table9[Export Revenue Generated (USD) /Project Cost],
ISNUMBER(Table9[Export Revenue Generated (USD) /Project Cost])*
(Table9[Export Revenue Generated (USD) /Project Cost]&gt;0)*
(Table9[Programme Length]&lt;=5)
)
)</f>
        <v>0.12824730379810756</v>
      </c>
      <c r="AR12" s="203">
        <f t="array" ref="AR12">AVERAGE(
_xlfn._xlws.FILTER(
Table9[Export Revenue Generated (USD) /Project Cost],
ISNUMBER(Table9[Export Revenue Generated (USD) /Project Cost])*
(Table9[Export Revenue Generated (USD) /Project Cost]&gt;0)*
(Table9[Programme Length]&lt;=5)
)
)</f>
        <v>9.848596661963283</v>
      </c>
      <c r="AS12" s="15">
        <f>COUNTIFS(
Table9[Export Revenue Generated (USD) /Project Cost],"&gt;0",
Table9[Programme Length],"&lt;=5"
)</f>
        <v>10</v>
      </c>
      <c r="AT12" s="203">
        <f t="array" ref="AT12">_xlfn.LET(
_xlpm.data,_xlfn._xlws.FILTER(
Table9[Export Revenue Generated (USD) /Project Cost],
ISNUMBER(Table9[Export Revenue Generated (USD) /Project Cost])*
(Table9[Export Revenue Generated (USD) /Project Cost]&gt;0)*
(Table9[Programme Length]&lt;=5)
),
MEDIAN(ABS(_xlpm.data-MEDIAN(_xlpm.data)))
)</f>
        <v>0.12624072661231522</v>
      </c>
      <c r="AU12" s="195">
        <f>AT12/AQ12</f>
        <v>0.98435384506054668</v>
      </c>
      <c r="AV12" s="195">
        <f t="array" ref="AV12">_xlfn.LET(
_xlpm.data,_xlfn._xlws.FILTER(
Table9[Export Revenue Generated (USD) /Project Cost],
ISNUMBER(Table9[Export Revenue Generated (USD) /Project Cost])*
(Table9[Export Revenue Generated (USD) /Project Cost]&gt;0)*
(Table9[Programme Length]&lt;=5)
),
_xlpm.med,MEDIAN(_xlpm.data),
_xlpm.mad,MEDIAN(ABS(_xlpm.data-_xlpm.med)),
SUMPRODUCT(--(ABS(_xlpm.data-_xlpm.med)&gt;2.5*_xlpm.mad))/COUNT(_xlpm.data)
)</f>
        <v>0.3</v>
      </c>
      <c r="AW12" s="15">
        <f t="array" ref="AW12">_xlfn.LET(
_xlpm.data,_xlfn._xlws.FILTER(
Table9[Export Revenue Generated (USD) /Project Cost],
ISNUMBER(Table9[Export Revenue Generated (USD) /Project Cost])*
(Table9[Export Revenue Generated (USD) /Project Cost]&gt;0)*
(Table9[Programme Length]&lt;=5)
),
_xlpm.med,MEDIAN(_xlpm.data),
_xlpm.mad,MEDIAN(ABS(_xlpm.data-_xlpm.med)),
SUMPRODUCT(--(ABS(_xlpm.data-_xlpm.med)&gt;2.5*_xlpm.mad))
)</f>
        <v>3</v>
      </c>
      <c r="AX12" s="203">
        <f t="array" ref="AX12">_xlfn.LET(
_xlpm.data,_xlfn._xlws.FILTER(
Table9[Export Revenue Generated (USD) /Project Cost],
ISNUMBER(Table9[Export Revenue Generated (USD) /Project Cost])*
(Table9[Export Revenue Generated (USD) /Project Cost]&gt;0)*
(Table9[Programme Length]&lt;=5)
),
_xlpm.med,MEDIAN(_xlpm.data),
_xlpm.mad,MEDIAN(ABS(_xlpm.data-_xlpm.med)),
AVERAGE(_xlfn._xlws.FILTER(_xlpm.data,ABS(_xlpm.data-_xlpm.med)&lt;=2.5*_xlpm.mad))
)</f>
        <v>0.10502347458571984</v>
      </c>
      <c r="AY12" s="232">
        <f>AS12-AW12</f>
        <v>7</v>
      </c>
      <c r="AZ12" s="142"/>
      <c r="BA12" s="202"/>
      <c r="BB12" s="202"/>
      <c r="BC12" s="15"/>
      <c r="BD12" s="15"/>
      <c r="BE12" s="15"/>
      <c r="BF12" s="15"/>
      <c r="BG12" s="15"/>
      <c r="BH12" s="15"/>
      <c r="BI12" s="15"/>
      <c r="BJ12" s="15"/>
      <c r="BK12" s="15"/>
      <c r="BL12" s="15"/>
      <c r="BM12" s="15"/>
      <c r="BN12" s="15"/>
      <c r="BO12" s="15"/>
      <c r="BP12" s="15"/>
      <c r="BQ12" s="15"/>
      <c r="BR12" s="15"/>
      <c r="BS12" s="15"/>
      <c r="BT12" s="15"/>
      <c r="BU12" s="202"/>
      <c r="BV12" s="202"/>
      <c r="BW12" s="15"/>
      <c r="BX12" s="15"/>
      <c r="BY12" s="15"/>
      <c r="BZ12" s="15"/>
      <c r="CA12" s="15"/>
      <c r="CB12" s="15"/>
      <c r="CC12" s="15"/>
      <c r="CD12" s="15"/>
      <c r="CE12" s="15"/>
      <c r="CF12" s="15"/>
      <c r="CG12" s="15"/>
      <c r="CH12" s="15"/>
      <c r="CI12" s="15"/>
      <c r="CJ12" s="15"/>
      <c r="CK12" s="15"/>
      <c r="CL12" s="15"/>
      <c r="CM12" s="15"/>
      <c r="CN12" s="135"/>
      <c r="CO12" s="203"/>
      <c r="CP12" s="203"/>
      <c r="CQ12" s="15"/>
      <c r="CR12" s="15"/>
      <c r="CS12" s="15"/>
      <c r="CT12" s="15"/>
      <c r="CU12" s="15"/>
      <c r="CV12" s="15"/>
      <c r="CW12" s="15"/>
    </row>
    <row r="13" spans="2:101" ht="14.45" customHeight="1" x14ac:dyDescent="0.25">
      <c r="B13" s="292" t="s">
        <v>639</v>
      </c>
      <c r="C13" s="361"/>
      <c r="D13" s="293"/>
      <c r="E13" s="293"/>
      <c r="F13" s="293"/>
      <c r="G13" s="293"/>
      <c r="H13" s="293"/>
      <c r="I13" s="293"/>
      <c r="J13" s="293"/>
      <c r="K13" s="362"/>
      <c r="L13" s="385"/>
      <c r="M13" s="361"/>
      <c r="N13" s="293"/>
      <c r="O13" s="293"/>
      <c r="P13" s="293"/>
      <c r="Q13" s="347"/>
      <c r="R13" s="347"/>
      <c r="S13" s="293"/>
      <c r="T13" s="293"/>
      <c r="U13" s="362"/>
      <c r="V13" s="385"/>
      <c r="W13" s="398"/>
      <c r="X13" s="373"/>
      <c r="Y13" s="373"/>
      <c r="Z13" s="373"/>
      <c r="AA13" s="373"/>
      <c r="AB13" s="373"/>
      <c r="AC13" s="373"/>
      <c r="AD13" s="373"/>
      <c r="AE13" s="399"/>
      <c r="AF13" s="385"/>
      <c r="AG13" s="361"/>
      <c r="AH13" s="293"/>
      <c r="AI13" s="293"/>
      <c r="AJ13" s="293"/>
      <c r="AK13" s="293"/>
      <c r="AL13" s="293"/>
      <c r="AM13" s="293"/>
      <c r="AN13" s="293"/>
      <c r="AO13" s="362"/>
      <c r="AP13" s="385"/>
      <c r="AQ13" s="361"/>
      <c r="AR13" s="293"/>
      <c r="AS13" s="293"/>
      <c r="AT13" s="293"/>
      <c r="AU13" s="293"/>
      <c r="AV13" s="293"/>
      <c r="AW13" s="293"/>
      <c r="AX13" s="293"/>
      <c r="AY13" s="362"/>
      <c r="AZ13" s="385"/>
      <c r="BA13" s="293"/>
      <c r="BB13" s="293"/>
      <c r="BC13" s="293"/>
      <c r="BD13" s="293"/>
      <c r="BE13" s="293"/>
      <c r="BF13" s="293"/>
      <c r="BG13" s="293"/>
      <c r="BH13" s="293"/>
      <c r="BI13" s="293"/>
      <c r="BJ13" s="385"/>
      <c r="BK13" s="293"/>
      <c r="BL13" s="293"/>
      <c r="BM13" s="293"/>
      <c r="BN13" s="293"/>
      <c r="BO13" s="293"/>
      <c r="BP13" s="293"/>
      <c r="BQ13" s="293"/>
      <c r="BR13" s="293"/>
      <c r="BS13" s="293"/>
      <c r="BT13" s="385"/>
      <c r="BU13" s="293"/>
      <c r="BV13" s="293"/>
      <c r="BW13" s="293"/>
      <c r="BX13" s="293"/>
      <c r="BY13" s="293"/>
      <c r="BZ13" s="293"/>
      <c r="CA13" s="293"/>
      <c r="CB13" s="293"/>
      <c r="CC13" s="293"/>
      <c r="CD13" s="385"/>
      <c r="CE13" s="293"/>
      <c r="CF13" s="293"/>
      <c r="CG13" s="293"/>
      <c r="CH13" s="293"/>
      <c r="CI13" s="293"/>
      <c r="CJ13" s="293"/>
      <c r="CK13" s="293"/>
      <c r="CL13" s="293"/>
      <c r="CM13" s="293"/>
      <c r="CN13" s="385"/>
      <c r="CO13" s="373"/>
      <c r="CP13" s="373"/>
      <c r="CQ13" s="373"/>
      <c r="CR13" s="373"/>
      <c r="CS13" s="373"/>
      <c r="CT13" s="373"/>
      <c r="CU13" s="373"/>
      <c r="CV13" s="373"/>
      <c r="CW13" s="373"/>
    </row>
    <row r="14" spans="2:101" x14ac:dyDescent="0.25">
      <c r="B14" s="338" t="s">
        <v>569</v>
      </c>
      <c r="C14" s="363">
        <f t="array" ref="C14">MEDIAN(_xlfn._xlws.FILTER(Table9[Income per beneficiary (USD)], (Table9[Income per beneficiary (USD)]&gt;0)*(Table9[Grouping]="Group 1")))</f>
        <v>108.65816765946225</v>
      </c>
      <c r="D14" s="202">
        <f t="array" ref="D14">AVERAGE(_xlfn._xlws.FILTER(Table9[Income per beneficiary (USD)], (Table9[Income per beneficiary (USD)]&gt;0)*(Table9[Grouping]="Group 1")))</f>
        <v>163.44125863805684</v>
      </c>
      <c r="E14" s="15">
        <f>COUNTIFS(Table9[Income per beneficiary (USD)],"&gt;0", Table9[Grouping],"Group 1")</f>
        <v>6</v>
      </c>
      <c r="F14" s="202">
        <f t="array" ref="F14">_xlfn.LET(
_xlpm.data,_xlfn._xlws.FILTER(
Table9[Income per beneficiary (USD)],
(Table9[Income per beneficiary (USD)]&gt;0)*
(Table9[Grouping]="Group 1")
),
MEDIAN(ABS(_xlpm.data-MEDIAN(_xlpm.data)))
)</f>
        <v>60.362497246155328</v>
      </c>
      <c r="G14" s="195">
        <f>F14/C14</f>
        <v>0.55552655218090086</v>
      </c>
      <c r="H14" s="195">
        <f t="array" ref="H14">_xlfn.LET(
_xlpm.data,_xlfn._xlws.FILTER(
Table9[Income per beneficiary (USD)],
(Table9[Income per beneficiary (USD)]&gt;0)*
(Table9[Grouping]="Group 1")
),
_xlpm.med,MEDIAN(_xlpm.data),
_xlpm.mad,MEDIAN(ABS(_xlpm.data-_xlpm.med)),
SUMPRODUCT(--(ABS(_xlpm.data-_xlpm.med)&gt;2.5*_xlpm.mad))/COUNT(_xlpm.data)
)</f>
        <v>0.33333333333333331</v>
      </c>
      <c r="I14" s="15">
        <f t="array" ref="I14">_xlfn.LET(
_xlpm.data,_xlfn._xlws.FILTER(
Table9[Income per beneficiary (USD)],
(Table9[Income per beneficiary (USD)]&gt;0)*
(Table9[Grouping]="Group 1")
),
_xlpm.med,MEDIAN(_xlpm.data),
_xlpm.mad,MEDIAN(ABS(_xlpm.data-_xlpm.med)),
SUMPRODUCT(--(ABS(_xlpm.data-_xlpm.med)&gt;2.5*_xlpm.mad))
)</f>
        <v>2</v>
      </c>
      <c r="J14" s="202">
        <f t="array" ref="J14">_xlfn.LET(
_xlpm.data,_xlfn._xlws.FILTER(
Table9[Income per beneficiary (USD)],
(Table9[Income per beneficiary (USD)]&gt;0)*
(Table9[Grouping]="Group 1")
),
_xlpm.med,MEDIAN(_xlpm.data),
_xlpm.mad,MEDIAN(ABS(_xlpm.data-_xlpm.med)),
AVERAGE(_xlfn._xlws.FILTER(_xlpm.data,ABS(_xlpm.data-_xlpm.med)&lt;=2.5*_xlpm.mad))
)</f>
        <v>78.476919036384587</v>
      </c>
      <c r="K14" s="364">
        <f>E14-I14</f>
        <v>4</v>
      </c>
      <c r="L14" s="192"/>
      <c r="M14" s="370">
        <f t="array" ref="M14">MEDIAN(
_xlfn._xlws.FILTER(
Table9[Normalised Income Impact Ratio],
ISNUMBER(Table9[Normalised Income Impact Ratio])*
(Table9[Normalised Income Impact Ratio]&gt;0)*
(Table9[Grouping]="Group 1")
)
)</f>
        <v>1.8666992000736318E-2</v>
      </c>
      <c r="N14" s="203">
        <f t="array" ref="N14">AVERAGE(
_xlfn._xlws.FILTER(
Table9[Normalised Income Impact Ratio],
ISNUMBER(Table9[Normalised Income Impact Ratio])*
(Table9[Normalised Income Impact Ratio]&gt;0)*
(Table9[Grouping]="Group 1")
)
)</f>
        <v>1.7297835719515049E-2</v>
      </c>
      <c r="O14" s="202">
        <f>COUNTIFS(
Table9[Normalised Income Impact Ratio],"&gt;0",
Table9[Grouping],"Group 1"
)</f>
        <v>5</v>
      </c>
      <c r="P14" s="203">
        <f t="array" ref="P14">_xlfn.LET(
_xlpm.data,_xlfn._xlws.FILTER(
Table9[Normalised Income Impact Ratio],
ISNUMBER(Table9[Normalised Income Impact Ratio])*
(Table9[Normalised Income Impact Ratio]&gt;0)*
(Table9[Grouping]="Group 1")
),
MEDIAN(ABS(_xlpm.data-MEDIAN(_xlpm.data)))
)</f>
        <v>6.2615794278351108E-3</v>
      </c>
      <c r="Q14" s="195">
        <f>P14/M14</f>
        <v>0.3354359088806661</v>
      </c>
      <c r="R14" s="195">
        <f t="array" ref="R14">_xlfn.LET(
_xlpm.data,_xlfn._xlws.FILTER(
Table9[Normalised Income Impact Ratio],
ISNUMBER(Table9[Normalised Income Impact Ratio])*
(Table9[Normalised Income Impact Ratio]&gt;0)*
(Table9[Grouping]="Group 1")
),
_xlpm.med,MEDIAN(_xlpm.data),
_xlpm.mad,MEDIAN(ABS(_xlpm.data-_xlpm.med)),
SUMPRODUCT(--(ABS(_xlpm.data-_xlpm.med)&gt;2.5*_xlpm.mad))/COUNT(_xlpm.data)
)</f>
        <v>0.2</v>
      </c>
      <c r="S14" s="202">
        <f t="array" ref="S14">_xlfn.LET(
_xlpm.data,_xlfn._xlws.FILTER(
Table9[Normalised Income Impact Ratio],
ISNUMBER(Table9[Normalised Income Impact Ratio])*
(Table9[Normalised Income Impact Ratio]&gt;0)*
(Table9[Grouping]="Group 1")
),
_xlpm.med,MEDIAN(_xlpm.data),
_xlpm.mad,MEDIAN(ABS(_xlpm.data-_xlpm.med)),
SUMPRODUCT(--(ABS(_xlpm.data-_xlpm.med)&gt;2.5*_xlpm.mad))
)</f>
        <v>1</v>
      </c>
      <c r="T14" s="203">
        <f t="array" ref="T14">_xlfn.LET(
_xlpm.data,_xlfn._xlws.FILTER(
Table9[Normalised Income Impact Ratio],
ISNUMBER(Table9[Normalised Income Impact Ratio])*
(Table9[Normalised Income Impact Ratio]&gt;0)*
(Table9[Grouping]="Group 1")
),
_xlpm.med,MEDIAN(_xlpm.data),
_xlpm.mad,MEDIAN(ABS(_xlpm.data-_xlpm.med)),
AVERAGE(_xlfn._xlws.FILTER(_xlpm.data,ABS(_xlpm.data-_xlpm.med)&lt;=2.5*_xlpm.mad))
)</f>
        <v>2.1521500998600163E-2</v>
      </c>
      <c r="U14" s="364">
        <f>O14-S14</f>
        <v>4</v>
      </c>
      <c r="V14" s="192"/>
      <c r="W14" s="370">
        <f t="array" ref="W14">MEDIAN(
_xlfn._xlws.FILTER(
Table9[Private Sector Investment (USD) / Project cost ],
ISNUMBER(Table9[Private Sector Investment (USD) / Project cost ])*
(Table9[Private Sector Investment (USD) / Project cost ]&gt;0)*
(Table9[Grouping]="Group 1")
)
)</f>
        <v>0.2697065081379364</v>
      </c>
      <c r="X14" s="203">
        <f t="array" ref="X14">AVERAGE(
_xlfn._xlws.FILTER(
Table9[Private Sector Investment (USD) / Project cost ],
ISNUMBER(Table9[Private Sector Investment (USD) / Project cost ])*
(Table9[Private Sector Investment (USD) / Project cost ]&gt;0)*
(Table9[Grouping]="Group 1")
)
)</f>
        <v>1.0410856123405396</v>
      </c>
      <c r="Y14" s="15">
        <f>COUNTIFS(
Table9[Private Sector Investment (USD) / Project cost ],"&gt;0",
Table9[Grouping],"Group 1"
)</f>
        <v>10</v>
      </c>
      <c r="Z14" s="203">
        <f t="array" ref="Z14">_xlfn.LET(
_xlpm.data,_xlfn._xlws.FILTER(
Table9[Private Sector Investment (USD) / Project cost ],
ISNUMBER(Table9[Private Sector Investment (USD) / Project cost ])*
(Table9[Private Sector Investment (USD) / Project cost ]&gt;0)*
(Table9[Grouping]="Group 1")
),
MEDIAN(ABS(_xlpm.data-MEDIAN(_xlpm.data)))
)</f>
        <v>0.20051261938581738</v>
      </c>
      <c r="AA14" s="195">
        <f>Z14/W14</f>
        <v>0.74344746357870206</v>
      </c>
      <c r="AB14" s="195">
        <f t="array" ref="AB14">_xlfn.LET(
_xlpm.data,_xlfn._xlws.FILTER(
Table9[Private Sector Investment (USD) / Project cost ],
ISNUMBER(Table9[Private Sector Investment (USD) / Project cost ])*
(Table9[Private Sector Investment (USD) / Project cost ]&gt;0)*
(Table9[Grouping]="Group 1")
),
_xlpm.med,MEDIAN(_xlpm.data),
_xlpm.mad,MEDIAN(ABS(_xlpm.data-_xlpm.med)),
SUMPRODUCT(--(ABS(_xlpm.data-_xlpm.med)&gt;2.5*_xlpm.mad))/COUNT(_xlpm.data)
)</f>
        <v>0.3</v>
      </c>
      <c r="AC14" s="15">
        <f t="array" ref="AC14">_xlfn.LET(
_xlpm.data,_xlfn._xlws.FILTER(
Table9[Private Sector Investment (USD) / Project cost ],
ISNUMBER(Table9[Private Sector Investment (USD) / Project cost ])*
(Table9[Private Sector Investment (USD) / Project cost ]&gt;0)*
(Table9[Grouping]="Group 1")
),
_xlpm.med,MEDIAN(_xlpm.data),
_xlpm.mad,MEDIAN(ABS(_xlpm.data-_xlpm.med)),
SUMPRODUCT(--(ABS(_xlpm.data-_xlpm.med)&gt;2.5*_xlpm.mad))
)</f>
        <v>3</v>
      </c>
      <c r="AD14" s="203">
        <f t="array" ref="AD14">_xlfn.LET(
_xlpm.data,_xlfn._xlws.FILTER(
Table9[Private Sector Investment (USD) / Project cost ],
ISNUMBER(Table9[Private Sector Investment (USD) / Project cost ])*
(Table9[Private Sector Investment (USD) / Project cost ]&gt;0)*
(Table9[Grouping]="Group 1")
),
_xlpm.med,MEDIAN(_xlpm.data),
_xlpm.mad,MEDIAN(ABS(_xlpm.data-_xlpm.med)),
AVERAGE(_xlfn._xlws.FILTER(_xlpm.data,ABS(_xlpm.data-_xlpm.med)&lt;=2.5*_xlpm.mad))
)</f>
        <v>0.18838534009125088</v>
      </c>
      <c r="AE14" s="232">
        <f>Y14-AC14</f>
        <v>7</v>
      </c>
      <c r="AF14" s="191"/>
      <c r="AG14" s="370">
        <f t="array" ref="AG14">MEDIAN(
_xlfn._xlws.FILTER(
Table9[Private Sector Revenues Generated (USD) / Project cost],
ISNUMBER(Table9[Private Sector Revenues Generated (USD) / Project cost])*
(Table9[Private Sector Revenues Generated (USD) / Project cost]&gt;0)*
(Table9[Grouping]="Group 1")
)
)</f>
        <v>0.68604651162790697</v>
      </c>
      <c r="AH14" s="203">
        <f t="array" ref="AH14">AVERAGE(
_xlfn._xlws.FILTER(
Table9[Private Sector Revenues Generated (USD) / Project cost],
ISNUMBER(Table9[Private Sector Revenues Generated (USD) / Project cost])*
(Table9[Private Sector Revenues Generated (USD) / Project cost]&gt;0)*
(Table9[Grouping]="Group 1")
)
)</f>
        <v>1.8431273507494883</v>
      </c>
      <c r="AI14" s="15">
        <f>COUNTIFS(
Table9[Private Sector Revenues Generated (USD) / Project cost],"&gt;0",
Table9[Grouping],"Group 1"
)</f>
        <v>9</v>
      </c>
      <c r="AJ14" s="203">
        <f t="array" ref="AJ14">_xlfn.LET(
_xlpm.data,_xlfn._xlws.FILTER(
Table9[Private Sector Revenues Generated (USD) / Project cost],
ISNUMBER(Table9[Private Sector Revenues Generated (USD) / Project cost])*
(Table9[Private Sector Revenues Generated (USD) / Project cost]&gt;0)*
(Table9[Grouping]="Group 1")
),
MEDIAN(ABS(_xlpm.data-MEDIAN(_xlpm.data)))
)</f>
        <v>0.64626538448880377</v>
      </c>
      <c r="AK14" s="343">
        <f>AJ14/AG14</f>
        <v>0.94201395027181567</v>
      </c>
      <c r="AL14" s="195">
        <f t="array" ref="AL14">_xlfn.LET(
_xlpm.data,_xlfn._xlws.FILTER(
Table9[Private Sector Revenues Generated (USD) / Project cost],
ISNUMBER(Table9[Private Sector Revenues Generated (USD) / Project cost])*
(Table9[Private Sector Revenues Generated (USD) / Project cost]&gt;0)*
(Table9[Grouping]="Group 1")
),
_xlpm.med,MEDIAN(_xlpm.data),
_xlpm.mad,MEDIAN(ABS(_xlpm.data-_xlpm.med)),
SUMPRODUCT(--(ABS(_xlpm.data-_xlpm.med)&gt;2.5*_xlpm.mad))/COUNT(_xlpm.data)
)</f>
        <v>0.1111111111111111</v>
      </c>
      <c r="AM14" s="15">
        <f t="array" ref="AM14">_xlfn.LET(
_xlpm.data,_xlfn._xlws.FILTER(
Table9[Private Sector Revenues Generated (USD) / Project cost],
ISNUMBER(Table9[Private Sector Revenues Generated (USD) / Project cost])*
(Table9[Private Sector Revenues Generated (USD) / Project cost]&gt;0)*
(Table9[Grouping]="Group 1")
),
_xlpm.med,MEDIAN(_xlpm.data),
_xlpm.mad,MEDIAN(ABS(_xlpm.data-_xlpm.med)),
SUMPRODUCT(--(ABS(_xlpm.data-_xlpm.med)&gt;2.5*_xlpm.mad))
)</f>
        <v>1</v>
      </c>
      <c r="AN14" s="203">
        <f t="array" ref="AN14">_xlfn.LET(
_xlpm.data,_xlfn._xlws.FILTER(
Table9[Private Sector Revenues Generated (USD) / Project cost],
ISNUMBER(Table9[Private Sector Revenues Generated (USD) / Project cost])*
(Table9[Private Sector Revenues Generated (USD) / Project cost]&gt;0)*
(Table9[Grouping]="Group 1")
),
_xlpm.med,MEDIAN(_xlpm.data),
_xlpm.mad,MEDIAN(ABS(_xlpm.data-_xlpm.med)),
AVERAGE(_xlfn._xlws.FILTER(_xlpm.data,ABS(_xlpm.data-_xlpm.med)&lt;=2.5*_xlpm.mad))
)</f>
        <v>0.79243985376346848</v>
      </c>
      <c r="AO14" s="232">
        <f>AI14-AM14</f>
        <v>8</v>
      </c>
      <c r="AP14" s="191"/>
      <c r="AQ14" s="370">
        <f t="array" ref="AQ14">MEDIAN(
_xlfn._xlws.FILTER(
Table9[Export Revenue Generated (USD) /Project Cost],
ISNUMBER(Table9[Export Revenue Generated (USD) /Project Cost])*
(Table9[Export Revenue Generated (USD) /Project Cost]&gt;0)*
(Table9[Grouping]="Group 1")
)
)</f>
        <v>3.6333847829880667E-2</v>
      </c>
      <c r="AR14" s="203">
        <f t="array" ref="AR14">AVERAGE(
_xlfn._xlws.FILTER(
Table9[Export Revenue Generated (USD) /Project Cost],
ISNUMBER(Table9[Export Revenue Generated (USD) /Project Cost])*
(Table9[Export Revenue Generated (USD) /Project Cost]&gt;0)*
(Table9[Grouping]="Group 1")
)
)</f>
        <v>3.6333847829880667E-2</v>
      </c>
      <c r="AS14" s="15">
        <f>COUNTIFS(
Table9[Export Revenue Generated (USD) /Project Cost],"&gt;0",
Table9[Grouping],"Group 1"
)</f>
        <v>1</v>
      </c>
      <c r="AT14" s="203">
        <f t="array" ref="AT14">_xlfn.LET(
_xlpm.data,_xlfn._xlws.FILTER(
Table9[Export Revenue Generated (USD) /Project Cost],
ISNUMBER(Table9[Export Revenue Generated (USD) /Project Cost])*
(Table9[Export Revenue Generated (USD) /Project Cost]&gt;0)*
(Table9[Grouping]="Group 1")
),
MEDIAN(ABS(_xlpm.data-MEDIAN(_xlpm.data)))
)</f>
        <v>0</v>
      </c>
      <c r="AU14" s="195">
        <f>AT14/AQ14</f>
        <v>0</v>
      </c>
      <c r="AV14" s="195">
        <f t="array" ref="AV14">_xlfn.LET(
_xlpm.data,_xlfn._xlws.FILTER(
Table9[Export Revenue Generated (USD) /Project Cost],
ISNUMBER(Table9[Export Revenue Generated (USD) /Project Cost])*
(Table9[Export Revenue Generated (USD) /Project Cost]&gt;0)*
(Table9[Grouping]="Group 1")
),
_xlpm.med,MEDIAN(_xlpm.data),
_xlpm.mad,MEDIAN(ABS(_xlpm.data-_xlpm.med)),
SUMPRODUCT(--(ABS(_xlpm.data-_xlpm.med)&gt;2.5*_xlpm.mad))/COUNT(_xlpm.data)
)</f>
        <v>0</v>
      </c>
      <c r="AW14" s="15">
        <f t="array" ref="AW14">_xlfn.LET(
_xlpm.data,_xlfn._xlws.FILTER(
Table9[Export Revenue Generated (USD) /Project Cost],
ISNUMBER(Table9[Export Revenue Generated (USD) /Project Cost])*
(Table9[Export Revenue Generated (USD) /Project Cost]&gt;0)*
(Table9[Grouping]="Group 1")
),
_xlpm.med,MEDIAN(_xlpm.data),
_xlpm.mad,MEDIAN(ABS(_xlpm.data-_xlpm.med)),
SUMPRODUCT(--(ABS(_xlpm.data-_xlpm.med)&gt;2.5*_xlpm.mad))
)</f>
        <v>0</v>
      </c>
      <c r="AX14" s="203">
        <f t="array" ref="AX14">_xlfn.LET(
_xlpm.data,_xlfn._xlws.FILTER(
Table9[Export Revenue Generated (USD) /Project Cost],
ISNUMBER(Table9[Export Revenue Generated (USD) /Project Cost])*
(Table9[Export Revenue Generated (USD) /Project Cost]&gt;0)*
(Table9[Grouping]="Group 1")
),
_xlpm.med,MEDIAN(_xlpm.data),
_xlpm.mad,MEDIAN(ABS(_xlpm.data-_xlpm.med)),
AVERAGE(_xlfn._xlws.FILTER(_xlpm.data,ABS(_xlpm.data-_xlpm.med)&lt;=2.5*_xlpm.mad))
)</f>
        <v>3.6333847829880667E-2</v>
      </c>
      <c r="AY14" s="232">
        <f>AS14-AW14</f>
        <v>1</v>
      </c>
      <c r="AZ14" s="142"/>
      <c r="BA14" s="202"/>
      <c r="BB14" s="202"/>
      <c r="BC14" s="15"/>
      <c r="BD14" s="15"/>
      <c r="BE14" s="15"/>
      <c r="BF14" s="15"/>
      <c r="BG14" s="15"/>
      <c r="BH14" s="15"/>
      <c r="BI14" s="15"/>
      <c r="BJ14" s="15"/>
      <c r="BK14" s="15"/>
      <c r="BL14" s="15"/>
      <c r="BM14" s="15"/>
      <c r="BN14" s="15"/>
      <c r="BO14" s="15"/>
      <c r="BP14" s="15"/>
      <c r="BQ14" s="15"/>
      <c r="BR14" s="15"/>
      <c r="BS14" s="15"/>
      <c r="BT14" s="15"/>
      <c r="BU14" s="202"/>
      <c r="BV14" s="202"/>
      <c r="BW14" s="15"/>
      <c r="BX14" s="15"/>
      <c r="BY14" s="15"/>
      <c r="BZ14" s="15"/>
      <c r="CA14" s="15"/>
      <c r="CB14" s="15"/>
      <c r="CC14" s="15"/>
      <c r="CD14" s="15"/>
      <c r="CE14" s="15"/>
      <c r="CF14" s="15"/>
      <c r="CG14" s="15"/>
      <c r="CH14" s="15"/>
      <c r="CI14" s="15"/>
      <c r="CJ14" s="15"/>
      <c r="CK14" s="15"/>
      <c r="CL14" s="15"/>
      <c r="CM14" s="15"/>
      <c r="CN14" s="135"/>
      <c r="CO14" s="203"/>
      <c r="CP14" s="203"/>
      <c r="CQ14" s="15"/>
      <c r="CR14" s="15"/>
      <c r="CS14" s="15"/>
      <c r="CT14" s="15"/>
      <c r="CU14" s="15"/>
      <c r="CV14" s="15"/>
      <c r="CW14" s="15"/>
    </row>
    <row r="15" spans="2:101" x14ac:dyDescent="0.25">
      <c r="B15" s="338" t="s">
        <v>658</v>
      </c>
      <c r="C15" s="363">
        <f t="array" ref="C15">MEDIAN(_xlfn._xlws.FILTER(Table9[Income per beneficiary (USD)], (Table9[Income per beneficiary (USD)]&gt;0)*(Table9[Grouping]="Group 2A (Low Stability)")))</f>
        <v>198.7638426627511</v>
      </c>
      <c r="D15" s="202">
        <f t="array" ref="D15">AVERAGE(_xlfn._xlws.FILTER(Table9[Income per beneficiary (USD)], (Table9[Income per beneficiary (USD)]&gt;0)*(Table9[Grouping]="Group 2A (Low Stability)")))</f>
        <v>269.01597688280367</v>
      </c>
      <c r="E15" s="15">
        <f>COUNTIFS(Table9[Income per beneficiary (USD)],"&gt;0", Table9[Grouping],"Group 2A (Low Stability)")</f>
        <v>16</v>
      </c>
      <c r="F15" s="202">
        <f t="array" ref="F15">_xlfn.LET(
_xlpm.data,_xlfn._xlws.FILTER(
Table9[Income per beneficiary (USD)],
(Table9[Income per beneficiary (USD)]&gt;0)*
(Table9[Grouping]="Group 2A (Low Stability)")
),
MEDIAN(ABS(_xlpm.data-MEDIAN(_xlpm.data)))
)</f>
        <v>135.51373551989394</v>
      </c>
      <c r="G15" s="195">
        <f>F15/C15</f>
        <v>0.68178263060562971</v>
      </c>
      <c r="H15" s="195">
        <f t="array" ref="H15">_xlfn.LET(
_xlpm.data,_xlfn._xlws.FILTER(
Table9[Income per beneficiary (USD)],
(Table9[Income per beneficiary (USD)]&gt;0)*
(Table9[Grouping]="Group 2A (Low Stability)")
),
_xlpm.med,MEDIAN(_xlpm.data),
_xlpm.mad,MEDIAN(ABS(_xlpm.data-_xlpm.med)),
SUMPRODUCT(--(ABS(_xlpm.data-_xlpm.med)&gt;2.5*_xlpm.mad))/COUNT(_xlpm.data)
)</f>
        <v>0.125</v>
      </c>
      <c r="I15" s="15">
        <f t="array" ref="I15">_xlfn.LET(
_xlpm.data,_xlfn._xlws.FILTER(
Table9[Income per beneficiary (USD)],
(Table9[Income per beneficiary (USD)]&gt;0)*
(Table9[Grouping]="Group 2A (Low Stability)")
),
_xlpm.med,MEDIAN(_xlpm.data),
_xlpm.mad,MEDIAN(ABS(_xlpm.data-_xlpm.med)),
SUMPRODUCT(--(ABS(_xlpm.data-_xlpm.med)&gt;2.5*_xlpm.mad))
)</f>
        <v>2</v>
      </c>
      <c r="J15" s="202">
        <f t="array" ref="J15">_xlfn.LET(
_xlpm.data,_xlfn._xlws.FILTER(
Table9[Income per beneficiary (USD)],
(Table9[Income per beneficiary (USD)]&gt;0)*
(Table9[Grouping]="Group 2A (Low Stability)")
),
_xlpm.med,MEDIAN(_xlpm.data),
_xlpm.mad,MEDIAN(ABS(_xlpm.data-_xlpm.med)),
AVERAGE(_xlfn._xlws.FILTER(_xlpm.data,ABS(_xlpm.data-_xlpm.med)&lt;=2.5*_xlpm.mad))
)</f>
        <v>217.63550829196475</v>
      </c>
      <c r="K15" s="364">
        <f>E15-I15</f>
        <v>14</v>
      </c>
      <c r="L15" s="192"/>
      <c r="M15" s="370">
        <f t="array" ref="M15">MEDIAN(
_xlfn._xlws.FILTER(
Table9[Normalised Income Impact Ratio],
ISNUMBER(Table9[Normalised Income Impact Ratio])*
(Table9[Normalised Income Impact Ratio]&gt;0)*
(Table9[Grouping]="Group 2A (Low Stability)")
)
)</f>
        <v>2.6056929877820469E-2</v>
      </c>
      <c r="N15" s="203">
        <f t="array" ref="N15">AVERAGE(
_xlfn._xlws.FILTER(
Table9[Normalised Income Impact Ratio],
ISNUMBER(Table9[Normalised Income Impact Ratio])*
(Table9[Normalised Income Impact Ratio]&gt;0)*
(Table9[Grouping]="Group 2A (Low Stability)")
)
)</f>
        <v>5.953055608129474E-2</v>
      </c>
      <c r="O15" s="202">
        <f>COUNTIFS(
Table9[Normalised Income Impact Ratio],"&gt;0",
Table9[Grouping],"Group 2A (Low Stability)"
)</f>
        <v>16</v>
      </c>
      <c r="P15" s="203">
        <f t="array" ref="P15">_xlfn.LET(
_xlpm.data,_xlfn._xlws.FILTER(
Table9[Normalised Income Impact Ratio],
ISNUMBER(Table9[Normalised Income Impact Ratio])*
(Table9[Normalised Income Impact Ratio]&gt;0)*
(Table9[Grouping]="Group 2A (Low Stability)")
),
MEDIAN(ABS(_xlpm.data-MEDIAN(_xlpm.data)))
)</f>
        <v>1.7376217817770406E-2</v>
      </c>
      <c r="Q15" s="195">
        <f>P15/M15</f>
        <v>0.66685591507696995</v>
      </c>
      <c r="R15" s="195">
        <f t="array" ref="R15">_xlfn.LET(
_xlpm.data,_xlfn._xlws.FILTER(
Table9[Normalised Income Impact Ratio],
ISNUMBER(Table9[Normalised Income Impact Ratio])*
(Table9[Normalised Income Impact Ratio]&gt;0)*
(Table9[Grouping]="Group 2A (Low Stability)")
),
_xlpm.med,MEDIAN(_xlpm.data),
_xlpm.mad,MEDIAN(ABS(_xlpm.data-_xlpm.med)),
SUMPRODUCT(--(ABS(_xlpm.data-_xlpm.med)&gt;2.5*_xlpm.mad))/COUNT(_xlpm.data)
)</f>
        <v>0.3125</v>
      </c>
      <c r="S15" s="202">
        <f t="array" ref="S15">_xlfn.LET(
_xlpm.data,_xlfn._xlws.FILTER(
Table9[Normalised Income Impact Ratio],
ISNUMBER(Table9[Normalised Income Impact Ratio])*
(Table9[Normalised Income Impact Ratio]&gt;0)*
(Table9[Grouping]="Group 2A (Low Stability)")
),
_xlpm.med,MEDIAN(_xlpm.data),
_xlpm.mad,MEDIAN(ABS(_xlpm.data-_xlpm.med)),
SUMPRODUCT(--(ABS(_xlpm.data-_xlpm.med)&gt;2.5*_xlpm.mad))
)</f>
        <v>5</v>
      </c>
      <c r="T15" s="203">
        <f t="array" ref="T15">_xlfn.LET(
_xlpm.data,_xlfn._xlws.FILTER(
Table9[Normalised Income Impact Ratio],
ISNUMBER(Table9[Normalised Income Impact Ratio])*
(Table9[Normalised Income Impact Ratio]&gt;0)*
(Table9[Grouping]="Group 2A (Low Stability)")
),
_xlpm.med,MEDIAN(_xlpm.data),
_xlpm.mad,MEDIAN(ABS(_xlpm.data-_xlpm.med)),
AVERAGE(_xlfn._xlws.FILTER(_xlpm.data,ABS(_xlpm.data-_xlpm.med)&lt;=2.5*_xlpm.mad))
)</f>
        <v>2.1945071535214869E-2</v>
      </c>
      <c r="U15" s="364">
        <f>O15-S15</f>
        <v>11</v>
      </c>
      <c r="V15" s="192"/>
      <c r="W15" s="370">
        <f t="array" ref="W15">MEDIAN(
_xlfn._xlws.FILTER(
Table9[Private Sector Investment (USD) / Project cost ],
ISNUMBER(Table9[Private Sector Investment (USD) / Project cost ])*
(Table9[Private Sector Investment (USD) / Project cost ]&gt;0)*
(Table9[Grouping]="Group 2A (Low Stability)")
)
)</f>
        <v>0.31970482897384311</v>
      </c>
      <c r="X15" s="203">
        <f t="array" ref="X15">AVERAGE(
_xlfn._xlws.FILTER(
Table9[Private Sector Investment (USD) / Project cost ],
ISNUMBER(Table9[Private Sector Investment (USD) / Project cost ])*
(Table9[Private Sector Investment (USD) / Project cost ]&gt;0)*
(Table9[Grouping]="Group 2A (Low Stability)")
)
)</f>
        <v>0.74490777167947742</v>
      </c>
      <c r="Y15" s="15">
        <f>COUNTIFS(
Table9[Private Sector Investment (USD) / Project cost ],"&gt;0",
Table9[Grouping],"Group 2A (Low Stability)"
)</f>
        <v>17</v>
      </c>
      <c r="Z15" s="203">
        <f t="array" ref="Z15">_xlfn.LET(
_xlpm.data,_xlfn._xlws.FILTER(
Table9[Private Sector Investment (USD) / Project cost ],
ISNUMBER(Table9[Private Sector Investment (USD) / Project cost ])*
(Table9[Private Sector Investment (USD) / Project cost ]&gt;0)*
(Table9[Grouping]="Group 2A (Low Stability)")
),
MEDIAN(ABS(_xlpm.data-MEDIAN(_xlpm.data)))
)</f>
        <v>0.24082148681563054</v>
      </c>
      <c r="AA15" s="195">
        <f>Z15/W15</f>
        <v>0.75326196225623332</v>
      </c>
      <c r="AB15" s="195">
        <f t="array" ref="AB15">_xlfn.LET(
_xlpm.data,_xlfn._xlws.FILTER(
Table9[Private Sector Investment (USD) / Project cost ],
ISNUMBER(Table9[Private Sector Investment (USD) / Project cost ])*
(Table9[Private Sector Investment (USD) / Project cost ]&gt;0)*
(Table9[Grouping]="Group 2A (Low Stability)")
),
_xlpm.med,MEDIAN(_xlpm.data),
_xlpm.mad,MEDIAN(ABS(_xlpm.data-_xlpm.med)),
SUMPRODUCT(--(ABS(_xlpm.data-_xlpm.med)&gt;2.5*_xlpm.mad))/COUNT(_xlpm.data)
)</f>
        <v>0.29411764705882354</v>
      </c>
      <c r="AC15" s="15">
        <f t="array" ref="AC15">_xlfn.LET(
_xlpm.data,_xlfn._xlws.FILTER(
Table9[Private Sector Investment (USD) / Project cost ],
ISNUMBER(Table9[Private Sector Investment (USD) / Project cost ])*
(Table9[Private Sector Investment (USD) / Project cost ]&gt;0)*
(Table9[Grouping]="Group 2A (Low Stability)")
),
_xlpm.med,MEDIAN(_xlpm.data),
_xlpm.mad,MEDIAN(ABS(_xlpm.data-_xlpm.med)),
SUMPRODUCT(--(ABS(_xlpm.data-_xlpm.med)&gt;2.5*_xlpm.mad))
)</f>
        <v>5</v>
      </c>
      <c r="AD15" s="203">
        <f t="array" ref="AD15">_xlfn.LET(
_xlpm.data,_xlfn._xlws.FILTER(
Table9[Private Sector Investment (USD) / Project cost ],
ISNUMBER(Table9[Private Sector Investment (USD) / Project cost ])*
(Table9[Private Sector Investment (USD) / Project cost ]&gt;0)*
(Table9[Grouping]="Group 2A (Low Stability)")
),
_xlpm.med,MEDIAN(_xlpm.data),
_xlpm.mad,MEDIAN(ABS(_xlpm.data-_xlpm.med)),
AVERAGE(_xlfn._xlws.FILTER(_xlpm.data,ABS(_xlpm.data-_xlpm.med)&lt;=2.5*_xlpm.mad))
)</f>
        <v>0.27223122273315842</v>
      </c>
      <c r="AE15" s="232">
        <f>Y15-AC15</f>
        <v>12</v>
      </c>
      <c r="AF15" s="191"/>
      <c r="AG15" s="370">
        <f t="array" ref="AG15">MEDIAN(_xlfn._xlws.FILTER(Table9[Private Sector Revenues Generated (USD) / Project cost],ISNUMBER(Table9[Private Sector Revenues Generated (USD) / Project cost])*(Table9[Private Sector Revenues Generated (USD) / Project cost]&gt;0)*(Table9[Grouping]="Group 2A (Low Stability)")))</f>
        <v>1.9327001256074459</v>
      </c>
      <c r="AH15" s="203">
        <f t="array" ref="AH15">AVERAGE(_xlfn._xlws.FILTER(Table9[Private Sector Revenues Generated (USD) / Project cost],ISNUMBER(Table9[Private Sector Revenues Generated (USD) / Project cost])*(Table9[Private Sector Revenues Generated (USD) / Project cost]&gt;0)*(Table9[Grouping]="Group 2A (Low Stability)")))</f>
        <v>4.9265461189708395</v>
      </c>
      <c r="AI15" s="15">
        <f>COUNTIFS(Table9[Private Sector Revenues Generated (USD) / Project cost],"&gt;0",Table9[Grouping],"Group 2A (Low Stability)")</f>
        <v>14</v>
      </c>
      <c r="AJ15" s="203">
        <f t="array" ref="AJ15">_xlfn.LET(_xlpm.data,_xlfn._xlws.FILTER(Table9[Private Sector Revenues Generated (USD) / Project cost],ISNUMBER(Table9[Private Sector Revenues Generated (USD) / Project cost])*(Table9[Private Sector Revenues Generated (USD) / Project cost]&gt;0)*(Table9[Grouping]="Group 2A (Low Stability)")),MEDIAN(ABS(_xlpm.data-MEDIAN(_xlpm.data))))</f>
        <v>1.2990430622009568</v>
      </c>
      <c r="AK15" s="343">
        <f>AJ15/AG15</f>
        <v>0.67213896506198489</v>
      </c>
      <c r="AL15" s="195">
        <f t="array" ref="AL15">_xlfn.LET(_xlpm.data,_xlfn._xlws.FILTER(Table9[Private Sector Revenues Generated (USD) / Project cost],ISNUMBER(Table9[Private Sector Revenues Generated (USD) / Project cost])*(Table9[Private Sector Revenues Generated (USD) / Project cost]&gt;0)*(Table9[Grouping]="Group 2A (Low Stability)")),_xlpm.med,MEDIAN(_xlpm.data),_xlpm.mad,MEDIAN(ABS(_xlpm.data-_xlpm.med)),SUMPRODUCT(--(ABS(_xlpm.data-_xlpm.med)&gt;2.5*_xlpm.mad))/COUNT(_xlpm.data))</f>
        <v>0.21428571428571427</v>
      </c>
      <c r="AM15" s="15">
        <f t="array" ref="AM15">_xlfn.LET(_xlpm.data,_xlfn._xlws.FILTER(Table9[Private Sector Revenues Generated (USD) / Project cost],ISNUMBER(Table9[Private Sector Revenues Generated (USD) / Project cost])*(Table9[Private Sector Revenues Generated (USD) / Project cost]&gt;0)*(Table9[Grouping]="Group 2A (Low Stability)")),_xlpm.med,MEDIAN(_xlpm.data),_xlpm.mad,MEDIAN(ABS(_xlpm.data-_xlpm.med)),SUMPRODUCT(--(ABS(_xlpm.data-_xlpm.med)&gt;2.5*_xlpm.mad)))</f>
        <v>3</v>
      </c>
      <c r="AN15" s="203">
        <f t="array" ref="AN15">_xlfn.LET(_xlpm.data,_xlfn._xlws.FILTER(Table9[Private Sector Revenues Generated (USD) / Project cost],ISNUMBER(Table9[Private Sector Revenues Generated (USD) / Project cost])*(Table9[Private Sector Revenues Generated (USD) / Project cost]&gt;0)*(Table9[Grouping]="Group 2A (Low Stability)")),_xlpm.med,MEDIAN(_xlpm.data),_xlpm.mad,MEDIAN(ABS(_xlpm.data-_xlpm.med)),AVERAGE(_xlfn._xlws.FILTER(_xlpm.data,ABS(_xlpm.data-_xlpm.med)&lt;=2.5*_xlpm.mad)))</f>
        <v>1.4361326190379069</v>
      </c>
      <c r="AO15" s="232">
        <f>AI15-AM15</f>
        <v>11</v>
      </c>
      <c r="AP15" s="191"/>
      <c r="AQ15" s="370">
        <f t="array" ref="AQ15">MEDIAN(
_xlfn._xlws.FILTER(
Table9[Export Revenue Generated (USD) /Project Cost],
ISNUMBER(Table9[Export Revenue Generated (USD) /Project Cost])*
(Table9[Export Revenue Generated (USD) /Project Cost]&gt;0)*
(Table9[Grouping]="Group 2A (Low Stability)")
)
)</f>
        <v>9.1880142857142869E-2</v>
      </c>
      <c r="AR15" s="203">
        <f t="array" ref="AR15">AVERAGE(
_xlfn._xlws.FILTER(
Table9[Export Revenue Generated (USD) /Project Cost],
ISNUMBER(Table9[Export Revenue Generated (USD) /Project Cost])*
(Table9[Export Revenue Generated (USD) /Project Cost]&gt;0)*
(Table9[Grouping]="Group 2A (Low Stability)")
)
)</f>
        <v>2.2767586861319393</v>
      </c>
      <c r="AS15" s="15">
        <f>COUNTIFS(
Table9[Export Revenue Generated (USD) /Project Cost],"&gt;0",
Table9[Grouping],"Group 2A (Low Stability)"
)</f>
        <v>7</v>
      </c>
      <c r="AT15" s="203">
        <f t="array" ref="AT15">_xlfn.LET(
_xlpm.data,_xlfn._xlws.FILTER(
Table9[Export Revenue Generated (USD) /Project Cost],
ISNUMBER(Table9[Export Revenue Generated (USD) /Project Cost])*
(Table9[Export Revenue Generated (USD) /Project Cost]&gt;0)*
(Table9[Grouping]="Group 2A (Low Stability)")
),
MEDIAN(ABS(_xlpm.data-MEDIAN(_xlpm.data)))
)</f>
        <v>5.2323327731092426E-2</v>
      </c>
      <c r="AU15" s="195">
        <f>AT15/AQ15</f>
        <v>0.56947373071073482</v>
      </c>
      <c r="AV15" s="195">
        <f t="array" ref="AV15">_xlfn.LET(
_xlpm.data,_xlfn._xlws.FILTER(
Table9[Export Revenue Generated (USD) /Project Cost],
ISNUMBER(Table9[Export Revenue Generated (USD) /Project Cost])*
(Table9[Export Revenue Generated (USD) /Project Cost]&gt;0)*
(Table9[Grouping]="Group 2A (Low Stability)")
),
_xlpm.med,MEDIAN(_xlpm.data),
_xlpm.mad,MEDIAN(ABS(_xlpm.data-_xlpm.med)),
SUMPRODUCT(--(ABS(_xlpm.data-_xlpm.med)&gt;2.5*_xlpm.mad))/COUNT(_xlpm.data)
)</f>
        <v>0.14285714285714285</v>
      </c>
      <c r="AW15" s="15">
        <f t="array" ref="AW15">_xlfn.LET(
_xlpm.data,_xlfn._xlws.FILTER(
Table9[Export Revenue Generated (USD) /Project Cost],
ISNUMBER(Table9[Export Revenue Generated (USD) /Project Cost])*
(Table9[Export Revenue Generated (USD) /Project Cost]&gt;0)*
(Table9[Grouping]="Group 2A (Low Stability)")
),
_xlpm.med,MEDIAN(_xlpm.data),
_xlpm.mad,MEDIAN(ABS(_xlpm.data-_xlpm.med)),
SUMPRODUCT(--(ABS(_xlpm.data-_xlpm.med)&gt;2.5*_xlpm.mad))
)</f>
        <v>1</v>
      </c>
      <c r="AX15" s="203">
        <f t="array" ref="AX15">_xlfn.LET(
_xlpm.data,_xlfn._xlws.FILTER(
Table9[Export Revenue Generated (USD) /Project Cost],
ISNUMBER(Table9[Export Revenue Generated (USD) /Project Cost])*
(Table9[Export Revenue Generated (USD) /Project Cost]&gt;0)*
(Table9[Grouping]="Group 2A (Low Stability)")
),
_xlpm.med,MEDIAN(_xlpm.data),
_xlpm.mad,MEDIAN(ABS(_xlpm.data-_xlpm.med)),
AVERAGE(_xlfn._xlws.FILTER(_xlpm.data,ABS(_xlpm.data-_xlpm.med)&lt;=2.5*_xlpm.mad))
)</f>
        <v>7.3882832622338926E-2</v>
      </c>
      <c r="AY15" s="232">
        <f>AS15-AW15</f>
        <v>6</v>
      </c>
      <c r="AZ15" s="142"/>
      <c r="BA15" s="202"/>
      <c r="BB15" s="202"/>
      <c r="BC15" s="15"/>
      <c r="BD15" s="15"/>
      <c r="BE15" s="15"/>
      <c r="BF15" s="15"/>
      <c r="BG15" s="15"/>
      <c r="BH15" s="15"/>
      <c r="BI15" s="15"/>
      <c r="BJ15" s="15"/>
      <c r="BK15" s="15"/>
      <c r="BL15" s="15"/>
      <c r="BM15" s="15"/>
      <c r="BN15" s="15"/>
      <c r="BO15" s="15"/>
      <c r="BP15" s="15"/>
      <c r="BQ15" s="15"/>
      <c r="BR15" s="15"/>
      <c r="BS15" s="15"/>
      <c r="BT15" s="15"/>
      <c r="BU15" s="202"/>
      <c r="BV15" s="202"/>
      <c r="BW15" s="15"/>
      <c r="BX15" s="15"/>
      <c r="BY15" s="15"/>
      <c r="BZ15" s="15"/>
      <c r="CA15" s="15"/>
      <c r="CB15" s="15"/>
      <c r="CC15" s="15"/>
      <c r="CD15" s="15"/>
      <c r="CE15" s="15"/>
      <c r="CF15" s="15"/>
      <c r="CG15" s="15"/>
      <c r="CH15" s="15"/>
      <c r="CI15" s="15"/>
      <c r="CJ15" s="15"/>
      <c r="CK15" s="15"/>
      <c r="CL15" s="15"/>
      <c r="CM15" s="15"/>
      <c r="CN15" s="135"/>
      <c r="CO15" s="203"/>
      <c r="CP15" s="203"/>
      <c r="CQ15" s="15"/>
      <c r="CR15" s="15"/>
      <c r="CS15" s="15"/>
      <c r="CT15" s="15"/>
      <c r="CU15" s="15"/>
      <c r="CV15" s="15"/>
      <c r="CW15" s="15"/>
    </row>
    <row r="16" spans="2:101" x14ac:dyDescent="0.25">
      <c r="B16" s="338" t="s">
        <v>659</v>
      </c>
      <c r="C16" s="363">
        <f t="array" ref="C16">MEDIAN(_xlfn._xlws.FILTER(Table9[Income per beneficiary (USD)], (Table9[Income per beneficiary (USD)]&gt;0)*(Table9[Grouping]="Group 2B (High Inflation)")))</f>
        <v>270.83958837772394</v>
      </c>
      <c r="D16" s="202">
        <f t="array" ref="D16">AVERAGE(_xlfn._xlws.FILTER(Table9[Income per beneficiary (USD)], (Table9[Income per beneficiary (USD)]&gt;0)*(Table9[Grouping]="Group 2B (High Inflation)")))</f>
        <v>661.73081046561924</v>
      </c>
      <c r="E16" s="15">
        <f>COUNTIFS(Table9[Income per beneficiary (USD)],"&gt;0", Table9[Grouping],"Group 2B (High Inflation)")</f>
        <v>18</v>
      </c>
      <c r="F16" s="202">
        <f t="array" ref="F16">_xlfn.LET(
_xlpm.data,_xlfn._xlws.FILTER(
Table9[Income per beneficiary (USD)],
(Table9[Income per beneficiary (USD)]&gt;0)*
(Table9[Grouping]="Group 2B (High Inflation)")
),
MEDIAN(ABS(_xlpm.data-MEDIAN(_xlpm.data)))
)</f>
        <v>206.85980107601745</v>
      </c>
      <c r="G16" s="195">
        <f>F16/C16</f>
        <v>0.76377239499981198</v>
      </c>
      <c r="H16" s="195">
        <f t="array" ref="H16">_xlfn.LET(
_xlpm.data,_xlfn._xlws.FILTER(
Table9[Income per beneficiary (USD)],
(Table9[Income per beneficiary (USD)]&gt;0)*
(Table9[Grouping]="Group 2B (High Inflation)")
),
_xlpm.med,MEDIAN(_xlpm.data),
_xlpm.mad,MEDIAN(ABS(_xlpm.data-_xlpm.med)),
SUMPRODUCT(--(ABS(_xlpm.data-_xlpm.med)&gt;2.5*_xlpm.mad))/COUNT(_xlpm.data)
)</f>
        <v>0.22222222222222221</v>
      </c>
      <c r="I16" s="15">
        <f t="array" ref="I16">_xlfn.LET(
_xlpm.data,_xlfn._xlws.FILTER(
Table9[Income per beneficiary (USD)],
(Table9[Income per beneficiary (USD)]&gt;0)*
(Table9[Grouping]="Group 2B (High Inflation)")
),
_xlpm.med,MEDIAN(_xlpm.data),
_xlpm.mad,MEDIAN(ABS(_xlpm.data-_xlpm.med)),
SUMPRODUCT(--(ABS(_xlpm.data-_xlpm.med)&gt;2.5*_xlpm.mad))
)</f>
        <v>4</v>
      </c>
      <c r="J16" s="202">
        <f t="array" ref="J16">_xlfn.LET(
_xlpm.data,_xlfn._xlws.FILTER(
Table9[Income per beneficiary (USD)],
(Table9[Income per beneficiary (USD)]&gt;0)*
(Table9[Grouping]="Group 2B (High Inflation)")
),
_xlpm.med,MEDIAN(_xlpm.data),
_xlpm.mad,MEDIAN(ABS(_xlpm.data-_xlpm.med)),
AVERAGE(_xlfn._xlws.FILTER(_xlpm.data,ABS(_xlpm.data-_xlpm.med)&lt;=2.5*_xlpm.mad))
)</f>
        <v>241.83368626197085</v>
      </c>
      <c r="K16" s="364">
        <f>E16-I16</f>
        <v>14</v>
      </c>
      <c r="L16" s="192"/>
      <c r="M16" s="370">
        <f t="array" ref="M16">MEDIAN(
_xlfn._xlws.FILTER(
Table9[Normalised Income Impact Ratio],
ISNUMBER(Table9[Normalised Income Impact Ratio])*
(Table9[Normalised Income Impact Ratio]&gt;0)*
(Table9[Grouping]="Group 2B (High Inflation)")
)
)</f>
        <v>3.923450788381494E-2</v>
      </c>
      <c r="N16" s="203">
        <f t="array" ref="N16">AVERAGE(
_xlfn._xlws.FILTER(
Table9[Normalised Income Impact Ratio],
ISNUMBER(Table9[Normalised Income Impact Ratio])*
(Table9[Normalised Income Impact Ratio]&gt;0)*
(Table9[Grouping]="Group 2B (High Inflation)")
)
)</f>
        <v>0.10712433822763731</v>
      </c>
      <c r="O16" s="202">
        <f>COUNTIFS(
Table9[Normalised Income Impact Ratio],"&gt;0",
Table9[Grouping],"Group 2B (High Inflation)"
)</f>
        <v>18</v>
      </c>
      <c r="P16" s="203">
        <f t="array" ref="P16">_xlfn.LET(
_xlpm.data,_xlfn._xlws.FILTER(
Table9[Normalised Income Impact Ratio],
ISNUMBER(Table9[Normalised Income Impact Ratio])*
(Table9[Normalised Income Impact Ratio]&gt;0)*
(Table9[Grouping]="Group 2B (High Inflation)")
),
MEDIAN(ABS(_xlpm.data-MEDIAN(_xlpm.data)))
)</f>
        <v>3.3761497805902943E-2</v>
      </c>
      <c r="Q16" s="195">
        <f>P16/M16</f>
        <v>0.86050519369022782</v>
      </c>
      <c r="R16" s="195">
        <f t="array" ref="R16">_xlfn.LET(
_xlpm.data,_xlfn._xlws.FILTER(
Table9[Normalised Income Impact Ratio],
ISNUMBER(Table9[Normalised Income Impact Ratio])*
(Table9[Normalised Income Impact Ratio]&gt;0)*
(Table9[Grouping]="Group 2B (High Inflation)")
),
_xlpm.med,MEDIAN(_xlpm.data),
_xlpm.mad,MEDIAN(ABS(_xlpm.data-_xlpm.med)),
SUMPRODUCT(--(ABS(_xlpm.data-_xlpm.med)&gt;2.5*_xlpm.mad))/COUNT(_xlpm.data)
)</f>
        <v>0.16666666666666666</v>
      </c>
      <c r="S16" s="202">
        <f t="array" ref="S16">_xlfn.LET(
_xlpm.data,_xlfn._xlws.FILTER(
Table9[Normalised Income Impact Ratio],
ISNUMBER(Table9[Normalised Income Impact Ratio])*
(Table9[Normalised Income Impact Ratio]&gt;0)*
(Table9[Grouping]="Group 2B (High Inflation)")
),
_xlpm.med,MEDIAN(_xlpm.data),
_xlpm.mad,MEDIAN(ABS(_xlpm.data-_xlpm.med)),
SUMPRODUCT(--(ABS(_xlpm.data-_xlpm.med)&gt;2.5*_xlpm.mad))
)</f>
        <v>3</v>
      </c>
      <c r="T16" s="203">
        <f t="array" ref="T16">_xlfn.LET(
_xlpm.data,_xlfn._xlws.FILTER(
Table9[Normalised Income Impact Ratio],
ISNUMBER(Table9[Normalised Income Impact Ratio])*
(Table9[Normalised Income Impact Ratio]&gt;0)*
(Table9[Grouping]="Group 2B (High Inflation)")
),
_xlpm.med,MEDIAN(_xlpm.data),
_xlpm.mad,MEDIAN(ABS(_xlpm.data-_xlpm.med)),
AVERAGE(_xlfn._xlws.FILTER(_xlpm.data,ABS(_xlpm.data-_xlpm.med)&lt;=2.5*_xlpm.mad))
)</f>
        <v>4.0689375319343697E-2</v>
      </c>
      <c r="U16" s="364">
        <f>O16-S16</f>
        <v>15</v>
      </c>
      <c r="V16" s="192"/>
      <c r="W16" s="370">
        <f t="array" ref="W16">MEDIAN(
_xlfn._xlws.FILTER(
Table9[Private Sector Investment (USD) / Project cost ],
ISNUMBER(Table9[Private Sector Investment (USD) / Project cost ])*
(Table9[Private Sector Investment (USD) / Project cost ]&gt;0)*
(Table9[Grouping]="Group 2B (High Inflation)")
)
)</f>
        <v>0.52782178217821785</v>
      </c>
      <c r="X16" s="203">
        <f t="array" ref="X16">AVERAGE(
_xlfn._xlws.FILTER(
Table9[Private Sector Investment (USD) / Project cost ],
ISNUMBER(Table9[Private Sector Investment (USD) / Project cost ])*
(Table9[Private Sector Investment (USD) / Project cost ]&gt;0)*
(Table9[Grouping]="Group 2B (High Inflation)")
)
)</f>
        <v>1.9500804970893983</v>
      </c>
      <c r="Y16" s="15">
        <f>COUNTIFS(
Table9[Private Sector Investment (USD) / Project cost ],"&gt;0",
Table9[Grouping],"Group 2B (High Inflation)"
)</f>
        <v>27</v>
      </c>
      <c r="Z16" s="203">
        <f t="array" ref="Z16">_xlfn.LET(
_xlpm.data,_xlfn._xlws.FILTER(
Table9[Private Sector Investment (USD) / Project cost ],
ISNUMBER(Table9[Private Sector Investment (USD) / Project cost ])*
(Table9[Private Sector Investment (USD) / Project cost ]&gt;0)*
(Table9[Grouping]="Group 2B (High Inflation)")
),
MEDIAN(ABS(_xlpm.data-MEDIAN(_xlpm.data)))
)</f>
        <v>0.45983465346534658</v>
      </c>
      <c r="AA16" s="195">
        <f t="array" ref="AA16">_xlfn.LET(
_xlpm.data,_xlfn._xlws.FILTER(
Table9[Private Sector Investment (USD) / Project cost ],
ISNUMBER(Table9[Private Sector Investment (USD) / Project cost ])*
(Table9[Private Sector Investment (USD) / Project cost ]&gt;0)*
(Table9[Grouping]="Group 2B (High Inflation)")
),
_xlpm.med,MEDIAN(_xlpm.data),
_xlpm.mad,MEDIAN(ABS(_xlpm.data-_xlpm.med)),
SUMPRODUCT(--(ABS(_xlpm.data-_xlpm.med)&gt;2.5*_xlpm.mad))/COUNT(_xlpm.data)
)</f>
        <v>0.18518518518518517</v>
      </c>
      <c r="AB16" s="195">
        <f t="array" ref="AB16">_xlfn.LET(
_xlpm.data,_xlfn._xlws.FILTER(
Table9[Private Sector Investment (USD) / Project cost ],
ISNUMBER(Table9[Private Sector Investment (USD) / Project cost ])*
(Table9[Private Sector Investment (USD) / Project cost ]&gt;0)*
(Table9[Grouping]="Group 2B (High Inflation)")
),
_xlpm.med,MEDIAN(_xlpm.data),
_xlpm.mad,MEDIAN(ABS(_xlpm.data-_xlpm.med)),
SUMPRODUCT(--(ABS(_xlpm.data-_xlpm.med)&gt;2.5*_xlpm.mad))/COUNT(_xlpm.data)
)</f>
        <v>0.18518518518518517</v>
      </c>
      <c r="AC16" s="15">
        <f t="array" ref="AC16">_xlfn.LET(
_xlpm.data,_xlfn._xlws.FILTER(
Table9[Private Sector Investment (USD) / Project cost ],
ISNUMBER(Table9[Private Sector Investment (USD) / Project cost ])*
(Table9[Private Sector Investment (USD) / Project cost ]&gt;0)*
(Table9[Grouping]="Group 2B (High Inflation)")
),
_xlpm.med,MEDIAN(_xlpm.data),
_xlpm.mad,MEDIAN(ABS(_xlpm.data-_xlpm.med)),
SUMPRODUCT(--(ABS(_xlpm.data-_xlpm.med)&gt;2.5*_xlpm.mad))
)</f>
        <v>5</v>
      </c>
      <c r="AD16" s="203">
        <f t="array" ref="AD16">_xlfn.LET(
_xlpm.data,_xlfn._xlws.FILTER(
Table9[Private Sector Investment (USD) / Project cost ],
ISNUMBER(Table9[Private Sector Investment (USD) / Project cost ])*
(Table9[Private Sector Investment (USD) / Project cost ]&gt;0)*
(Table9[Grouping]="Group 2B (High Inflation)")
),
_xlpm.med,MEDIAN(_xlpm.data),
_xlpm.mad,MEDIAN(ABS(_xlpm.data-_xlpm.med)),
AVERAGE(_xlfn._xlws.FILTER(_xlpm.data,ABS(_xlpm.data-_xlpm.med)&lt;=2.5*_xlpm.mad))
)</f>
        <v>0.48740605038359769</v>
      </c>
      <c r="AE16" s="232">
        <f>Y16-AC16</f>
        <v>22</v>
      </c>
      <c r="AF16" s="191"/>
      <c r="AG16" s="370">
        <f t="array" ref="AG16">MEDIAN(
_xlfn._xlws.FILTER(
Table9[Private Sector Revenues Generated (USD) / Project cost],
ISNUMBER(Table9[Private Sector Revenues Generated (USD) / Project cost])*
(Table9[Private Sector Revenues Generated (USD) / Project cost]&gt;0)*
(Table9[Grouping]="Group 2B (High Inflation)")
)
)</f>
        <v>1.2038596491228071</v>
      </c>
      <c r="AH16" s="203">
        <f t="array" ref="AH16">AVERAGE(
_xlfn._xlws.FILTER(
Table9[Private Sector Revenues Generated (USD) / Project cost],
ISNUMBER(Table9[Private Sector Revenues Generated (USD) / Project cost])*
(Table9[Private Sector Revenues Generated (USD) / Project cost]&gt;0)*
(Table9[Grouping]="Group 2B (High Inflation)")
)
)</f>
        <v>2.2916841184073014</v>
      </c>
      <c r="AI16" s="15">
        <f>COUNTIFS(
Table9[Private Sector Revenues Generated (USD) / Project cost],"&gt;0",
Table9[Grouping],"Group 2B (High Inflation)"
)</f>
        <v>22</v>
      </c>
      <c r="AJ16" s="203">
        <f t="array" ref="AJ16">_xlfn.LET(
_xlpm.data,_xlfn._xlws.FILTER(
Table9[Private Sector Revenues Generated (USD) / Project cost],
ISNUMBER(Table9[Private Sector Revenues Generated (USD) / Project cost])*
(Table9[Private Sector Revenues Generated (USD) / Project cost]&gt;0)*
(Table9[Grouping]="Group 2B (High Inflation)")
),
MEDIAN(ABS(_xlpm.data-MEDIAN(_xlpm.data)))
)</f>
        <v>1.0262005582137164</v>
      </c>
      <c r="AK16" s="343">
        <f>AJ16/AG16</f>
        <v>0.85242541268116923</v>
      </c>
      <c r="AL16" s="195">
        <f t="array" ref="AL16">_xlfn.LET(
_xlpm.data,_xlfn._xlws.FILTER(
Table9[Private Sector Revenues Generated (USD) / Project cost],
ISNUMBER(Table9[Private Sector Revenues Generated (USD) / Project cost])*
(Table9[Private Sector Revenues Generated (USD) / Project cost]&gt;0)*
(Table9[Grouping]="Group 2B (High Inflation)")
),
_xlpm.med,MEDIAN(_xlpm.data),
_xlpm.mad,MEDIAN(ABS(_xlpm.data-_xlpm.med)),
SUMPRODUCT(--(ABS(_xlpm.data-_xlpm.med)&gt;2.5*_xlpm.mad))/COUNT(_xlpm.data)
)</f>
        <v>0.18181818181818182</v>
      </c>
      <c r="AM16" s="15">
        <f t="array" ref="AM16">_xlfn.LET(
_xlpm.data,_xlfn._xlws.FILTER(
Table9[Private Sector Revenues Generated (USD) / Project cost],
ISNUMBER(Table9[Private Sector Revenues Generated (USD) / Project cost])*
(Table9[Private Sector Revenues Generated (USD) / Project cost]&gt;0)*
(Table9[Grouping]="Group 2B (High Inflation)")
),
_xlpm.med,MEDIAN(_xlpm.data),
_xlpm.mad,MEDIAN(ABS(_xlpm.data-_xlpm.med)),
SUMPRODUCT(--(ABS(_xlpm.data-_xlpm.med)&gt;2.5*_xlpm.mad))
)</f>
        <v>4</v>
      </c>
      <c r="AN16" s="203">
        <f t="array" ref="AN16">_xlfn.LET(
_xlpm.data,_xlfn._xlws.FILTER(
Table9[Private Sector Revenues Generated (USD) / Project cost],
ISNUMBER(Table9[Private Sector Revenues Generated (USD) / Project cost])*
(Table9[Private Sector Revenues Generated (USD) / Project cost]&gt;0)*
(Table9[Grouping]="Group 2B (High Inflation)")
),
_xlpm.med,MEDIAN(_xlpm.data),
_xlpm.mad,MEDIAN(ABS(_xlpm.data-_xlpm.med)),
AVERAGE(_xlfn._xlws.FILTER(_xlpm.data,ABS(_xlpm.data-_xlpm.med)&lt;=2.5*_xlpm.mad))
)</f>
        <v>0.97906527533860199</v>
      </c>
      <c r="AO16" s="232">
        <f>AI16-AM16</f>
        <v>18</v>
      </c>
      <c r="AP16" s="191"/>
      <c r="AQ16" s="370">
        <f t="array" ref="AQ16">MEDIAN(
_xlfn._xlws.FILTER(
Table9[Export Revenue Generated (USD) /Project Cost],
ISNUMBER(Table9[Export Revenue Generated (USD) /Project Cost])*
(Table9[Export Revenue Generated (USD) /Project Cost]&gt;0)*
(Table9[Grouping]="Group 2B (High Inflation)")
)
)</f>
        <v>0.39370681069663382</v>
      </c>
      <c r="AR16" s="203">
        <f t="array" ref="AR16">AVERAGE(
_xlfn._xlws.FILTER(
Table9[Export Revenue Generated (USD) /Project Cost],
ISNUMBER(Table9[Export Revenue Generated (USD) /Project Cost])*
(Table9[Export Revenue Generated (USD) /Project Cost]&gt;0)*
(Table9[Grouping]="Group 2B (High Inflation)")
)
)</f>
        <v>13.874419124609432</v>
      </c>
      <c r="AS16" s="15">
        <f>COUNTIFS(
Table9[Export Revenue Generated (USD) /Project Cost],"&gt;0",
Table9[Grouping],"Group 2B (High Inflation)"
)</f>
        <v>6</v>
      </c>
      <c r="AT16" s="203">
        <f t="array" ref="AT16">_xlfn.LET(
_xlpm.data,_xlfn._xlws.FILTER(
Table9[Export Revenue Generated (USD) /Project Cost],
ISNUMBER(Table9[Export Revenue Generated (USD) /Project Cost])*
(Table9[Export Revenue Generated (USD) /Project Cost]&gt;0)*
(Table9[Grouping]="Group 2B (High Inflation)")
),
MEDIAN(ABS(_xlpm.data-MEDIAN(_xlpm.data)))
)</f>
        <v>0.29255049273659417</v>
      </c>
      <c r="AU16" s="195">
        <f>AT16/AQ16</f>
        <v>0.74306688324478976</v>
      </c>
      <c r="AV16" s="195">
        <f t="array" ref="AV16">_xlfn.LET(
_xlpm.data,_xlfn._xlws.FILTER(
Table9[Export Revenue Generated (USD) /Project Cost],
ISNUMBER(Table9[Export Revenue Generated (USD) /Project Cost])*
(Table9[Export Revenue Generated (USD) /Project Cost]&gt;0)*
(Table9[Grouping]="Group 2B (High Inflation)")
),
_xlpm.med,MEDIAN(_xlpm.data),
_xlpm.mad,MEDIAN(ABS(_xlpm.data-_xlpm.med)),
SUMPRODUCT(--(ABS(_xlpm.data-_xlpm.med)&gt;2.5*_xlpm.mad))/COUNT(_xlpm.data)
)</f>
        <v>0.33333333333333331</v>
      </c>
      <c r="AW16" s="15">
        <f t="array" ref="AW16">_xlfn.LET(
_xlpm.data,_xlfn._xlws.FILTER(
Table9[Export Revenue Generated (USD) /Project Cost],
ISNUMBER(Table9[Export Revenue Generated (USD) /Project Cost])*
(Table9[Export Revenue Generated (USD) /Project Cost]&gt;0)*
(Table9[Grouping]="Group 2B (High Inflation)")
),
_xlpm.med,MEDIAN(_xlpm.data),
_xlpm.mad,MEDIAN(ABS(_xlpm.data-_xlpm.med)),
SUMPRODUCT(--(ABS(_xlpm.data-_xlpm.med)&gt;2.5*_xlpm.mad))
)</f>
        <v>2</v>
      </c>
      <c r="AX16" s="203">
        <f t="array" ref="AX16">_xlfn.LET(
_xlpm.data,_xlfn._xlws.FILTER(
Table9[Export Revenue Generated (USD) /Project Cost],
ISNUMBER(Table9[Export Revenue Generated (USD) /Project Cost])*
(Table9[Export Revenue Generated (USD) /Project Cost]&gt;0)*
(Table9[Grouping]="Group 2B (High Inflation)")
),
_xlpm.med,MEDIAN(_xlpm.data),
_xlpm.mad,MEDIAN(ABS(_xlpm.data-_xlpm.med)),
AVERAGE(_xlfn._xlws.FILTER(_xlpm.data,ABS(_xlpm.data-_xlpm.med)&lt;=2.5*_xlpm.mad))
)</f>
        <v>0.24743156432833674</v>
      </c>
      <c r="AY16" s="232">
        <f>AS16-AW16</f>
        <v>4</v>
      </c>
      <c r="AZ16" s="142"/>
      <c r="BA16" s="202"/>
      <c r="BB16" s="202"/>
      <c r="BC16" s="15"/>
      <c r="BD16" s="15"/>
      <c r="BE16" s="15"/>
      <c r="BF16" s="15"/>
      <c r="BG16" s="15"/>
      <c r="BH16" s="15"/>
      <c r="BI16" s="15"/>
      <c r="BJ16" s="15"/>
      <c r="BK16" s="15"/>
      <c r="BL16" s="15"/>
      <c r="BM16" s="15"/>
      <c r="BN16" s="15"/>
      <c r="BO16" s="15"/>
      <c r="BP16" s="15"/>
      <c r="BQ16" s="15"/>
      <c r="BR16" s="15"/>
      <c r="BS16" s="15"/>
      <c r="BT16" s="15"/>
      <c r="BU16" s="202"/>
      <c r="BV16" s="202"/>
      <c r="BW16" s="15"/>
      <c r="BX16" s="15"/>
      <c r="BY16" s="15"/>
      <c r="BZ16" s="15"/>
      <c r="CA16" s="15"/>
      <c r="CB16" s="15"/>
      <c r="CC16" s="15"/>
      <c r="CD16" s="15"/>
      <c r="CE16" s="15"/>
      <c r="CF16" s="15"/>
      <c r="CG16" s="15"/>
      <c r="CH16" s="15"/>
      <c r="CI16" s="15"/>
      <c r="CJ16" s="15"/>
      <c r="CK16" s="15"/>
      <c r="CL16" s="15"/>
      <c r="CM16" s="15"/>
      <c r="CN16" s="135"/>
      <c r="CO16" s="203"/>
      <c r="CP16" s="203"/>
      <c r="CQ16" s="15"/>
      <c r="CR16" s="15"/>
      <c r="CS16" s="15"/>
      <c r="CT16" s="15"/>
      <c r="CU16" s="15"/>
      <c r="CV16" s="15"/>
      <c r="CW16" s="15"/>
    </row>
    <row r="17" spans="2:101" x14ac:dyDescent="0.25">
      <c r="B17" s="338" t="s">
        <v>571</v>
      </c>
      <c r="C17" s="363">
        <f t="array" ref="C17">MEDIAN(_xlfn._xlws.FILTER(Table9[Income per beneficiary (USD)], (Table9[Income per beneficiary (USD)]&gt;0)*(Table9[Grouping]="Group 3")))</f>
        <v>310.31798831659512</v>
      </c>
      <c r="D17" s="202">
        <f t="array" ref="D17">AVERAGE(_xlfn._xlws.FILTER(Table9[Income per beneficiary (USD)], (Table9[Income per beneficiary (USD)]&gt;0)*(Table9[Grouping]="Group 3")))</f>
        <v>608.53399415829756</v>
      </c>
      <c r="E17" s="15">
        <f>COUNTIFS(Table9[Income per beneficiary (USD)],"&gt;0", Table9[Grouping],"Group 3")</f>
        <v>4</v>
      </c>
      <c r="F17" s="202">
        <f t="array" ref="F17">_xlfn.LET(
_xlpm.data,_xlfn._xlws.FILTER(
Table9[Income per beneficiary (USD)],
(Table9[Income per beneficiary (USD)]&gt;0)*
(Table9[Grouping]="Group 3")
),
MEDIAN(ABS(_xlpm.data-MEDIAN(_xlpm.data)))
)</f>
        <v>255.5378326745718</v>
      </c>
      <c r="G17" s="195">
        <f>F17/C17</f>
        <v>0.82347089854766953</v>
      </c>
      <c r="H17" s="195">
        <f t="array" ref="H17">_xlfn.LET(
_xlpm.data,_xlfn._xlws.FILTER(
Table9[Income per beneficiary (USD)],
(Table9[Income per beneficiary (USD)]&gt;0)*
(Table9[Grouping]="Group 3")
),
_xlpm.med,MEDIAN(_xlpm.data),
_xlpm.mad,MEDIAN(ABS(_xlpm.data-_xlpm.med)),
SUMPRODUCT(--(ABS(_xlpm.data-_xlpm.med)&gt;2.5*_xlpm.mad))/COUNT(_xlpm.data)
)</f>
        <v>0.25</v>
      </c>
      <c r="I17" s="15">
        <f t="array" ref="I17">_xlfn.LET(
_xlpm.data,_xlfn._xlws.FILTER(
Table9[Income per beneficiary (USD)],
(Table9[Income per beneficiary (USD)]&gt;0)*
(Table9[Grouping]="Group 3")
),
_xlpm.med,MEDIAN(_xlpm.data),
_xlpm.mad,MEDIAN(ABS(_xlpm.data-_xlpm.med)),
SUMPRODUCT(--(ABS(_xlpm.data-_xlpm.med)&gt;2.5*_xlpm.mad))
)</f>
        <v>1</v>
      </c>
      <c r="J17" s="202">
        <f t="array" ref="J17">_xlfn.LET(
_xlpm.data,_xlfn._xlws.FILTER(
Table9[Income per beneficiary (USD)],
(Table9[Income per beneficiary (USD)]&gt;0)*
(Table9[Grouping]="Group 3")
),
_xlpm.med,MEDIAN(_xlpm.data),
_xlpm.mad,MEDIAN(ABS(_xlpm.data-_xlpm.med)),
AVERAGE(_xlfn._xlws.FILTER(_xlpm.data,ABS(_xlpm.data-_xlpm.med)&lt;=2.5*_xlpm.mad))
)</f>
        <v>211.37865887773009</v>
      </c>
      <c r="K17" s="364">
        <f>E17-I17</f>
        <v>3</v>
      </c>
      <c r="L17" s="192"/>
      <c r="M17" s="370">
        <f t="array" ref="M17">MEDIAN(
_xlfn._xlws.FILTER(
Table9[Normalised Income Impact Ratio],
ISNUMBER(Table9[Normalised Income Impact Ratio])*
(Table9[Normalised Income Impact Ratio]&gt;0)*
(Table9[Grouping]="Group 3")
)
)</f>
        <v>1.5295037480412312E-2</v>
      </c>
      <c r="N17" s="203">
        <f t="array" ref="N17">AVERAGE(
_xlfn._xlws.FILTER(
Table9[Normalised Income Impact Ratio],
ISNUMBER(Table9[Normalised Income Impact Ratio])*
(Table9[Normalised Income Impact Ratio]&gt;0)*
(Table9[Grouping]="Group 3")
)
)</f>
        <v>7.2177798243311747E-2</v>
      </c>
      <c r="O17" s="202">
        <f>COUNTIFS(
Table9[Normalised Income Impact Ratio],"&gt;0",
Table9[Grouping],"Group 3"
)</f>
        <v>4</v>
      </c>
      <c r="P17" s="203">
        <f t="array" ref="P17">_xlfn.LET(
_xlpm.data,_xlfn._xlws.FILTER(
Table9[Normalised Income Impact Ratio],
ISNUMBER(Table9[Normalised Income Impact Ratio])*
(Table9[Normalised Income Impact Ratio]&gt;0)*
(Table9[Grouping]="Group 3")
),
MEDIAN(ABS(_xlpm.data-MEDIAN(_xlpm.data)))
)</f>
        <v>1.0439529259991217E-2</v>
      </c>
      <c r="Q17" s="195">
        <f>P17/M17</f>
        <v>0.68254355527802191</v>
      </c>
      <c r="R17" s="195">
        <f t="array" ref="R17">_xlfn.LET(
_xlpm.data,_xlfn._xlws.FILTER(
Table9[Normalised Income Impact Ratio],
ISNUMBER(Table9[Normalised Income Impact Ratio])*
(Table9[Normalised Income Impact Ratio]&gt;0)*
(Table9[Grouping]="Group 3")
),
_xlpm.med,MEDIAN(_xlpm.data),
_xlpm.mad,MEDIAN(ABS(_xlpm.data-_xlpm.med)),
SUMPRODUCT(--(ABS(_xlpm.data-_xlpm.med)&gt;2.5*_xlpm.mad))/COUNT(_xlpm.data)
)</f>
        <v>0.25</v>
      </c>
      <c r="S17" s="202">
        <f t="array" ref="S17">_xlfn.LET(
_xlpm.data,_xlfn._xlws.FILTER(
Table9[Normalised Income Impact Ratio],
ISNUMBER(Table9[Normalised Income Impact Ratio])*
(Table9[Normalised Income Impact Ratio]&gt;0)*
(Table9[Grouping]="Group 3")
),
_xlpm.med,MEDIAN(_xlpm.data),
_xlpm.mad,MEDIAN(ABS(_xlpm.data-_xlpm.med)),
SUMPRODUCT(--(ABS(_xlpm.data-_xlpm.med)&gt;2.5*_xlpm.mad))
)</f>
        <v>1</v>
      </c>
      <c r="T17" s="203">
        <f t="array" ref="T17">_xlfn.LET(
_xlpm.data,_xlfn._xlws.FILTER(
Table9[Normalised Income Impact Ratio],
ISNUMBER(Table9[Normalised Income Impact Ratio])*
(Table9[Normalised Income Impact Ratio]&gt;0)*
(Table9[Grouping]="Group 3")
),
_xlpm.med,MEDIAN(_xlpm.data),
_xlpm.mad,MEDIAN(ABS(_xlpm.data-_xlpm.med)),
AVERAGE(_xlfn._xlws.FILTER(_xlpm.data,ABS(_xlpm.data-_xlpm.med)&lt;=2.5*_xlpm.mad))
)</f>
        <v>1.0522778610129948E-2</v>
      </c>
      <c r="U17" s="364">
        <f>O17-S17</f>
        <v>3</v>
      </c>
      <c r="V17" s="192"/>
      <c r="W17" s="370">
        <f t="array" ref="W17">MEDIAN(
_xlfn._xlws.FILTER(
Table9[Private Sector Investment (USD) / Project cost ],
ISNUMBER(Table9[Private Sector Investment (USD) / Project cost ])*
(Table9[Private Sector Investment (USD) / Project cost ]&gt;0)*
(Table9[Grouping]="Group 3")
)
)</f>
        <v>1.133113833333333</v>
      </c>
      <c r="X17" s="203">
        <f t="array" ref="X17">AVERAGE(
_xlfn._xlws.FILTER(
Table9[Private Sector Investment (USD) / Project cost ],
ISNUMBER(Table9[Private Sector Investment (USD) / Project cost ])*
(Table9[Private Sector Investment (USD) / Project cost ]&gt;0)*
(Table9[Grouping]="Group 3")
)
)</f>
        <v>3.3985386007176444</v>
      </c>
      <c r="Y17" s="15">
        <f>COUNTIFS(
Table9[Private Sector Investment (USD) / Project cost ],"&gt;0",
Table9[Grouping],"Group 3"
)</f>
        <v>3</v>
      </c>
      <c r="Z17" s="203">
        <f t="array" ref="Z17">_xlfn.LET(
_xlpm.data,_xlfn._xlws.FILTER(
Table9[Private Sector Investment (USD) / Project cost ],
ISNUMBER(Table9[Private Sector Investment (USD) / Project cost ])*
(Table9[Private Sector Investment (USD) / Project cost ]&gt;0)*
(Table9[Grouping]="Group 3")
),
MEDIAN(ABS(_xlpm.data-MEDIAN(_xlpm.data)))
)</f>
        <v>0.97929783333333309</v>
      </c>
      <c r="AA17" s="195">
        <f t="array" ref="AA17">_xlfn.LET(
_xlpm.data,_xlfn._xlws.FILTER(
Table9[Private Sector Investment (USD) / Project cost ],
ISNUMBER(Table9[Private Sector Investment (USD) / Project cost ])*
(Table9[Private Sector Investment (USD) / Project cost ]&gt;0)*
(Table9[Grouping]="Group 2B (High Inflation)")
),
_xlpm.med,MEDIAN(_xlpm.data),
_xlpm.mad,MEDIAN(ABS(_xlpm.data-_xlpm.med)),
SUMPRODUCT(--(ABS(_xlpm.data-_xlpm.med)&gt;2.5*_xlpm.mad))/COUNT(_xlpm.data)
)</f>
        <v>0.18518518518518517</v>
      </c>
      <c r="AB17" s="195">
        <f t="array" ref="AB17">_xlfn.LET(
_xlpm.data,_xlfn._xlws.FILTER(
Table9[Private Sector Investment (USD) / Project cost ],
ISNUMBER(Table9[Private Sector Investment (USD) / Project cost ])*
(Table9[Private Sector Investment (USD) / Project cost ]&gt;0)*
(Table9[Grouping]="Group 3")
),
_xlpm.med,MEDIAN(_xlpm.data),
_xlpm.mad,MEDIAN(ABS(_xlpm.data-_xlpm.med)),
SUMPRODUCT(--(ABS(_xlpm.data-_xlpm.med)&gt;2.5*_xlpm.mad))/COUNT(_xlpm.data)
)</f>
        <v>0.33333333333333331</v>
      </c>
      <c r="AC17" s="15">
        <f t="array" ref="AC17">_xlfn.LET(
_xlpm.data,_xlfn._xlws.FILTER(
Table9[Private Sector Investment (USD) / Project cost ],
ISNUMBER(Table9[Private Sector Investment (USD) / Project cost ])*
(Table9[Private Sector Investment (USD) / Project cost ]&gt;0)*
(Table9[Grouping]="Group 3")
),
_xlpm.med,MEDIAN(_xlpm.data),
_xlpm.mad,MEDIAN(ABS(_xlpm.data-_xlpm.med)),
SUMPRODUCT(--(ABS(_xlpm.data-_xlpm.med)&gt;2.5*_xlpm.mad))
)</f>
        <v>1</v>
      </c>
      <c r="AD17" s="203">
        <f t="array" ref="AD17">_xlfn.LET(
_xlpm.data,_xlfn._xlws.FILTER(
Table9[Private Sector Investment (USD) / Project cost ],
ISNUMBER(Table9[Private Sector Investment (USD) / Project cost ])*
(Table9[Private Sector Investment (USD) / Project cost ]&gt;0)*
(Table9[Grouping]="Group 3")
),
_xlpm.med,MEDIAN(_xlpm.data),
_xlpm.mad,MEDIAN(ABS(_xlpm.data-_xlpm.med)),
AVERAGE(_xlfn._xlws.FILTER(_xlpm.data,ABS(_xlpm.data-_xlpm.med)&lt;=2.5*_xlpm.mad))
)</f>
        <v>0.6434649166666665</v>
      </c>
      <c r="AE17" s="232">
        <f>Y17-AC17</f>
        <v>2</v>
      </c>
      <c r="AF17" s="191"/>
      <c r="AG17" s="370">
        <f t="array" ref="AG17">MEDIAN(
_xlfn._xlws.FILTER(
Table9[Private Sector Revenues Generated (USD) / Project cost],
ISNUMBER(Table9[Private Sector Revenues Generated (USD) / Project cost])*
(Table9[Private Sector Revenues Generated (USD) / Project cost]&gt;0)*
(Table9[Grouping]="Group 3")
)
)</f>
        <v>0.53767324166666663</v>
      </c>
      <c r="AH17" s="203">
        <f t="array" ref="AH17">AVERAGE(
_xlfn._xlws.FILTER(
Table9[Private Sector Revenues Generated (USD) / Project cost],
ISNUMBER(Table9[Private Sector Revenues Generated (USD) / Project cost])*
(Table9[Private Sector Revenues Generated (USD) / Project cost]&gt;0)*
(Table9[Grouping]="Group 3")
)
)</f>
        <v>0.53767324166666663</v>
      </c>
      <c r="AI17" s="15">
        <f>COUNTIFS(
Table9[Private Sector Revenues Generated (USD) / Project cost],"&gt;0",
Table9[Grouping],"Group 3"
)</f>
        <v>2</v>
      </c>
      <c r="AJ17" s="203">
        <f t="array" ref="AJ17">_xlfn.LET(
_xlpm.data,_xlfn._xlws.FILTER(
Table9[Private Sector Revenues Generated (USD) / Project cost],
ISNUMBER(Table9[Private Sector Revenues Generated (USD) / Project cost])*
(Table9[Private Sector Revenues Generated (USD) / Project cost]&gt;0)*
(Table9[Grouping]="Group 3")
),
MEDIAN(ABS(_xlpm.data-MEDIAN(_xlpm.data)))
)</f>
        <v>0.53466915833333328</v>
      </c>
      <c r="AK17" s="343">
        <f>AJ17/AG17</f>
        <v>0.9944128085600441</v>
      </c>
      <c r="AL17" s="195">
        <f t="array" ref="AL17">_xlfn.LET(
_xlpm.data,_xlfn._xlws.FILTER(
Table9[Private Sector Revenues Generated (USD) / Project cost],
ISNUMBER(Table9[Private Sector Revenues Generated (USD) / Project cost])*
(Table9[Private Sector Revenues Generated (USD) / Project cost]&gt;0)*
(Table9[Grouping]="Group 3")
),
_xlpm.med,MEDIAN(_xlpm.data),
_xlpm.mad,MEDIAN(ABS(_xlpm.data-_xlpm.med)),
SUMPRODUCT(--(ABS(_xlpm.data-_xlpm.med)&gt;2.5*_xlpm.mad))/COUNT(_xlpm.data)
)</f>
        <v>0</v>
      </c>
      <c r="AM17" s="15">
        <f t="array" ref="AM17">_xlfn.LET(
_xlpm.data,_xlfn._xlws.FILTER(
Table9[Private Sector Revenues Generated (USD) / Project cost],
ISNUMBER(Table9[Private Sector Revenues Generated (USD) / Project cost])*
(Table9[Private Sector Revenues Generated (USD) / Project cost]&gt;0)*
(Table9[Grouping]="Group 3")
),
_xlpm.med,MEDIAN(_xlpm.data),
_xlpm.mad,MEDIAN(ABS(_xlpm.data-_xlpm.med)),
SUMPRODUCT(--(ABS(_xlpm.data-_xlpm.med)&gt;2.5*_xlpm.mad))
)</f>
        <v>0</v>
      </c>
      <c r="AN17" s="203">
        <f t="array" ref="AN17">_xlfn.LET(
_xlpm.data,_xlfn._xlws.FILTER(
Table9[Private Sector Revenues Generated (USD) / Project cost],
ISNUMBER(Table9[Private Sector Revenues Generated (USD) / Project cost])*
(Table9[Private Sector Revenues Generated (USD) / Project cost]&gt;0)*
(Table9[Grouping]="Group 3")
),
_xlpm.med,MEDIAN(_xlpm.data),
_xlpm.mad,MEDIAN(ABS(_xlpm.data-_xlpm.med)),
AVERAGE(_xlfn._xlws.FILTER(_xlpm.data,ABS(_xlpm.data-_xlpm.med)&lt;=2.5*_xlpm.mad))
)</f>
        <v>0.53767324166666663</v>
      </c>
      <c r="AO17" s="232">
        <f>AI17-AM17</f>
        <v>2</v>
      </c>
      <c r="AP17" s="191"/>
      <c r="AQ17" s="406" t="e" vm="37">
        <f t="array" ref="AQ17">MEDIAN(
_xlfn._xlws.FILTER(
Table9[Export Revenue Generated (USD) /Project Cost],
ISNUMBER(Table9[Export Revenue Generated (USD) /Project Cost])*
(Table9[Export Revenue Generated (USD) /Project Cost]&gt;0)*
(Table9[Grouping]="Group 3")
)
)</f>
        <v>#VALUE!</v>
      </c>
      <c r="AR17" s="204" t="e" vm="37">
        <f t="array" ref="AR17">AVERAGE(
_xlfn._xlws.FILTER(
Table9[Export Revenue Generated (USD) /Project Cost],
ISNUMBER(Table9[Export Revenue Generated (USD) /Project Cost])*
(Table9[Export Revenue Generated (USD) /Project Cost]&gt;0)*
(Table9[Grouping]="Group 3")
)
)</f>
        <v>#VALUE!</v>
      </c>
      <c r="AS17" s="15">
        <f>COUNTIFS(
Table9[Export Revenue Generated (USD) /Project Cost],"&gt;0",
Table9[Grouping],"Group 3"
)</f>
        <v>0</v>
      </c>
      <c r="AT17" s="15" t="e" vm="37">
        <f t="array" ref="AT17">_xlfn.LET(
_xlpm.data,_xlfn._xlws.FILTER(
Table9[Export Revenue Generated (USD) /Project Cost],
ISNUMBER(Table9[Export Revenue Generated (USD) /Project Cost])*
(Table9[Export Revenue Generated (USD) /Project Cost]&gt;0)*
(Table9[Grouping]="Group 3")
),
MEDIAN(ABS(_xlpm.data-MEDIAN(_xlpm.data)))
)</f>
        <v>#VALUE!</v>
      </c>
      <c r="AU17" s="195" t="e" vm="38">
        <f>AT17/AQ17</f>
        <v>#VALUE!</v>
      </c>
      <c r="AV17" s="15" t="e" vm="37">
        <f t="array" ref="AV17">_xlfn.LET(
_xlpm.data,_xlfn._xlws.FILTER(
Table9[Export Revenue Generated (USD) /Project Cost],
ISNUMBER(Table9[Export Revenue Generated (USD) /Project Cost])*
(Table9[Export Revenue Generated (USD) /Project Cost]&gt;0)*
(Table9[Grouping]="Group 3")
),
_xlpm.med,MEDIAN(_xlpm.data),
_xlpm.mad,MEDIAN(ABS(_xlpm.data-_xlpm.med)),
SUMPRODUCT(--(ABS(_xlpm.data-_xlpm.med)&gt;2.5*_xlpm.mad))/COUNT(_xlpm.data)
)</f>
        <v>#VALUE!</v>
      </c>
      <c r="AW17" s="15" t="e" vm="37">
        <f t="array" ref="AW17">_xlfn.LET(
_xlpm.data,_xlfn._xlws.FILTER(
Table9[Export Revenue Generated (USD) /Project Cost],
ISNUMBER(Table9[Export Revenue Generated (USD) /Project Cost])*
(Table9[Export Revenue Generated (USD) /Project Cost]&gt;0)*
(Table9[Grouping]="Group 3")
),
_xlpm.med,MEDIAN(_xlpm.data),
_xlpm.mad,MEDIAN(ABS(_xlpm.data-_xlpm.med)),
SUMPRODUCT(--(ABS(_xlpm.data-_xlpm.med)&gt;2.5*_xlpm.mad))
)</f>
        <v>#VALUE!</v>
      </c>
      <c r="AX17" s="203" t="e" vm="37">
        <f t="array" ref="AX17">_xlfn.LET(
_xlpm.data,_xlfn._xlws.FILTER(
Table9[Export Revenue Generated (USD) /Project Cost],
ISNUMBER(Table9[Export Revenue Generated (USD) /Project Cost])*
(Table9[Export Revenue Generated (USD) /Project Cost]&gt;0)*
(Table9[Grouping]="Group 3")
),
_xlpm.med,MEDIAN(_xlpm.data),
_xlpm.mad,MEDIAN(ABS(_xlpm.data-_xlpm.med)),
AVERAGE(_xlfn._xlws.FILTER(_xlpm.data,ABS(_xlpm.data-_xlpm.med)&lt;=2.5*_xlpm.mad))
)</f>
        <v>#VALUE!</v>
      </c>
      <c r="AY17" s="232" t="e" vm="38">
        <f>AS17-AW17</f>
        <v>#VALUE!</v>
      </c>
      <c r="AZ17" s="142"/>
      <c r="BA17" s="202"/>
      <c r="BB17" s="202"/>
      <c r="BC17" s="15"/>
      <c r="BD17" s="15"/>
      <c r="BE17" s="15"/>
      <c r="BF17" s="15"/>
      <c r="BG17" s="15"/>
      <c r="BH17" s="15"/>
      <c r="BI17" s="15"/>
      <c r="BJ17" s="15"/>
      <c r="BK17" s="15"/>
      <c r="BL17" s="15"/>
      <c r="BM17" s="15"/>
      <c r="BN17" s="15"/>
      <c r="BO17" s="15"/>
      <c r="BP17" s="15"/>
      <c r="BQ17" s="15"/>
      <c r="BR17" s="15"/>
      <c r="BS17" s="15"/>
      <c r="BT17" s="15"/>
      <c r="BU17" s="202"/>
      <c r="BV17" s="202"/>
      <c r="BW17" s="15"/>
      <c r="BX17" s="15"/>
      <c r="BY17" s="15"/>
      <c r="BZ17" s="15"/>
      <c r="CA17" s="15"/>
      <c r="CB17" s="15"/>
      <c r="CC17" s="15"/>
      <c r="CD17" s="15"/>
      <c r="CE17" s="15"/>
      <c r="CF17" s="15"/>
      <c r="CG17" s="15"/>
      <c r="CH17" s="15"/>
      <c r="CI17" s="15"/>
      <c r="CJ17" s="15"/>
      <c r="CK17" s="15"/>
      <c r="CL17" s="15"/>
      <c r="CM17" s="15"/>
      <c r="CN17" s="135"/>
      <c r="CO17" s="203"/>
      <c r="CP17" s="203"/>
      <c r="CQ17" s="15"/>
      <c r="CR17" s="15"/>
      <c r="CS17" s="15"/>
      <c r="CT17" s="15"/>
      <c r="CU17" s="15"/>
      <c r="CV17" s="15"/>
      <c r="CW17" s="15"/>
    </row>
    <row r="18" spans="2:101" x14ac:dyDescent="0.25">
      <c r="B18" s="292" t="s">
        <v>643</v>
      </c>
      <c r="C18" s="361"/>
      <c r="D18" s="293"/>
      <c r="E18" s="293"/>
      <c r="F18" s="293"/>
      <c r="G18" s="347"/>
      <c r="H18" s="347"/>
      <c r="I18" s="293"/>
      <c r="J18" s="293"/>
      <c r="K18" s="362"/>
      <c r="L18" s="385"/>
      <c r="M18" s="361"/>
      <c r="N18" s="293"/>
      <c r="O18" s="293"/>
      <c r="P18" s="293"/>
      <c r="Q18" s="347"/>
      <c r="R18" s="347"/>
      <c r="S18" s="293"/>
      <c r="T18" s="293"/>
      <c r="U18" s="362"/>
      <c r="V18" s="385"/>
      <c r="W18" s="398"/>
      <c r="X18" s="373"/>
      <c r="Y18" s="373"/>
      <c r="Z18" s="373"/>
      <c r="AA18" s="373"/>
      <c r="AB18" s="373"/>
      <c r="AC18" s="373"/>
      <c r="AD18" s="373"/>
      <c r="AE18" s="399"/>
      <c r="AF18" s="385"/>
      <c r="AG18" s="361"/>
      <c r="AH18" s="293"/>
      <c r="AI18" s="293"/>
      <c r="AJ18" s="293"/>
      <c r="AK18" s="293"/>
      <c r="AL18" s="293"/>
      <c r="AM18" s="293"/>
      <c r="AN18" s="293"/>
      <c r="AO18" s="362"/>
      <c r="AP18" s="385"/>
      <c r="AQ18" s="361"/>
      <c r="AR18" s="293"/>
      <c r="AS18" s="293"/>
      <c r="AT18" s="293"/>
      <c r="AU18" s="293"/>
      <c r="AV18" s="293"/>
      <c r="AW18" s="293"/>
      <c r="AX18" s="293"/>
      <c r="AY18" s="362"/>
      <c r="AZ18" s="385"/>
      <c r="BA18" s="293"/>
      <c r="BB18" s="293"/>
      <c r="BC18" s="293"/>
      <c r="BD18" s="293"/>
      <c r="BE18" s="293"/>
      <c r="BF18" s="293"/>
      <c r="BG18" s="293"/>
      <c r="BH18" s="293"/>
      <c r="BI18" s="293"/>
      <c r="BJ18" s="385"/>
      <c r="BK18" s="293"/>
      <c r="BL18" s="293"/>
      <c r="BM18" s="293"/>
      <c r="BN18" s="293"/>
      <c r="BO18" s="293"/>
      <c r="BP18" s="293"/>
      <c r="BQ18" s="293"/>
      <c r="BR18" s="293"/>
      <c r="BS18" s="293"/>
      <c r="BT18" s="385"/>
      <c r="BU18" s="293"/>
      <c r="BV18" s="293"/>
      <c r="BW18" s="293"/>
      <c r="BX18" s="293"/>
      <c r="BY18" s="293"/>
      <c r="BZ18" s="293"/>
      <c r="CA18" s="293"/>
      <c r="CB18" s="293"/>
      <c r="CC18" s="293"/>
      <c r="CD18" s="385"/>
      <c r="CE18" s="293"/>
      <c r="CF18" s="293"/>
      <c r="CG18" s="293"/>
      <c r="CH18" s="293"/>
      <c r="CI18" s="293"/>
      <c r="CJ18" s="293"/>
      <c r="CK18" s="293"/>
      <c r="CL18" s="293"/>
      <c r="CM18" s="293"/>
      <c r="CN18" s="385"/>
      <c r="CO18" s="373"/>
      <c r="CP18" s="373"/>
      <c r="CQ18" s="373"/>
      <c r="CR18" s="373"/>
      <c r="CS18" s="373"/>
      <c r="CT18" s="373"/>
      <c r="CU18" s="373"/>
      <c r="CV18" s="373"/>
      <c r="CW18" s="373"/>
    </row>
    <row r="19" spans="2:101" x14ac:dyDescent="0.25">
      <c r="B19" s="205" t="s">
        <v>586</v>
      </c>
      <c r="C19" s="363">
        <f t="array" ref="C19">MEDIAN(_xlfn._xlws.FILTER(Table9[Income per beneficiary (USD)], (Table9[Income per beneficiary (USD)]&gt;0)*(Table9[Country Income Level]="Low-Income")))</f>
        <v>154.28601015043586</v>
      </c>
      <c r="D19" s="202">
        <f t="array" ref="D19">AVERAGE(_xlfn._xlws.FILTER(Table9[Income per beneficiary (USD)], (Table9[Income per beneficiary (USD)]&gt;0)*(Table9[Country Income Level]="Low-Income")))</f>
        <v>250.80971214545696</v>
      </c>
      <c r="E19" s="15">
        <f>COUNTIFS(Table9[Income per beneficiary (USD)],"&gt;0", Table9[Country Income Level],"Low-Income")</f>
        <v>12</v>
      </c>
      <c r="F19" s="202">
        <f t="array" ref="F19">_xlfn.LET(
_xlpm.data,_xlfn._xlws.FILTER(
Table9[Income per beneficiary (USD)],
(Table9[Income per beneficiary (USD)]&gt;0)*
(Table9[Country Income Level]="Low-Income")
),
MEDIAN(ABS(_xlpm.data-MEDIAN(_xlpm.data)))
)</f>
        <v>111.74471773476697</v>
      </c>
      <c r="G19" s="195">
        <f>F19/C19</f>
        <v>0.72426992976103799</v>
      </c>
      <c r="H19" s="195">
        <f t="array" ref="H19">_xlfn.LET(
_xlpm.data,_xlfn._xlws.FILTER(
Table9[Income per beneficiary (USD)],
(Table9[Income per beneficiary (USD)]&gt;0)*
(Table9[Country Income Level]="Low-Income")
),
_xlpm.med,MEDIAN(_xlpm.data),
_xlpm.mad,MEDIAN(ABS(_xlpm.data-_xlpm.med)),
SUMPRODUCT(--(ABS(_xlpm.data-_xlpm.med)&gt;2.5*_xlpm.mad))/COUNT(_xlpm.data)
)</f>
        <v>0.16666666666666666</v>
      </c>
      <c r="I19" s="15">
        <f t="array" ref="I19">_xlfn.LET(
_xlpm.data,_xlfn._xlws.FILTER(
Table9[Income per beneficiary (USD)],
(Table9[Income per beneficiary (USD)]&gt;0)*
(Table9[Country Income Level]="Low-Income")
),
_xlpm.med,MEDIAN(_xlpm.data),
_xlpm.mad,MEDIAN(ABS(_xlpm.data-_xlpm.med)),
SUMPRODUCT(--(ABS(_xlpm.data-_xlpm.med)&gt;2.5*_xlpm.mad))
)</f>
        <v>2</v>
      </c>
      <c r="J19" s="202">
        <f t="array" ref="J19">_xlfn.LET(
_xlpm.data,_xlfn._xlws.FILTER(
Table9[Income per beneficiary (USD)],
(Table9[Income per beneficiary (USD)]&gt;0)*
(Table9[Country Income Level]="Low-Income")
),
_xlpm.med,MEDIAN(_xlpm.data),
_xlpm.mad,MEDIAN(ABS(_xlpm.data-_xlpm.med)),
AVERAGE(_xlfn._xlws.FILTER(_xlpm.data,ABS(_xlpm.data-_xlpm.med)&lt;=2.5*_xlpm.mad))
)</f>
        <v>159.72542083458265</v>
      </c>
      <c r="K19" s="364">
        <f>E19-I19</f>
        <v>10</v>
      </c>
      <c r="L19" s="192"/>
      <c r="M19" s="370">
        <f t="array" ref="M19">MEDIAN(
_xlfn._xlws.FILTER(
Table9[Normalised Income Impact Ratio],
ISNUMBER(Table9[Normalised Income Impact Ratio])*
(Table9[Normalised Income Impact Ratio]&gt;0)*
(Table9[Country Income Level]="Low-Income")
)
)</f>
        <v>4.0204608987968862E-2</v>
      </c>
      <c r="N19" s="203">
        <f t="array" ref="N19">AVERAGE(
_xlfn._xlws.FILTER(
Table9[Normalised Income Impact Ratio],
ISNUMBER(Table9[Normalised Income Impact Ratio])*
(Table9[Normalised Income Impact Ratio]&gt;0)*
(Table9[Country Income Level]="Low-Income")
)
)</f>
        <v>0.12864310778802734</v>
      </c>
      <c r="O19" s="15">
        <f>COUNTIFS(
Table9[Normalised Income Impact Ratio],"&gt;0",
Table9[Country Income Level],"Low-Income"
)</f>
        <v>11</v>
      </c>
      <c r="P19" s="203">
        <f t="array" ref="P19">_xlfn.LET(
_xlpm.data,_xlfn._xlws.FILTER(
Table9[Normalised Income Impact Ratio],
ISNUMBER(Table9[Normalised Income Impact Ratio])*
(Table9[Normalised Income Impact Ratio]&gt;0)*
(Table9[Country Income Level]="Low-Income")
),
MEDIAN(ABS(_xlpm.data-MEDIAN(_xlpm.data)))
)</f>
        <v>2.2750503161404229E-2</v>
      </c>
      <c r="Q19" s="195">
        <f>P19/M19</f>
        <v>0.56586803687637566</v>
      </c>
      <c r="R19" s="195">
        <f t="array" ref="R19">_xlfn.LET(
_xlpm.data,_xlfn._xlws.FILTER(
Table9[Normalised Income Impact Ratio],
ISNUMBER(Table9[Normalised Income Impact Ratio])*
(Table9[Normalised Income Impact Ratio]&gt;0)*
(Table9[Country Income Level]="Low-Income")
),
_xlpm.med,MEDIAN(_xlpm.data),
_xlpm.mad,MEDIAN(ABS(_xlpm.data-_xlpm.med)),
SUMPRODUCT(--(ABS(_xlpm.data-_xlpm.med)&gt;2.5*_xlpm.mad))/COUNT(_xlpm.data)
)</f>
        <v>0.45454545454545453</v>
      </c>
      <c r="S19" s="15">
        <f t="array" ref="S19">_xlfn.LET(
_xlpm.data,_xlfn._xlws.FILTER(
Table9[Normalised Income Impact Ratio],
ISNUMBER(Table9[Normalised Income Impact Ratio])*
(Table9[Normalised Income Impact Ratio]&gt;0)*
(Table9[Country Income Level]="Low-Income")
),
_xlpm.med,MEDIAN(_xlpm.data),
_xlpm.mad,MEDIAN(ABS(_xlpm.data-_xlpm.med)),
SUMPRODUCT(--(ABS(_xlpm.data-_xlpm.med)&gt;2.5*_xlpm.mad))
)</f>
        <v>5</v>
      </c>
      <c r="T19" s="203">
        <f t="array" ref="T19">_xlfn.LET(
_xlpm.data,_xlfn._xlws.FILTER(
Table9[Normalised Income Impact Ratio],
ISNUMBER(Table9[Normalised Income Impact Ratio])*
(Table9[Normalised Income Impact Ratio]&gt;0)*
(Table9[Country Income Level]="Low-Income")
),
_xlpm.med,MEDIAN(_xlpm.data),
_xlpm.mad,MEDIAN(ABS(_xlpm.data-_xlpm.med)),
AVERAGE(_xlfn._xlws.FILTER(_xlpm.data,ABS(_xlpm.data-_xlpm.med)&lt;=2.5*_xlpm.mad))
)</f>
        <v>2.6261486063480204E-2</v>
      </c>
      <c r="U19" s="232">
        <f>O19-S19</f>
        <v>6</v>
      </c>
      <c r="V19" s="191"/>
      <c r="W19" s="370">
        <f t="array" ref="W19">MEDIAN(
_xlfn._xlws.FILTER(
Table9[Private Sector Investment (USD) / Project cost ],
ISNUMBER(Table9[Private Sector Investment (USD) / Project cost ])*
(Table9[Private Sector Investment (USD) / Project cost ]&gt;0)*
(Table9[Country Income Level]="Low-Income")
)
)</f>
        <v>0.31970482897384311</v>
      </c>
      <c r="X19" s="203">
        <f t="array" ref="X19">AVERAGE(
_xlfn._xlws.FILTER(
Table9[Private Sector Investment (USD) / Project cost ],
ISNUMBER(Table9[Private Sector Investment (USD) / Project cost ])*
(Table9[Private Sector Investment (USD) / Project cost ]&gt;0)*
(Table9[Country Income Level]="Low-Income")
)
)</f>
        <v>0.87104922300326193</v>
      </c>
      <c r="Y19" s="15">
        <f>COUNTIFS(
Table9[Private Sector Investment (USD) / Project cost ],"&gt;0",
Table9[Country Income Level],"Low-Income"
)</f>
        <v>21</v>
      </c>
      <c r="Z19" s="203">
        <f t="array" ref="Z19">_xlfn.LET(
_xlpm.data,_xlfn._xlws.FILTER(
Table9[Private Sector Investment (USD) / Project cost ],
ISNUMBER(Table9[Private Sector Investment (USD) / Project cost ])*
(Table9[Private Sector Investment (USD) / Project cost ]&gt;0)*
(Table9[Country Income Level]="Low-Income")
),
MEDIAN(ABS(_xlpm.data-MEDIAN(_xlpm.data)))
)</f>
        <v>0.2287957380647522</v>
      </c>
      <c r="AA19" s="195">
        <f>Z19/W19</f>
        <v>0.71564680082912135</v>
      </c>
      <c r="AB19" s="195">
        <f t="array" ref="AB19">_xlfn.LET(
_xlpm.data,_xlfn._xlws.FILTER(
Table9[Private Sector Investment (USD) / Project cost ],
ISNUMBER(Table9[Private Sector Investment (USD) / Project cost ])*
(Table9[Private Sector Investment (USD) / Project cost ]&gt;0)*
(Table9[Country Income Level]="Low-Income")
),
_xlpm.med,MEDIAN(_xlpm.data),
_xlpm.mad,MEDIAN(ABS(_xlpm.data-_xlpm.med)),
SUMPRODUCT(--(ABS(_xlpm.data-_xlpm.med)&gt;2.5*_xlpm.mad))/COUNT(_xlpm.data)
)</f>
        <v>0.23809523809523808</v>
      </c>
      <c r="AC19" s="15">
        <f t="array" ref="AC19">_xlfn.LET(
_xlpm.data,_xlfn._xlws.FILTER(
Table9[Private Sector Investment (USD) / Project cost ],
ISNUMBER(Table9[Private Sector Investment (USD) / Project cost ])*
(Table9[Private Sector Investment (USD) / Project cost ]&gt;0)*
(Table9[Country Income Level]="Low-Income")
),
_xlpm.med,MEDIAN(_xlpm.data),
_xlpm.mad,MEDIAN(ABS(_xlpm.data-_xlpm.med)),
SUMPRODUCT(--(ABS(_xlpm.data-_xlpm.med)&gt;2.5*_xlpm.mad))
)</f>
        <v>5</v>
      </c>
      <c r="AD19" s="203">
        <f t="array" ref="AD19">_xlfn.LET(
_xlpm.data,_xlfn._xlws.FILTER(
Table9[Private Sector Investment (USD) / Project cost ],
ISNUMBER(Table9[Private Sector Investment (USD) / Project cost ])*
(Table9[Private Sector Investment (USD) / Project cost ]&gt;0)*
(Table9[Country Income Level]="Low-Income")
),
_xlpm.med,MEDIAN(_xlpm.data),
_xlpm.mad,MEDIAN(ABS(_xlpm.data-_xlpm.med)),
AVERAGE(_xlfn._xlws.FILTER(_xlpm.data,ABS(_xlpm.data-_xlpm.med)&lt;=2.5*_xlpm.mad))
)</f>
        <v>0.29119939462637839</v>
      </c>
      <c r="AE19" s="364">
        <f>Y19-AC19</f>
        <v>16</v>
      </c>
      <c r="AF19" s="192"/>
      <c r="AG19" s="370">
        <f t="array" ref="AG19">MEDIAN(
_xlfn._xlws.FILTER(
Table9[Private Sector Revenues Generated (USD) / Project cost],
ISNUMBER(Table9[Private Sector Revenues Generated (USD) / Project cost])*
(Table9[Private Sector Revenues Generated (USD) / Project cost]&gt;0)*
(Table9[Country Income Level]="Low-Income")
)
)</f>
        <v>1.1209320865687951</v>
      </c>
      <c r="AH19" s="203">
        <f t="array" ref="AH19">AVERAGE(
_xlfn._xlws.FILTER(
Table9[Private Sector Revenues Generated (USD) / Project cost],
ISNUMBER(Table9[Private Sector Revenues Generated (USD) / Project cost])*
(Table9[Private Sector Revenues Generated (USD) / Project cost]&gt;0)*
(Table9[Country Income Level]="Low-Income")
)
)</f>
        <v>2.3332542906804625</v>
      </c>
      <c r="AI19" s="15">
        <f>COUNTIFS(
Table9[Private Sector Revenues Generated (USD) / Project cost],"&gt;0",
Table9[Country Income Level],"Low-Income"
)</f>
        <v>17</v>
      </c>
      <c r="AJ19" s="203">
        <f t="array" ref="AJ19">_xlfn.LET(
_xlpm.data,_xlfn._xlws.FILTER(
Table9[Private Sector Revenues Generated (USD) / Project cost],
ISNUMBER(Table9[Private Sector Revenues Generated (USD) / Project cost])*
(Table9[Private Sector Revenues Generated (USD) / Project cost]&gt;0)*
(Table9[Country Income Level]="Low-Income")
),
MEDIAN(ABS(_xlpm.data-MEDIAN(_xlpm.data)))
)</f>
        <v>0.80581570015152693</v>
      </c>
      <c r="AK19" s="343">
        <f>AJ19/AG19</f>
        <v>0.71888003725377481</v>
      </c>
      <c r="AL19" s="195">
        <f t="array" ref="AL19">_xlfn.LET(
_xlpm.data,_xlfn._xlws.FILTER(
Table9[Private Sector Revenues Generated (USD) / Project cost],
ISNUMBER(Table9[Private Sector Revenues Generated (USD) / Project cost])*
(Table9[Private Sector Revenues Generated (USD) / Project cost]&gt;0)*
(Table9[Country Income Level]="Low-Income")
),
_xlpm.med,MEDIAN(_xlpm.data),
_xlpm.mad,MEDIAN(ABS(_xlpm.data-_xlpm.med)),
SUMPRODUCT(--(ABS(_xlpm.data-_xlpm.med)&gt;2.5*_xlpm.mad))/COUNT(_xlpm.data)
)</f>
        <v>0.11764705882352941</v>
      </c>
      <c r="AM19" s="15">
        <f t="array" ref="AM19">_xlfn.LET(
_xlpm.data,_xlfn._xlws.FILTER(
Table9[Private Sector Revenues Generated (USD) / Project cost],
ISNUMBER(Table9[Private Sector Revenues Generated (USD) / Project cost])*
(Table9[Private Sector Revenues Generated (USD) / Project cost]&gt;0)*
(Table9[Country Income Level]="Low-Income")
),
_xlpm.med,MEDIAN(_xlpm.data),
_xlpm.mad,MEDIAN(ABS(_xlpm.data-_xlpm.med)),
SUMPRODUCT(--(ABS(_xlpm.data-_xlpm.med)&gt;2.5*_xlpm.mad))
)</f>
        <v>2</v>
      </c>
      <c r="AN19" s="203">
        <f t="array" ref="AN19">_xlfn.LET(
_xlpm.data,_xlfn._xlws.FILTER(
Table9[Private Sector Revenues Generated (USD) / Project cost],
ISNUMBER(Table9[Private Sector Revenues Generated (USD) / Project cost])*
(Table9[Private Sector Revenues Generated (USD) / Project cost]&gt;0)*
(Table9[Country Income Level]="Low-Income")
),
_xlpm.med,MEDIAN(_xlpm.data),
_xlpm.mad,MEDIAN(ABS(_xlpm.data-_xlpm.med)),
AVERAGE(_xlfn._xlws.FILTER(_xlpm.data,ABS(_xlpm.data-_xlpm.med)&lt;=2.5*_xlpm.mad))
)</f>
        <v>0.9812408924125855</v>
      </c>
      <c r="AO19" s="232">
        <f>AI19-AM19</f>
        <v>15</v>
      </c>
      <c r="AP19" s="191"/>
      <c r="AQ19" s="370">
        <f t="array" ref="AQ19">MEDIAN(
_xlfn._xlws.FILTER(
Table9[Export Revenue Generated (USD) /Project Cost],
ISNUMBER(Table9[Export Revenue Generated (USD) /Project Cost])*
(Table9[Export Revenue Generated (USD) /Project Cost]&gt;0)*
(Table9[Country Income Level]="Low-Income")
)
)</f>
        <v>0.10208563993256134</v>
      </c>
      <c r="AR19" s="203">
        <f t="array" ref="AR19">AVERAGE(
_xlfn._xlws.FILTER(
Table9[Export Revenue Generated (USD) /Project Cost],
ISNUMBER(Table9[Export Revenue Generated (USD) /Project Cost])*
(Table9[Export Revenue Generated (USD) /Project Cost]&gt;0)*
(Table9[Country Income Level]="Low-Income")
)
)</f>
        <v>0.13440879336257158</v>
      </c>
      <c r="AS19" s="15">
        <f>COUNTIFS(
Table9[Export Revenue Generated (USD) /Project Cost],"&gt;0",
Table9[Country Income Level],"Low-Income"
)</f>
        <v>6</v>
      </c>
      <c r="AT19" s="203">
        <f t="array" ref="AT19">_xlfn.LET(
_xlpm.data,_xlfn._xlws.FILTER(
Table9[Export Revenue Generated (USD) /Project Cost],
ISNUMBER(Table9[Export Revenue Generated (USD) /Project Cost])*
(Table9[Export Revenue Generated (USD) /Project Cost]&gt;0)*
(Table9[Country Income Level]="Low-Income")
),
MEDIAN(ABS(_xlpm.data-MEDIAN(_xlpm.data)))
)</f>
        <v>3.4863636363636347E-2</v>
      </c>
      <c r="AU19" s="195">
        <f>AT19/AQ19</f>
        <v>0.34151361921880069</v>
      </c>
      <c r="AV19" s="195">
        <f t="array" ref="AV19">_xlfn.LET(
_xlpm.data,_xlfn._xlws.FILTER(
Table9[Export Revenue Generated (USD) /Project Cost],
ISNUMBER(Table9[Export Revenue Generated (USD) /Project Cost])*
(Table9[Export Revenue Generated (USD) /Project Cost]&gt;0)*
(Table9[Country Income Level]="Low-Income")
),
_xlpm.med,MEDIAN(_xlpm.data),
_xlpm.mad,MEDIAN(ABS(_xlpm.data-_xlpm.med)),
SUMPRODUCT(--(ABS(_xlpm.data-_xlpm.med)&gt;2.5*_xlpm.mad))/COUNT(_xlpm.data)
)</f>
        <v>0.33333333333333331</v>
      </c>
      <c r="AW19" s="15">
        <f t="array" ref="AW19">_xlfn.LET(
_xlpm.data,_xlfn._xlws.FILTER(
Table9[Export Revenue Generated (USD) /Project Cost],
ISNUMBER(Table9[Export Revenue Generated (USD) /Project Cost])*
(Table9[Export Revenue Generated (USD) /Project Cost]&gt;0)*
(Table9[Country Income Level]="Low-Income")
),
_xlpm.med,MEDIAN(_xlpm.data),
_xlpm.mad,MEDIAN(ABS(_xlpm.data-_xlpm.med)),
SUMPRODUCT(--(ABS(_xlpm.data-_xlpm.med)&gt;2.5*_xlpm.mad))
)</f>
        <v>2</v>
      </c>
      <c r="AX19" s="203">
        <f t="array" ref="AX19">_xlfn.LET(
_xlpm.data,_xlfn._xlws.FILTER(
Table9[Export Revenue Generated (USD) /Project Cost],
ISNUMBER(Table9[Export Revenue Generated (USD) /Project Cost])*
(Table9[Export Revenue Generated (USD) /Project Cost]&gt;0)*
(Table9[Country Income Level]="Low-Income")
),
_xlpm.med,MEDIAN(_xlpm.data),
_xlpm.mad,MEDIAN(ABS(_xlpm.data-_xlpm.med)),
AVERAGE(_xlfn._xlws.FILTER(_xlpm.data,ABS(_xlpm.data-_xlpm.med)&lt;=2.5*_xlpm.mad))
)</f>
        <v>0.11392918360264429</v>
      </c>
      <c r="AY19" s="232">
        <f>AS19-AW19</f>
        <v>4</v>
      </c>
      <c r="AZ19" s="142"/>
      <c r="BA19" s="202"/>
      <c r="BB19" s="202"/>
      <c r="BC19" s="15"/>
      <c r="BD19" s="15"/>
      <c r="BE19" s="15"/>
      <c r="BF19" s="15"/>
      <c r="BG19" s="15"/>
      <c r="BH19" s="15"/>
      <c r="BI19" s="15"/>
      <c r="BJ19" s="15"/>
      <c r="BK19" s="15"/>
      <c r="BL19" s="15"/>
      <c r="BM19" s="15"/>
      <c r="BN19" s="15"/>
      <c r="BO19" s="15"/>
      <c r="BP19" s="15"/>
      <c r="BQ19" s="15"/>
      <c r="BR19" s="15"/>
      <c r="BS19" s="15"/>
      <c r="BT19" s="15"/>
      <c r="BU19" s="202"/>
      <c r="BV19" s="202"/>
      <c r="BW19" s="15"/>
      <c r="BX19" s="15"/>
      <c r="BY19" s="15"/>
      <c r="BZ19" s="15"/>
      <c r="CA19" s="15"/>
      <c r="CB19" s="15"/>
      <c r="CC19" s="15"/>
      <c r="CD19" s="15"/>
      <c r="CE19" s="15"/>
      <c r="CF19" s="15"/>
      <c r="CG19" s="15"/>
      <c r="CH19" s="15"/>
      <c r="CI19" s="15"/>
      <c r="CJ19" s="15"/>
      <c r="CK19" s="15"/>
      <c r="CL19" s="15"/>
      <c r="CM19" s="15"/>
      <c r="CN19" s="135"/>
      <c r="CO19" s="203"/>
      <c r="CP19" s="203"/>
      <c r="CQ19" s="15"/>
      <c r="CR19" s="15"/>
      <c r="CS19" s="15"/>
      <c r="CT19" s="15"/>
      <c r="CU19" s="15"/>
      <c r="CV19" s="15"/>
      <c r="CW19" s="15"/>
    </row>
    <row r="20" spans="2:101" x14ac:dyDescent="0.25">
      <c r="B20" s="205" t="s">
        <v>583</v>
      </c>
      <c r="C20" s="363">
        <f t="array" ref="C20">MEDIAN(_xlfn._xlws.FILTER(Table9[Income per beneficiary (USD)], (Table9[Income per beneficiary (USD)]&gt;0)*(Table9[Country Income Level]="Lower-Middle Income")))</f>
        <v>191.32203389830511</v>
      </c>
      <c r="D20" s="202">
        <f t="array" ref="D20">AVERAGE(_xlfn._xlws.FILTER(Table9[Income per beneficiary (USD)], (Table9[Income per beneficiary (USD)]&gt;0)*(Table9[Country Income Level]="Lower-Middle Income")))</f>
        <v>608.00698818317051</v>
      </c>
      <c r="E20" s="15">
        <f>COUNTIFS(Table9[Income per beneficiary (USD)],"&gt;0", Table9[Country Income Level],"Lower-Middle Income")</f>
        <v>21</v>
      </c>
      <c r="F20" s="202">
        <f t="array" ref="F20">_xlfn.LET(
_xlpm.data,_xlfn._xlws.FILTER(
Table9[Income per beneficiary (USD)],
(Table9[Income per beneficiary (USD)]&gt;0)*
(Table9[Country Income Level]="Lower-Middle Income")
),
MEDIAN(ABS(_xlpm.data-MEDIAN(_xlpm.data)))
)</f>
        <v>139.41784178449768</v>
      </c>
      <c r="G20" s="195">
        <f>F20/C20</f>
        <v>0.72870771308339499</v>
      </c>
      <c r="H20" s="195">
        <f t="array" ref="H20">_xlfn.LET(
_xlpm.data,_xlfn._xlws.FILTER(
Table9[Income per beneficiary (USD)],
(Table9[Income per beneficiary (USD)]&gt;0)*
(Table9[Country Income Level]="Lower-Middle Income")
),
_xlpm.med,MEDIAN(_xlpm.data),
_xlpm.mad,MEDIAN(ABS(_xlpm.data-_xlpm.med)),
SUMPRODUCT(--(ABS(_xlpm.data-_xlpm.med)&gt;2.5*_xlpm.mad))/COUNT(_xlpm.data)
)</f>
        <v>0.33333333333333331</v>
      </c>
      <c r="I20" s="15">
        <f t="array" ref="I20">_xlfn.LET(
_xlpm.data,_xlfn._xlws.FILTER(
Table9[Income per beneficiary (USD)],
(Table9[Income per beneficiary (USD)]&gt;0)*
(Table9[Country Income Level]="Lower-Middle Income")
),
_xlpm.med,MEDIAN(_xlpm.data),
_xlpm.mad,MEDIAN(ABS(_xlpm.data-_xlpm.med)),
SUMPRODUCT(--(ABS(_xlpm.data-_xlpm.med)&gt;2.5*_xlpm.mad))
)</f>
        <v>7</v>
      </c>
      <c r="J20" s="202">
        <f t="array" ref="J20">_xlfn.LET(
_xlpm.data,_xlfn._xlws.FILTER(
Table9[Income per beneficiary (USD)],
(Table9[Income per beneficiary (USD)]&gt;0)*
(Table9[Country Income Level]="Lower-Middle Income")
),
_xlpm.med,MEDIAN(_xlpm.data),
_xlpm.mad,MEDIAN(ABS(_xlpm.data-_xlpm.med)),
AVERAGE(_xlfn._xlws.FILTER(_xlpm.data,ABS(_xlpm.data-_xlpm.med)&lt;=2.5*_xlpm.mad))
)</f>
        <v>176.82506634490929</v>
      </c>
      <c r="K20" s="364">
        <f>E20-I20</f>
        <v>14</v>
      </c>
      <c r="L20" s="192"/>
      <c r="M20" s="370">
        <f t="array" ref="M20">MEDIAN(
_xlfn._xlws.FILTER(
Table9[Normalised Income Impact Ratio],
ISNUMBER(Table9[Normalised Income Impact Ratio])*
(Table9[Normalised Income Impact Ratio]&gt;0)*
(Table9[Country Income Level]="Lower-Middle Income")
)
)</f>
        <v>2.6493124495294999E-2</v>
      </c>
      <c r="N20" s="203">
        <f t="array" ref="N20">AVERAGE(
_xlfn._xlws.FILTER(
Table9[Normalised Income Impact Ratio],
ISNUMBER(Table9[Normalised Income Impact Ratio])*
(Table9[Normalised Income Impact Ratio]&gt;0)*
(Table9[Country Income Level]="Lower-Middle Income")
)
)</f>
        <v>7.6219569692980257E-2</v>
      </c>
      <c r="O20" s="15">
        <f>COUNTIFS(
Table9[Normalised Income Impact Ratio],"&gt;0",
Table9[Country Income Level],"Lower-Middle Income"
)</f>
        <v>21</v>
      </c>
      <c r="P20" s="203">
        <f t="array" ref="P20">_xlfn.LET(
_xlpm.data,_xlfn._xlws.FILTER(
Table9[Normalised Income Impact Ratio],
ISNUMBER(Table9[Normalised Income Impact Ratio])*
(Table9[Normalised Income Impact Ratio]&gt;0)*
(Table9[Country Income Level]="Lower-Middle Income")
),
MEDIAN(ABS(_xlpm.data-MEDIAN(_xlpm.data)))
)</f>
        <v>1.8536135247983171E-2</v>
      </c>
      <c r="Q20" s="195">
        <f>P20/M20</f>
        <v>0.69965833026886137</v>
      </c>
      <c r="R20" s="195">
        <f t="array" ref="R20">_xlfn.LET(
_xlpm.data,_xlfn._xlws.FILTER(
Table9[Normalised Income Impact Ratio],
ISNUMBER(Table9[Normalised Income Impact Ratio])*
(Table9[Normalised Income Impact Ratio]&gt;0)*
(Table9[Country Income Level]="Lower-Middle Income")
),
_xlpm.med,MEDIAN(_xlpm.data),
_xlpm.mad,MEDIAN(ABS(_xlpm.data-_xlpm.med)),
SUMPRODUCT(--(ABS(_xlpm.data-_xlpm.med)&gt;2.5*_xlpm.mad))/COUNT(_xlpm.data)
)</f>
        <v>0.2857142857142857</v>
      </c>
      <c r="S20" s="15">
        <f t="array" ref="S20">_xlfn.LET(
_xlpm.data,_xlfn._xlws.FILTER(
Table9[Normalised Income Impact Ratio],
ISNUMBER(Table9[Normalised Income Impact Ratio])*
(Table9[Normalised Income Impact Ratio]&gt;0)*
(Table9[Country Income Level]="Lower-Middle Income")
),
_xlpm.med,MEDIAN(_xlpm.data),
_xlpm.mad,MEDIAN(ABS(_xlpm.data-_xlpm.med)),
SUMPRODUCT(--(ABS(_xlpm.data-_xlpm.med)&gt;2.5*_xlpm.mad))
)</f>
        <v>6</v>
      </c>
      <c r="T20" s="203">
        <f t="array" ref="T20">_xlfn.LET(
_xlpm.data,_xlfn._xlws.FILTER(
Table9[Normalised Income Impact Ratio],
ISNUMBER(Table9[Normalised Income Impact Ratio])*
(Table9[Normalised Income Impact Ratio]&gt;0)*
(Table9[Country Income Level]="Lower-Middle Income")
),
_xlpm.med,MEDIAN(_xlpm.data),
_xlpm.mad,MEDIAN(ABS(_xlpm.data-_xlpm.med)),
AVERAGE(_xlfn._xlws.FILTER(_xlpm.data,ABS(_xlpm.data-_xlpm.med)&lt;=2.5*_xlpm.mad))
)</f>
        <v>2.3891690454265181E-2</v>
      </c>
      <c r="U20" s="232">
        <f>O20-S20</f>
        <v>15</v>
      </c>
      <c r="V20" s="191"/>
      <c r="W20" s="370">
        <f t="array" ref="W20">MEDIAN(
_xlfn._xlws.FILTER(
Table9[Private Sector Investment (USD) / Project cost ],
ISNUMBER(Table9[Private Sector Investment (USD) / Project cost ])*
(Table9[Private Sector Investment (USD) / Project cost ]&gt;0)*
(Table9[Country Income Level]="Lower-Middle Income")
)
)</f>
        <v>0.48347128953771279</v>
      </c>
      <c r="X20" s="203">
        <f t="array" ref="X20">AVERAGE(
_xlfn._xlws.FILTER(
Table9[Private Sector Investment (USD) / Project cost ],
ISNUMBER(Table9[Private Sector Investment (USD) / Project cost ])*
(Table9[Private Sector Investment (USD) / Project cost ]&gt;0)*
(Table9[Country Income Level]="Lower-Middle Income")
)
)</f>
        <v>2.233384209280294</v>
      </c>
      <c r="Y20" s="15">
        <f>COUNTIFS(
Table9[Private Sector Investment (USD) / Project cost ],"&gt;0",
Table9[Country Income Level],"Lower-Middle Income"
)</f>
        <v>22</v>
      </c>
      <c r="Z20" s="203">
        <f t="array" ref="Z20">_xlfn.LET(
_xlpm.data,_xlfn._xlws.FILTER(
Table9[Private Sector Investment (USD) / Project cost ],
ISNUMBER(Table9[Private Sector Investment (USD) / Project cost ])*
(Table9[Private Sector Investment (USD) / Project cost ]&gt;0)*
(Table9[Country Income Level]="Lower-Middle Income")
),
MEDIAN(ABS(_xlpm.data-MEDIAN(_xlpm.data)))
)</f>
        <v>0.39278394831454311</v>
      </c>
      <c r="AA20" s="195">
        <f>Z20/W20</f>
        <v>0.81242455718542583</v>
      </c>
      <c r="AB20" s="195">
        <f t="array" ref="AB20">_xlfn.LET(
_xlpm.data,_xlfn._xlws.FILTER(
Table9[Private Sector Investment (USD) / Project cost ],
ISNUMBER(Table9[Private Sector Investment (USD) / Project cost ])*
(Table9[Private Sector Investment (USD) / Project cost ]&gt;0)*
(Table9[Country Income Level]="Lower-Middle Income")
),
_xlpm.med,MEDIAN(_xlpm.data),
_xlpm.mad,MEDIAN(ABS(_xlpm.data-_xlpm.med)),
SUMPRODUCT(--(ABS(_xlpm.data-_xlpm.med)&gt;2.5*_xlpm.mad))/COUNT(_xlpm.data)
)</f>
        <v>0.18181818181818182</v>
      </c>
      <c r="AC20" s="15">
        <f t="array" ref="AC20">_xlfn.LET(
_xlpm.data,_xlfn._xlws.FILTER(
Table9[Private Sector Investment (USD) / Project cost ],
ISNUMBER(Table9[Private Sector Investment (USD) / Project cost ])*
(Table9[Private Sector Investment (USD) / Project cost ]&gt;0)*
(Table9[Country Income Level]="Lower-Middle Income")
),
_xlpm.med,MEDIAN(_xlpm.data),
_xlpm.mad,MEDIAN(ABS(_xlpm.data-_xlpm.med)),
SUMPRODUCT(--(ABS(_xlpm.data-_xlpm.med)&gt;2.5*_xlpm.mad))
)</f>
        <v>4</v>
      </c>
      <c r="AD20" s="203">
        <f t="array" ref="AD20">_xlfn.LET(
_xlpm.data,_xlfn._xlws.FILTER(
Table9[Private Sector Investment (USD) / Project cost ],
ISNUMBER(Table9[Private Sector Investment (USD) / Project cost ])*
(Table9[Private Sector Investment (USD) / Project cost ]&gt;0)*
(Table9[Country Income Level]="Lower-Middle Income")
),
_xlpm.med,MEDIAN(_xlpm.data),
_xlpm.mad,MEDIAN(ABS(_xlpm.data-_xlpm.med)),
AVERAGE(_xlfn._xlws.FILTER(_xlpm.data,ABS(_xlpm.data-_xlpm.med)&lt;=2.5*_xlpm.mad))
)</f>
        <v>0.45013482465486071</v>
      </c>
      <c r="AE20" s="364">
        <f>Y20-AC20</f>
        <v>18</v>
      </c>
      <c r="AF20" s="192"/>
      <c r="AG20" s="370">
        <f t="array" ref="AG20">MEDIAN(
_xlfn._xlws.FILTER(
Table9[Private Sector Revenues Generated (USD) / Project cost],
ISNUMBER(Table9[Private Sector Revenues Generated (USD) / Project cost])*
(Table9[Private Sector Revenues Generated (USD) / Project cost]&gt;0)*
(Table9[Country Income Level]="Lower-Middle Income")
)
)</f>
        <v>1.959925063457816</v>
      </c>
      <c r="AH20" s="203">
        <f t="array" ref="AH20">AVERAGE(
_xlfn._xlws.FILTER(
Table9[Private Sector Revenues Generated (USD) / Project cost],
ISNUMBER(Table9[Private Sector Revenues Generated (USD) / Project cost])*
(Table9[Private Sector Revenues Generated (USD) / Project cost]&gt;0)*
(Table9[Country Income Level]="Lower-Middle Income")
)
)</f>
        <v>4.1551942776728099</v>
      </c>
      <c r="AI20" s="15">
        <f>COUNTIFS(
Table9[Private Sector Revenues Generated (USD) / Project cost],"&gt;0",
Table9[Country Income Level],"Lower-Middle Income"
)</f>
        <v>21</v>
      </c>
      <c r="AJ20" s="203">
        <f t="array" ref="AJ20">_xlfn.LET(
_xlpm.data,_xlfn._xlws.FILTER(
Table9[Private Sector Revenues Generated (USD) / Project cost],
ISNUMBER(Table9[Private Sector Revenues Generated (USD) / Project cost])*
(Table9[Private Sector Revenues Generated (USD) / Project cost]&gt;0)*
(Table9[Country Income Level]="Lower-Middle Income")
),
MEDIAN(ABS(_xlpm.data-MEDIAN(_xlpm.data)))
)</f>
        <v>1.8730492419427693</v>
      </c>
      <c r="AK20" s="343">
        <f>AJ20/AG20</f>
        <v>0.95567390655141926</v>
      </c>
      <c r="AL20" s="195">
        <f t="array" ref="AL20">_xlfn.LET(
_xlpm.data,_xlfn._xlws.FILTER(
Table9[Private Sector Revenues Generated (USD) / Project cost],
ISNUMBER(Table9[Private Sector Revenues Generated (USD) / Project cost])*
(Table9[Private Sector Revenues Generated (USD) / Project cost]&gt;0)*
(Table9[Country Income Level]="Lower-Middle Income")
),
_xlpm.med,MEDIAN(_xlpm.data),
_xlpm.mad,MEDIAN(ABS(_xlpm.data-_xlpm.med)),
SUMPRODUCT(--(ABS(_xlpm.data-_xlpm.med)&gt;2.5*_xlpm.mad))/COUNT(_xlpm.data)
)</f>
        <v>0.23809523809523808</v>
      </c>
      <c r="AM20" s="15">
        <f t="array" ref="AM20">_xlfn.LET(
_xlpm.data,_xlfn._xlws.FILTER(
Table9[Private Sector Revenues Generated (USD) / Project cost],
ISNUMBER(Table9[Private Sector Revenues Generated (USD) / Project cost])*
(Table9[Private Sector Revenues Generated (USD) / Project cost]&gt;0)*
(Table9[Country Income Level]="Lower-Middle Income")
),
_xlpm.med,MEDIAN(_xlpm.data),
_xlpm.mad,MEDIAN(ABS(_xlpm.data-_xlpm.med)),
SUMPRODUCT(--(ABS(_xlpm.data-_xlpm.med)&gt;2.5*_xlpm.mad))
)</f>
        <v>5</v>
      </c>
      <c r="AN20" s="203">
        <f t="array" ref="AN20">_xlfn.LET(
_xlpm.data,_xlfn._xlws.FILTER(
Table9[Private Sector Revenues Generated (USD) / Project cost],
ISNUMBER(Table9[Private Sector Revenues Generated (USD) / Project cost])*
(Table9[Private Sector Revenues Generated (USD) / Project cost]&gt;0)*
(Table9[Country Income Level]="Lower-Middle Income")
),
_xlpm.med,MEDIAN(_xlpm.data),
_xlpm.mad,MEDIAN(ABS(_xlpm.data-_xlpm.med)),
AVERAGE(_xlfn._xlws.FILTER(_xlpm.data,ABS(_xlpm.data-_xlpm.med)&lt;=2.5*_xlpm.mad))
)</f>
        <v>1.266577466416499</v>
      </c>
      <c r="AO20" s="232">
        <f>AI20-AM20</f>
        <v>16</v>
      </c>
      <c r="AP20" s="191"/>
      <c r="AQ20" s="370">
        <f t="array" ref="AQ20">MEDIAN(
_xlfn._xlws.FILTER(
Table9[Export Revenue Generated (USD) /Project Cost],
ISNUMBER(Table9[Export Revenue Generated (USD) /Project Cost])*
(Table9[Export Revenue Generated (USD) /Project Cost]&gt;0)*
(Table9[Country Income Level]="Lower-Middle Income")
)
)</f>
        <v>0.29210173529411765</v>
      </c>
      <c r="AR20" s="203">
        <f t="array" ref="AR20">AVERAGE(
_xlfn._xlws.FILTER(
Table9[Export Revenue Generated (USD) /Project Cost],
ISNUMBER(Table9[Export Revenue Generated (USD) /Project Cost])*
(Table9[Export Revenue Generated (USD) /Project Cost]&gt;0)*
(Table9[Country Income Level]="Lower-Middle Income")
)
)</f>
        <v>3.1060050609918179</v>
      </c>
      <c r="AS20" s="15">
        <f>COUNTIFS(
Table9[Export Revenue Generated (USD) /Project Cost],"&gt;0",
Table9[Country Income Level],"Lower-Middle Income"
)</f>
        <v>6</v>
      </c>
      <c r="AT20" s="203">
        <f t="array" ref="AT20">_xlfn.LET(
_xlpm.data,_xlfn._xlws.FILTER(
Table9[Export Revenue Generated (USD) /Project Cost],
ISNUMBER(Table9[Export Revenue Generated (USD) /Project Cost])*
(Table9[Export Revenue Generated (USD) /Project Cost]&gt;0)*
(Table9[Country Income Level]="Lower-Middle Income")
),
MEDIAN(ABS(_xlpm.data-MEDIAN(_xlpm.data)))
)</f>
        <v>0.27358943637917732</v>
      </c>
      <c r="AU20" s="195">
        <f>AT20/AQ20</f>
        <v>0.93662379685522834</v>
      </c>
      <c r="AV20" s="195">
        <f t="array" ref="AV20">_xlfn.LET(
_xlpm.data,_xlfn._xlws.FILTER(
Table9[Export Revenue Generated (USD) /Project Cost],
ISNUMBER(Table9[Export Revenue Generated (USD) /Project Cost])*
(Table9[Export Revenue Generated (USD) /Project Cost]&gt;0)*
(Table9[Country Income Level]="Lower-Middle Income")
),
_xlpm.med,MEDIAN(_xlpm.data),
_xlpm.mad,MEDIAN(ABS(_xlpm.data-_xlpm.med)),
SUMPRODUCT(--(ABS(_xlpm.data-_xlpm.med)&gt;2.5*_xlpm.mad))/COUNT(_xlpm.data)
)</f>
        <v>0.33333333333333331</v>
      </c>
      <c r="AW20" s="15">
        <f t="array" ref="AW20">_xlfn.LET(
_xlpm.data,_xlfn._xlws.FILTER(
Table9[Export Revenue Generated (USD) /Project Cost],
ISNUMBER(Table9[Export Revenue Generated (USD) /Project Cost])*
(Table9[Export Revenue Generated (USD) /Project Cost]&gt;0)*
(Table9[Country Income Level]="Lower-Middle Income")
),
_xlpm.med,MEDIAN(_xlpm.data),
_xlpm.mad,MEDIAN(ABS(_xlpm.data-_xlpm.med)),
SUMPRODUCT(--(ABS(_xlpm.data-_xlpm.med)&gt;2.5*_xlpm.mad))
)</f>
        <v>2</v>
      </c>
      <c r="AX20" s="203">
        <f t="array" ref="AX20">_xlfn.LET(
_xlpm.data,_xlfn._xlws.FILTER(
Table9[Export Revenue Generated (USD) /Project Cost],
ISNUMBER(Table9[Export Revenue Generated (USD) /Project Cost])*
(Table9[Export Revenue Generated (USD) /Project Cost]&gt;0)*
(Table9[Country Income Level]="Lower-Middle Income")
),
_xlpm.med,MEDIAN(_xlpm.data),
_xlpm.mad,MEDIAN(ABS(_xlpm.data-_xlpm.med)),
AVERAGE(_xlfn._xlws.FILTER(_xlpm.data,ABS(_xlpm.data-_xlpm.med)&lt;=2.5*_xlpm.mad))
)</f>
        <v>0.15530701710452899</v>
      </c>
      <c r="AY20" s="232">
        <f>AS20-AW20</f>
        <v>4</v>
      </c>
      <c r="AZ20" s="142"/>
      <c r="BA20" s="202"/>
      <c r="BB20" s="202"/>
      <c r="BC20" s="15"/>
      <c r="BD20" s="15"/>
      <c r="BE20" s="15"/>
      <c r="BF20" s="15"/>
      <c r="BG20" s="15"/>
      <c r="BH20" s="15"/>
      <c r="BI20" s="15"/>
      <c r="BJ20" s="15"/>
      <c r="BK20" s="15"/>
      <c r="BL20" s="15"/>
      <c r="BM20" s="15"/>
      <c r="BN20" s="15"/>
      <c r="BO20" s="15"/>
      <c r="BP20" s="15"/>
      <c r="BQ20" s="15"/>
      <c r="BR20" s="15"/>
      <c r="BS20" s="15"/>
      <c r="BT20" s="15"/>
      <c r="BU20" s="202"/>
      <c r="BV20" s="202"/>
      <c r="BW20" s="15"/>
      <c r="BX20" s="15"/>
      <c r="BY20" s="15"/>
      <c r="BZ20" s="15"/>
      <c r="CA20" s="15"/>
      <c r="CB20" s="15"/>
      <c r="CC20" s="15"/>
      <c r="CD20" s="15"/>
      <c r="CE20" s="15"/>
      <c r="CF20" s="15"/>
      <c r="CG20" s="15"/>
      <c r="CH20" s="15"/>
      <c r="CI20" s="15"/>
      <c r="CJ20" s="15"/>
      <c r="CK20" s="15"/>
      <c r="CL20" s="15"/>
      <c r="CM20" s="15"/>
      <c r="CN20" s="135"/>
      <c r="CO20" s="203"/>
      <c r="CP20" s="203"/>
      <c r="CQ20" s="15"/>
      <c r="CR20" s="15"/>
      <c r="CS20" s="15"/>
      <c r="CT20" s="15"/>
      <c r="CU20" s="15"/>
      <c r="CV20" s="15"/>
      <c r="CW20" s="15"/>
    </row>
    <row r="21" spans="2:101" x14ac:dyDescent="0.25">
      <c r="B21" s="205" t="s">
        <v>589</v>
      </c>
      <c r="C21" s="363">
        <f t="array" ref="C21">MEDIAN(_xlfn._xlws.FILTER(Table9[Income per beneficiary (USD)], (Table9[Income per beneficiary (USD)]&gt;0)*(Table9[Country Income Level]="Upper-Middle Income")))</f>
        <v>116.634423977346</v>
      </c>
      <c r="D21" s="202">
        <f t="array" ref="D21">AVERAGE(_xlfn._xlws.FILTER(Table9[Income per beneficiary (USD)], (Table9[Income per beneficiary (USD)]&gt;0)*(Table9[Country Income Level]="Upper-Middle Income")))</f>
        <v>417.23937507792834</v>
      </c>
      <c r="E21" s="15">
        <f>COUNTIFS(Table9[Income per beneficiary (USD)],"&gt;0", Table9[Country Income Level],"Upper-Middle Income")</f>
        <v>7</v>
      </c>
      <c r="F21" s="202">
        <f t="array" ref="F21">_xlfn.LET(
_xlpm.data,_xlfn._xlws.FILTER(
Table9[Income per beneficiary (USD)],
(Table9[Income per beneficiary (USD)]&gt;0)*
(Table9[Country Income Level]="Upper-Middle Income")
),
MEDIAN(ABS(_xlpm.data-MEDIAN(_xlpm.data)))
)</f>
        <v>62.698533372465093</v>
      </c>
      <c r="G21" s="195">
        <f>F21/C21</f>
        <v>0.53756456485473858</v>
      </c>
      <c r="H21" s="195">
        <f t="array" ref="H21">_xlfn.LET(
_xlpm.data,_xlfn._xlws.FILTER(
Table9[Income per beneficiary (USD)],
(Table9[Income per beneficiary (USD)]&gt;0)*
(Table9[Country Income Level]="Upper-Middle Income")
),
_xlpm.med,MEDIAN(_xlpm.data),
_xlpm.mad,MEDIAN(ABS(_xlpm.data-_xlpm.med)),
SUMPRODUCT(--(ABS(_xlpm.data-_xlpm.med)&gt;2.5*_xlpm.mad))/COUNT(_xlpm.data)
)</f>
        <v>0.42857142857142855</v>
      </c>
      <c r="I21" s="15">
        <f t="array" ref="I21">_xlfn.LET(
_xlpm.data,_xlfn._xlws.FILTER(
Table9[Income per beneficiary (USD)],
(Table9[Income per beneficiary (USD)]&gt;0)*
(Table9[Country Income Level]="Upper-Middle Income")
),
_xlpm.med,MEDIAN(_xlpm.data),
_xlpm.mad,MEDIAN(ABS(_xlpm.data-_xlpm.med)),
SUMPRODUCT(--(ABS(_xlpm.data-_xlpm.med)&gt;2.5*_xlpm.mad))
)</f>
        <v>3</v>
      </c>
      <c r="J21" s="202">
        <f t="array" ref="J21">_xlfn.LET(
_xlpm.data,_xlfn._xlws.FILTER(
Table9[Income per beneficiary (USD)],
(Table9[Income per beneficiary (USD)]&gt;0)*
(Table9[Country Income Level]="Upper-Middle Income")
),
_xlpm.med,MEDIAN(_xlpm.data),
_xlpm.mad,MEDIAN(ABS(_xlpm.data-_xlpm.med)),
AVERAGE(_xlfn._xlws.FILTER(_xlpm.data,ABS(_xlpm.data-_xlpm.med)&lt;=2.5*_xlpm.mad))
)</f>
        <v>88.927485070643755</v>
      </c>
      <c r="K21" s="364">
        <f>E21-I21</f>
        <v>4</v>
      </c>
      <c r="L21" s="192"/>
      <c r="M21" s="370">
        <f t="array" ref="M21">MEDIAN(
_xlfn._xlws.FILTER(
Table9[Normalised Income Impact Ratio],
ISNUMBER(Table9[Normalised Income Impact Ratio])*
(Table9[Normalised Income Impact Ratio]&gt;0)*
(Table9[Country Income Level]="Upper-Middle Income")
)
)</f>
        <v>8.0074098435085287E-3</v>
      </c>
      <c r="N21" s="203">
        <f t="array" ref="N21">AVERAGE(
_xlfn._xlws.FILTER(
Table9[Normalised Income Impact Ratio],
ISNUMBER(Table9[Normalised Income Impact Ratio])*
(Table9[Normalised Income Impact Ratio]&gt;0)*
(Table9[Country Income Level]="Upper-Middle Income")
)
)</f>
        <v>2.2234429866227718E-2</v>
      </c>
      <c r="O21" s="15">
        <f>COUNTIFS(
Table9[Normalised Income Impact Ratio],"&gt;0",
Table9[Country Income Level],"Upper-Middle Income"
)</f>
        <v>7</v>
      </c>
      <c r="P21" s="203">
        <f t="array" ref="P21">_xlfn.LET(
_xlpm.data,_xlfn._xlws.FILTER(
Table9[Normalised Income Impact Ratio],
ISNUMBER(Table9[Normalised Income Impact Ratio])*
(Table9[Normalised Income Impact Ratio]&gt;0)*
(Table9[Country Income Level]="Upper-Middle Income")
),
MEDIAN(ABS(_xlpm.data-MEDIAN(_xlpm.data)))
)</f>
        <v>5.4390341004189619E-3</v>
      </c>
      <c r="Q21" s="195">
        <f>P21/M21</f>
        <v>0.67925012041544175</v>
      </c>
      <c r="R21" s="195">
        <f t="array" ref="R21">_xlfn.LET(
_xlpm.data,_xlfn._xlws.FILTER(
Table9[Normalised Income Impact Ratio],
ISNUMBER(Table9[Normalised Income Impact Ratio])*
(Table9[Normalised Income Impact Ratio]&gt;0)*
(Table9[Country Income Level]="Upper-Middle Income")
),
_xlpm.med,MEDIAN(_xlpm.data),
_xlpm.mad,MEDIAN(ABS(_xlpm.data-_xlpm.med)),
SUMPRODUCT(--(ABS(_xlpm.data-_xlpm.med)&gt;2.5*_xlpm.mad))/COUNT(_xlpm.data)
)</f>
        <v>0.42857142857142855</v>
      </c>
      <c r="S21" s="15">
        <f t="array" ref="S21">_xlfn.LET(
_xlpm.data,_xlfn._xlws.FILTER(
Table9[Normalised Income Impact Ratio],
ISNUMBER(Table9[Normalised Income Impact Ratio])*
(Table9[Normalised Income Impact Ratio]&gt;0)*
(Table9[Country Income Level]="Upper-Middle Income")
),
_xlpm.med,MEDIAN(_xlpm.data),
_xlpm.mad,MEDIAN(ABS(_xlpm.data-_xlpm.med)),
SUMPRODUCT(--(ABS(_xlpm.data-_xlpm.med)&gt;2.5*_xlpm.mad))
)</f>
        <v>3</v>
      </c>
      <c r="T21" s="203">
        <f t="array" ref="T21">_xlfn.LET(
_xlpm.data,_xlfn._xlws.FILTER(
Table9[Normalised Income Impact Ratio],
ISNUMBER(Table9[Normalised Income Impact Ratio])*
(Table9[Normalised Income Impact Ratio]&gt;0)*
(Table9[Country Income Level]="Upper-Middle Income")
),
_xlpm.med,MEDIAN(_xlpm.data),
_xlpm.mad,MEDIAN(ABS(_xlpm.data-_xlpm.med)),
AVERAGE(_xlfn._xlws.FILTER(_xlpm.data,ABS(_xlpm.data-_xlpm.med)&lt;=2.5*_xlpm.mad))
)</f>
        <v>5.3804514356055244E-3</v>
      </c>
      <c r="U21" s="232">
        <f>O21-S21</f>
        <v>4</v>
      </c>
      <c r="V21" s="191"/>
      <c r="W21" s="370">
        <f t="array" ref="W21">MEDIAN(
_xlfn._xlws.FILTER(
Table9[Private Sector Investment (USD) / Project cost ],
ISNUMBER(Table9[Private Sector Investment (USD) / Project cost ])*
(Table9[Private Sector Investment (USD) / Project cost ]&gt;0)*
(Table9[Country Income Level]="Upper-Middle Income")
)
)</f>
        <v>0.97482539682539682</v>
      </c>
      <c r="X21" s="203">
        <f t="array" ref="X21">AVERAGE(
_xlfn._xlws.FILTER(
Table9[Private Sector Investment (USD) / Project cost ],
ISNUMBER(Table9[Private Sector Investment (USD) / Project cost ])*
(Table9[Private Sector Investment (USD) / Project cost ]&gt;0)*
(Table9[Country Income Level]="Upper-Middle Income")
)
)</f>
        <v>0.89403108386060404</v>
      </c>
      <c r="Y21" s="15">
        <f>COUNTIFS(
Table9[Private Sector Investment (USD) / Project cost ],"&gt;0",
Table9[Country Income Level],"Upper-Middle Income"
)</f>
        <v>10</v>
      </c>
      <c r="Z21" s="203">
        <f t="array" ref="Z21">_xlfn.LET(
_xlpm.data,_xlfn._xlws.FILTER(
Table9[Private Sector Investment (USD) / Project cost ],
ISNUMBER(Table9[Private Sector Investment (USD) / Project cost ])*
(Table9[Private Sector Investment (USD) / Project cost ]&gt;0)*
(Table9[Country Income Level]="Upper-Middle Income")
),
MEDIAN(ABS(_xlpm.data-MEDIAN(_xlpm.data)))
)</f>
        <v>0.42001768033946263</v>
      </c>
      <c r="AA21" s="195">
        <f>Z21/W21</f>
        <v>0.43086452374680279</v>
      </c>
      <c r="AB21" s="195">
        <f t="array" ref="AB21">_xlfn.LET(
_xlpm.data,_xlfn._xlws.FILTER(
Table9[Private Sector Investment (USD) / Project cost ],
ISNUMBER(Table9[Private Sector Investment (USD) / Project cost ])*
(Table9[Private Sector Investment (USD) / Project cost ]&gt;0)*
(Table9[Country Income Level]="Upper-Middle Income")
),
_xlpm.med,MEDIAN(_xlpm.data),
_xlpm.mad,MEDIAN(ABS(_xlpm.data-_xlpm.med)),
SUMPRODUCT(--(ABS(_xlpm.data-_xlpm.med)&gt;2.5*_xlpm.mad))/COUNT(_xlpm.data)
)</f>
        <v>0.1</v>
      </c>
      <c r="AC21" s="15">
        <f t="array" ref="AC21">_xlfn.LET(
_xlpm.data,_xlfn._xlws.FILTER(
Table9[Private Sector Investment (USD) / Project cost ],
ISNUMBER(Table9[Private Sector Investment (USD) / Project cost ])*
(Table9[Private Sector Investment (USD) / Project cost ]&gt;0)*
(Table9[Country Income Level]="Upper-Middle Income")
),
_xlpm.med,MEDIAN(_xlpm.data),
_xlpm.mad,MEDIAN(ABS(_xlpm.data-_xlpm.med)),
SUMPRODUCT(--(ABS(_xlpm.data-_xlpm.med)&gt;2.5*_xlpm.mad))
)</f>
        <v>1</v>
      </c>
      <c r="AD21" s="203">
        <f t="array" ref="AD21">_xlfn.LET(
_xlpm.data,_xlfn._xlws.FILTER(
Table9[Private Sector Investment (USD) / Project cost ],
ISNUMBER(Table9[Private Sector Investment (USD) / Project cost ])*
(Table9[Private Sector Investment (USD) / Project cost ]&gt;0)*
(Table9[Country Income Level]="Upper-Middle Income")
),
_xlpm.med,MEDIAN(_xlpm.data),
_xlpm.mad,MEDIAN(ABS(_xlpm.data-_xlpm.med)),
AVERAGE(_xlfn._xlws.FILTER(_xlpm.data,ABS(_xlpm.data-_xlpm.med)&lt;=2.5*_xlpm.mad))
)</f>
        <v>0.74640468125869674</v>
      </c>
      <c r="AE21" s="364">
        <f>Y21-AC21</f>
        <v>9</v>
      </c>
      <c r="AF21" s="192"/>
      <c r="AG21" s="370">
        <f t="array" ref="AG21">MEDIAN(
_xlfn._xlws.FILTER(
Table9[Private Sector Revenues Generated (USD) / Project cost],
ISNUMBER(Table9[Private Sector Revenues Generated (USD) / Project cost])*
(Table9[Private Sector Revenues Generated (USD) / Project cost]&gt;0)*
(Table9[Country Income Level]="Upper-Middle Income")
)
)</f>
        <v>0.8147368421052632</v>
      </c>
      <c r="AH21" s="203">
        <f t="array" ref="AH21">AVERAGE(
_xlfn._xlws.FILTER(
Table9[Private Sector Revenues Generated (USD) / Project cost],
ISNUMBER(Table9[Private Sector Revenues Generated (USD) / Project cost])*
(Table9[Private Sector Revenues Generated (USD) / Project cost]&gt;0)*
(Table9[Country Income Level]="Upper-Middle Income")
)
)</f>
        <v>0.93151765706417322</v>
      </c>
      <c r="AI21" s="15">
        <f>COUNTIFS(
Table9[Private Sector Revenues Generated (USD) / Project cost],"&gt;0",
Table9[Country Income Level],"Upper-Middle Income"
)</f>
        <v>7</v>
      </c>
      <c r="AJ21" s="203">
        <f t="array" ref="AJ21">_xlfn.LET(
_xlpm.data,_xlfn._xlws.FILTER(
Table9[Private Sector Revenues Generated (USD) / Project cost],
ISNUMBER(Table9[Private Sector Revenues Generated (USD) / Project cost])*
(Table9[Private Sector Revenues Generated (USD) / Project cost]&gt;0)*
(Table9[Country Income Level]="Upper-Middle Income")
),
MEDIAN(ABS(_xlpm.data-MEDIAN(_xlpm.data)))
)</f>
        <v>0.71012260709685671</v>
      </c>
      <c r="AK21" s="343">
        <f>AJ21/AG21</f>
        <v>0.8715975151705605</v>
      </c>
      <c r="AL21" s="195">
        <f t="array" ref="AL21">_xlfn.LET(
_xlpm.data,_xlfn._xlws.FILTER(
Table9[Private Sector Revenues Generated (USD) / Project cost],
ISNUMBER(Table9[Private Sector Revenues Generated (USD) / Project cost])*
(Table9[Private Sector Revenues Generated (USD) / Project cost]&gt;0)*
(Table9[Country Income Level]="Upper-Middle Income")
),
_xlpm.med,MEDIAN(_xlpm.data),
_xlpm.mad,MEDIAN(ABS(_xlpm.data-_xlpm.med)),
SUMPRODUCT(--(ABS(_xlpm.data-_xlpm.med)&gt;2.5*_xlpm.mad))/COUNT(_xlpm.data)
)</f>
        <v>0.14285714285714285</v>
      </c>
      <c r="AM21" s="15">
        <f t="array" ref="AM21">_xlfn.LET(
_xlpm.data,_xlfn._xlws.FILTER(
Table9[Private Sector Revenues Generated (USD) / Project cost],
ISNUMBER(Table9[Private Sector Revenues Generated (USD) / Project cost])*
(Table9[Private Sector Revenues Generated (USD) / Project cost]&gt;0)*
(Table9[Country Income Level]="Upper-Middle Income")
),
_xlpm.med,MEDIAN(_xlpm.data),
_xlpm.mad,MEDIAN(ABS(_xlpm.data-_xlpm.med)),
SUMPRODUCT(--(ABS(_xlpm.data-_xlpm.med)&gt;2.5*_xlpm.mad))
)</f>
        <v>1</v>
      </c>
      <c r="AN21" s="203">
        <f t="array" ref="AN21">_xlfn.LET(
_xlpm.data,_xlfn._xlws.FILTER(
Table9[Private Sector Revenues Generated (USD) / Project cost],
ISNUMBER(Table9[Private Sector Revenues Generated (USD) / Project cost])*
(Table9[Private Sector Revenues Generated (USD) / Project cost]&gt;0)*
(Table9[Country Income Level]="Upper-Middle Income")
),
_xlpm.med,MEDIAN(_xlpm.data),
_xlpm.mad,MEDIAN(ABS(_xlpm.data-_xlpm.med)),
AVERAGE(_xlfn._xlws.FILTER(_xlpm.data,ABS(_xlpm.data-_xlpm.med)&lt;=2.5*_xlpm.mad))
)</f>
        <v>0.65143726657486856</v>
      </c>
      <c r="AO21" s="232">
        <f>AI21-AM21</f>
        <v>6</v>
      </c>
      <c r="AP21" s="191"/>
      <c r="AQ21" s="370">
        <f t="array" ref="AQ21">MEDIAN(
_xlfn._xlws.FILTER(
Table9[Export Revenue Generated (USD) /Project Cost],
ISNUMBER(Table9[Export Revenue Generated (USD) /Project Cost])*
(Table9[Export Revenue Generated (USD) /Project Cost]&gt;0)*
(Table9[Country Income Level]="Upper-Middle Income")
)
)</f>
        <v>39.888838136141864</v>
      </c>
      <c r="AR21" s="203">
        <f t="array" ref="AR21">AVERAGE(
_xlfn._xlws.FILTER(
Table9[Export Revenue Generated (USD) /Project Cost],
ISNUMBER(Table9[Export Revenue Generated (USD) /Project Cost])*
(Table9[Export Revenue Generated (USD) /Project Cost]&gt;0)*
(Table9[Country Income Level]="Upper-Middle Income")
)
)</f>
        <v>39.888838136141857</v>
      </c>
      <c r="AS21" s="15">
        <f>COUNTIFS(
Table9[Export Revenue Generated (USD) /Project Cost],"&gt;0",
Table9[Country Income Level],"Upper-Middle Income"
)</f>
        <v>2</v>
      </c>
      <c r="AT21" s="203">
        <f t="array" ref="AT21">_xlfn.LET(
_xlpm.data,_xlfn._xlws.FILTER(
Table9[Export Revenue Generated (USD) /Project Cost],
ISNUMBER(Table9[Export Revenue Generated (USD) /Project Cost])*
(Table9[Export Revenue Generated (USD) /Project Cost]&gt;0)*
(Table9[Country Income Level]="Upper-Middle Income")
),
MEDIAN(ABS(_xlpm.data-MEDIAN(_xlpm.data)))
)</f>
        <v>39.847161863858148</v>
      </c>
      <c r="AU21" s="195">
        <f>AT21/AQ21</f>
        <v>0.99895518961616592</v>
      </c>
      <c r="AV21" s="15">
        <f t="array" ref="AV21">_xlfn.LET(
_xlpm.data,_xlfn._xlws.FILTER(
Table9[Export Revenue Generated (USD) /Project Cost],
ISNUMBER(Table9[Export Revenue Generated (USD) /Project Cost])*
(Table9[Export Revenue Generated (USD) /Project Cost]&gt;0)*
(Table9[Country Income Level]="Upper-Middle Income")
),
_xlpm.med,MEDIAN(_xlpm.data),
_xlpm.mad,MEDIAN(ABS(_xlpm.data-_xlpm.med)),
SUMPRODUCT(--(ABS(_xlpm.data-_xlpm.med)&gt;2.5*_xlpm.mad))/COUNT(_xlpm.data)
)</f>
        <v>0</v>
      </c>
      <c r="AW21" s="15">
        <f t="array" ref="AW21">_xlfn.LET(
_xlpm.data,_xlfn._xlws.FILTER(
Table9[Export Revenue Generated (USD) /Project Cost],
ISNUMBER(Table9[Export Revenue Generated (USD) /Project Cost])*
(Table9[Export Revenue Generated (USD) /Project Cost]&gt;0)*
(Table9[Country Income Level]="Upper-Middle Income")
),
_xlpm.med,MEDIAN(_xlpm.data),
_xlpm.mad,MEDIAN(ABS(_xlpm.data-_xlpm.med)),
SUMPRODUCT(--(ABS(_xlpm.data-_xlpm.med)&gt;2.5*_xlpm.mad))
)</f>
        <v>0</v>
      </c>
      <c r="AX21" s="203">
        <f t="array" ref="AX21">_xlfn.LET(
_xlpm.data,_xlfn._xlws.FILTER(
Table9[Export Revenue Generated (USD) /Project Cost],
ISNUMBER(Table9[Export Revenue Generated (USD) /Project Cost])*
(Table9[Export Revenue Generated (USD) /Project Cost]&gt;0)*
(Table9[Country Income Level]="Upper-Middle Income")
),
_xlpm.med,MEDIAN(_xlpm.data),
_xlpm.mad,MEDIAN(ABS(_xlpm.data-_xlpm.med)),
AVERAGE(_xlfn._xlws.FILTER(_xlpm.data,ABS(_xlpm.data-_xlpm.med)&lt;=2.5*_xlpm.mad))
)</f>
        <v>39.888838136141857</v>
      </c>
      <c r="AY21" s="232">
        <f>AS21-AW21</f>
        <v>2</v>
      </c>
      <c r="AZ21" s="142"/>
      <c r="BA21" s="202"/>
      <c r="BB21" s="202"/>
      <c r="BC21" s="15"/>
      <c r="BD21" s="15"/>
      <c r="BE21" s="15"/>
      <c r="BF21" s="15"/>
      <c r="BG21" s="15"/>
      <c r="BH21" s="15"/>
      <c r="BI21" s="15"/>
      <c r="BJ21" s="15"/>
      <c r="BK21" s="15"/>
      <c r="BL21" s="15"/>
      <c r="BM21" s="15"/>
      <c r="BN21" s="15"/>
      <c r="BO21" s="15"/>
      <c r="BP21" s="15"/>
      <c r="BQ21" s="15"/>
      <c r="BR21" s="15"/>
      <c r="BS21" s="15"/>
      <c r="BT21" s="15"/>
      <c r="BU21" s="202"/>
      <c r="BV21" s="202"/>
      <c r="BW21" s="15"/>
      <c r="BX21" s="15"/>
      <c r="BY21" s="15"/>
      <c r="BZ21" s="15"/>
      <c r="CA21" s="15"/>
      <c r="CB21" s="15"/>
      <c r="CC21" s="15"/>
      <c r="CD21" s="15"/>
      <c r="CE21" s="15"/>
      <c r="CF21" s="15"/>
      <c r="CG21" s="15"/>
      <c r="CH21" s="15"/>
      <c r="CI21" s="15"/>
      <c r="CJ21" s="15"/>
      <c r="CK21" s="15"/>
      <c r="CL21" s="15"/>
      <c r="CM21" s="15"/>
      <c r="CN21" s="135"/>
      <c r="CO21" s="203"/>
      <c r="CP21" s="203"/>
      <c r="CQ21" s="15"/>
      <c r="CR21" s="15"/>
      <c r="CS21" s="15"/>
      <c r="CT21" s="15"/>
      <c r="CU21" s="15"/>
      <c r="CV21" s="15"/>
      <c r="CW21" s="15"/>
    </row>
    <row r="22" spans="2:101" x14ac:dyDescent="0.25">
      <c r="B22" s="205" t="s">
        <v>597</v>
      </c>
      <c r="C22" s="363">
        <f t="array" ref="C22">MEDIAN(_xlfn._xlws.FILTER(Table9[Income per beneficiary (USD)], (Table9[Income per beneficiary (USD)]&gt;0)*(Table9[Country Income Level]="Mixed")))</f>
        <v>212.87799860937119</v>
      </c>
      <c r="D22" s="202">
        <f t="array" ref="D22">AVERAGE(_xlfn._xlws.FILTER(Table9[Income per beneficiary (USD)], (Table9[Income per beneficiary (USD)]&gt;0)*(Table9[Country Income Level]="Mixed")))</f>
        <v>232.91370595749353</v>
      </c>
      <c r="E22" s="15">
        <f>COUNTIFS(Table9[Income per beneficiary (USD)],"&gt;0", Table9[Country Income Level],"Mixed")</f>
        <v>4</v>
      </c>
      <c r="F22" s="202">
        <f t="array" ref="F22">_xlfn.LET(
_xlpm.data,_xlfn._xlws.FILTER(
Table9[Income per beneficiary (USD)],
(Table9[Income per beneficiary (USD)]&gt;0)*
(Table9[Country Income Level]="Mixed")
),
MEDIAN(ABS(_xlpm.data-MEDIAN(_xlpm.data)))
)</f>
        <v>172.92966036279432</v>
      </c>
      <c r="G22" s="195">
        <f>F22/C22</f>
        <v>0.81234162991225023</v>
      </c>
      <c r="H22" s="195">
        <f t="array" ref="H22">_xlfn.LET(
_xlpm.data,_xlfn._xlws.FILTER(
Table9[Income per beneficiary (USD)],
(Table9[Income per beneficiary (USD)]&gt;0)*
(Table9[Country Income Level]="Mixed")
),
_xlpm.med,MEDIAN(_xlpm.data),
_xlpm.mad,MEDIAN(ABS(_xlpm.data-_xlpm.med)),
SUMPRODUCT(--(ABS(_xlpm.data-_xlpm.med)&gt;2.5*_xlpm.mad))/COUNT(_xlpm.data)
)</f>
        <v>0</v>
      </c>
      <c r="I22" s="15">
        <f t="array" ref="I22">_xlfn.LET(
_xlpm.data,_xlfn._xlws.FILTER(
Table9[Income per beneficiary (USD)],
(Table9[Income per beneficiary (USD)]&gt;0)*
(Table9[Country Income Level]="Mixed")
),
_xlpm.med,MEDIAN(_xlpm.data),
_xlpm.mad,MEDIAN(ABS(_xlpm.data-_xlpm.med)),
SUMPRODUCT(--(ABS(_xlpm.data-_xlpm.med)&gt;2.5*_xlpm.mad))
)</f>
        <v>0</v>
      </c>
      <c r="J22" s="202">
        <f t="array" ref="J22">_xlfn.LET(
_xlpm.data,_xlfn._xlws.FILTER(
Table9[Income per beneficiary (USD)],
(Table9[Income per beneficiary (USD)]&gt;0)*
(Table9[Country Income Level]="Mixed")
),
_xlpm.med,MEDIAN(_xlpm.data),
_xlpm.mad,MEDIAN(ABS(_xlpm.data-_xlpm.med)),
AVERAGE(_xlfn._xlws.FILTER(_xlpm.data,ABS(_xlpm.data-_xlpm.med)&lt;=2.5*_xlpm.mad))
)</f>
        <v>232.91370595749353</v>
      </c>
      <c r="K22" s="364">
        <f>E22-I22</f>
        <v>4</v>
      </c>
      <c r="L22" s="192"/>
      <c r="M22" s="370">
        <f t="array" ref="M22">MEDIAN(
_xlfn._xlws.FILTER(
Table9[Normalised Income Impact Ratio],
ISNUMBER(Table9[Normalised Income Impact Ratio])*
(Table9[Normalised Income Impact Ratio]&gt;0)*
(Table9[Country Income Level]="Mixed")
)
)</f>
        <v>1.8363905735518514E-2</v>
      </c>
      <c r="N22" s="203">
        <f t="array" ref="N22">AVERAGE(
_xlfn._xlws.FILTER(
Table9[Normalised Income Impact Ratio],
ISNUMBER(Table9[Normalised Income Impact Ratio])*
(Table9[Normalised Income Impact Ratio]&gt;0)*
(Table9[Country Income Level]="Mixed")
)
)</f>
        <v>2.1150299671132272E-2</v>
      </c>
      <c r="O22" s="15">
        <f>COUNTIFS(
Table9[Normalised Income Impact Ratio],"&gt;0",
Table9[Country Income Level],"Mixed"
)</f>
        <v>4</v>
      </c>
      <c r="P22" s="203">
        <f t="array" ref="P22">_xlfn.LET(
_xlpm.data,_xlfn._xlws.FILTER(
Table9[Normalised Income Impact Ratio],
ISNUMBER(Table9[Normalised Income Impact Ratio])*
(Table9[Normalised Income Impact Ratio]&gt;0)*
(Table9[Country Income Level]="Mixed")
),
MEDIAN(ABS(_xlpm.data-MEDIAN(_xlpm.data)))
)</f>
        <v>1.2919799443037863E-2</v>
      </c>
      <c r="Q22" s="195">
        <f>P22/M22</f>
        <v>0.7035431149076885</v>
      </c>
      <c r="R22" s="195">
        <f t="array" ref="R22">_xlfn.LET(
_xlpm.data,_xlfn._xlws.FILTER(
Table9[Normalised Income Impact Ratio],
ISNUMBER(Table9[Normalised Income Impact Ratio])*
(Table9[Normalised Income Impact Ratio]&gt;0)*
(Table9[Country Income Level]="Mixed")
),
_xlpm.med,MEDIAN(_xlpm.data),
_xlpm.mad,MEDIAN(ABS(_xlpm.data-_xlpm.med)),
SUMPRODUCT(--(ABS(_xlpm.data-_xlpm.med)&gt;2.5*_xlpm.mad))/COUNT(_xlpm.data)
)</f>
        <v>0</v>
      </c>
      <c r="S22" s="15">
        <f t="array" ref="S22">_xlfn.LET(
_xlpm.data,_xlfn._xlws.FILTER(
Table9[Normalised Income Impact Ratio],
ISNUMBER(Table9[Normalised Income Impact Ratio])*
(Table9[Normalised Income Impact Ratio]&gt;0)*
(Table9[Country Income Level]="Mixed")
),
_xlpm.med,MEDIAN(_xlpm.data),
_xlpm.mad,MEDIAN(ABS(_xlpm.data-_xlpm.med)),
SUMPRODUCT(--(ABS(_xlpm.data-_xlpm.med)&gt;2.5*_xlpm.mad))
)</f>
        <v>0</v>
      </c>
      <c r="T22" s="203">
        <f t="array" ref="T22">_xlfn.LET(
_xlpm.data,_xlfn._xlws.FILTER(
Table9[Normalised Income Impact Ratio],
ISNUMBER(Table9[Normalised Income Impact Ratio])*
(Table9[Normalised Income Impact Ratio]&gt;0)*
(Table9[Country Income Level]="Mixed")
),
_xlpm.med,MEDIAN(_xlpm.data),
_xlpm.mad,MEDIAN(ABS(_xlpm.data-_xlpm.med)),
AVERAGE(_xlfn._xlws.FILTER(_xlpm.data,ABS(_xlpm.data-_xlpm.med)&lt;=2.5*_xlpm.mad))
)</f>
        <v>2.1150299671132272E-2</v>
      </c>
      <c r="U22" s="232">
        <f>O22-S22</f>
        <v>4</v>
      </c>
      <c r="V22" s="191"/>
      <c r="W22" s="370">
        <f t="array" ref="W22">MEDIAN(
_xlfn._xlws.FILTER(
Table9[Private Sector Investment (USD) / Project cost ],
ISNUMBER(Table9[Private Sector Investment (USD) / Project cost ])*
(Table9[Private Sector Investment (USD) / Project cost ]&gt;0)*
(Table9[Country Income Level]="Mixed")
)
)</f>
        <v>0.29404642185850494</v>
      </c>
      <c r="X22" s="203">
        <f t="array" ref="X22">AVERAGE(
_xlfn._xlws.FILTER(
Table9[Private Sector Investment (USD) / Project cost ],
ISNUMBER(Table9[Private Sector Investment (USD) / Project cost ])*
(Table9[Private Sector Investment (USD) / Project cost ]&gt;0)*
(Table9[Country Income Level]="Mixed")
)
)</f>
        <v>2.3888200849205456</v>
      </c>
      <c r="Y22" s="15">
        <f>COUNTIFS(
Table9[Private Sector Investment (USD) / Project cost ],"&gt;0",
Table9[Country Income Level],"Mixed"
)</f>
        <v>4</v>
      </c>
      <c r="Z22" s="203">
        <f t="array" ref="Z22">_xlfn.LET(
_xlpm.data,_xlfn._xlws.FILTER(
Table9[Private Sector Investment (USD) / Project cost ],
ISNUMBER(Table9[Private Sector Investment (USD) / Project cost ])*
(Table9[Private Sector Investment (USD) / Project cost ]&gt;0)*
(Table9[Country Income Level]="Mixed")
),
MEDIAN(ABS(_xlpm.data-MEDIAN(_xlpm.data)))
)</f>
        <v>0.21185448181512914</v>
      </c>
      <c r="AA22" s="195">
        <f>Z22/W22</f>
        <v>0.72047971363199736</v>
      </c>
      <c r="AB22" s="195">
        <f t="array" ref="AB22">_xlfn.LET(
_xlpm.data,_xlfn._xlws.FILTER(
Table9[Private Sector Investment (USD) / Project cost ],
ISNUMBER(Table9[Private Sector Investment (USD) / Project cost ])*
(Table9[Private Sector Investment (USD) / Project cost ]&gt;0)*
(Table9[Country Income Level]="Mixed")
),
_xlpm.med,MEDIAN(_xlpm.data),
_xlpm.mad,MEDIAN(ABS(_xlpm.data-_xlpm.med)),
SUMPRODUCT(--(ABS(_xlpm.data-_xlpm.med)&gt;2.5*_xlpm.mad))/COUNT(_xlpm.data)
)</f>
        <v>0.25</v>
      </c>
      <c r="AC22" s="15">
        <f t="array" ref="AC22">_xlfn.LET(
_xlpm.data,_xlfn._xlws.FILTER(
Table9[Private Sector Investment (USD) / Project cost ],
ISNUMBER(Table9[Private Sector Investment (USD) / Project cost ])*
(Table9[Private Sector Investment (USD) / Project cost ]&gt;0)*
(Table9[Country Income Level]="Mixed")
),
_xlpm.med,MEDIAN(_xlpm.data),
_xlpm.mad,MEDIAN(ABS(_xlpm.data-_xlpm.med)),
SUMPRODUCT(--(ABS(_xlpm.data-_xlpm.med)&gt;2.5*_xlpm.mad))
)</f>
        <v>1</v>
      </c>
      <c r="AD22" s="203">
        <f t="array" ref="AD22">_xlfn.LET(
_xlpm.data,_xlfn._xlws.FILTER(
Table9[Private Sector Investment (USD) / Project cost ],
ISNUMBER(Table9[Private Sector Investment (USD) / Project cost ])*
(Table9[Private Sector Investment (USD) / Project cost ]&gt;0)*
(Table9[Country Income Level]="Mixed")
),
_xlpm.med,MEDIAN(_xlpm.data),
_xlpm.mad,MEDIAN(ABS(_xlpm.data-_xlpm.med)),
AVERAGE(_xlfn._xlws.FILTER(_xlpm.data,ABS(_xlpm.data-_xlpm.med)&lt;=2.5*_xlpm.mad))
)</f>
        <v>0.21553145695419498</v>
      </c>
      <c r="AE22" s="364">
        <f>Y22-AC22</f>
        <v>3</v>
      </c>
      <c r="AF22" s="192"/>
      <c r="AG22" s="370">
        <f t="array" ref="AG22">MEDIAN(
_xlfn._xlws.FILTER(
Table9[Private Sector Revenues Generated (USD) / Project cost],
ISNUMBER(Table9[Private Sector Revenues Generated (USD) / Project cost])*
(Table9[Private Sector Revenues Generated (USD) / Project cost]&gt;0)*
(Table9[Country Income Level]="Mixed")
)
)</f>
        <v>1.8035812692425064</v>
      </c>
      <c r="AH22" s="203">
        <f t="array" ref="AH22">AVERAGE(
_xlfn._xlws.FILTER(
Table9[Private Sector Revenues Generated (USD) / Project cost],
ISNUMBER(Table9[Private Sector Revenues Generated (USD) / Project cost])*
(Table9[Private Sector Revenues Generated (USD) / Project cost]&gt;0)*
(Table9[Country Income Level]="Mixed")
)
)</f>
        <v>1.8035812692425066</v>
      </c>
      <c r="AI22" s="15">
        <f>COUNTIFS(
Table9[Private Sector Revenues Generated (USD) / Project cost],"&gt;0",
Table9[Country Income Level],"Mixed"
)</f>
        <v>2</v>
      </c>
      <c r="AJ22" s="203">
        <f t="array" ref="AJ22">_xlfn.LET(
_xlpm.data,_xlfn._xlws.FILTER(
Table9[Private Sector Revenues Generated (USD) / Project cost],
ISNUMBER(Table9[Private Sector Revenues Generated (USD) / Project cost])*
(Table9[Private Sector Revenues Generated (USD) / Project cost]&gt;0)*
(Table9[Country Income Level]="Mixed")
),
MEDIAN(ABS(_xlpm.data-MEDIAN(_xlpm.data)))
)</f>
        <v>1.4364098692425067</v>
      </c>
      <c r="AK22" s="343">
        <f>AJ22/AG22</f>
        <v>0.79642092859269409</v>
      </c>
      <c r="AL22" s="195">
        <f t="array" ref="AL22">_xlfn.LET(
_xlpm.data,_xlfn._xlws.FILTER(
Table9[Private Sector Revenues Generated (USD) / Project cost],
ISNUMBER(Table9[Private Sector Revenues Generated (USD) / Project cost])*
(Table9[Private Sector Revenues Generated (USD) / Project cost]&gt;0)*
(Table9[Country Income Level]="Mixed")
),
_xlpm.med,MEDIAN(_xlpm.data),
_xlpm.mad,MEDIAN(ABS(_xlpm.data-_xlpm.med)),
SUMPRODUCT(--(ABS(_xlpm.data-_xlpm.med)&gt;2.5*_xlpm.mad))/COUNT(_xlpm.data)
)</f>
        <v>0</v>
      </c>
      <c r="AM22" s="15">
        <f t="array" ref="AM22">_xlfn.LET(
_xlpm.data,_xlfn._xlws.FILTER(
Table9[Private Sector Revenues Generated (USD) / Project cost],
ISNUMBER(Table9[Private Sector Revenues Generated (USD) / Project cost])*
(Table9[Private Sector Revenues Generated (USD) / Project cost]&gt;0)*
(Table9[Country Income Level]="Mixed")
),
_xlpm.med,MEDIAN(_xlpm.data),
_xlpm.mad,MEDIAN(ABS(_xlpm.data-_xlpm.med)),
SUMPRODUCT(--(ABS(_xlpm.data-_xlpm.med)&gt;2.5*_xlpm.mad))
)</f>
        <v>0</v>
      </c>
      <c r="AN22" s="203">
        <f t="array" ref="AN22">_xlfn.LET(
_xlpm.data,_xlfn._xlws.FILTER(
Table9[Private Sector Revenues Generated (USD) / Project cost],
ISNUMBER(Table9[Private Sector Revenues Generated (USD) / Project cost])*
(Table9[Private Sector Revenues Generated (USD) / Project cost]&gt;0)*
(Table9[Country Income Level]="Mixed")
),
_xlpm.med,MEDIAN(_xlpm.data),
_xlpm.mad,MEDIAN(ABS(_xlpm.data-_xlpm.med)),
AVERAGE(_xlfn._xlws.FILTER(_xlpm.data,ABS(_xlpm.data-_xlpm.med)&lt;=2.5*_xlpm.mad))
)</f>
        <v>1.8035812692425066</v>
      </c>
      <c r="AO22" s="232">
        <f>AI22-AM22</f>
        <v>2</v>
      </c>
      <c r="AP22" s="191"/>
      <c r="AQ22" s="406" t="e" vm="37">
        <f t="array" ref="AQ22">MEDIAN(
_xlfn._xlws.FILTER(
Table9[Export Revenue Generated (USD) /Project Cost],
ISNUMBER(Table9[Export Revenue Generated (USD) /Project Cost])*
(Table9[Export Revenue Generated (USD) /Project Cost]&gt;0)*
(Table9[Country Income Level]="Mixed")
)
)</f>
        <v>#VALUE!</v>
      </c>
      <c r="AR22" s="204" t="e" vm="37">
        <f t="array" ref="AR22">AVERAGE(
_xlfn._xlws.FILTER(
Table9[Export Revenue Generated (USD) /Project Cost],
ISNUMBER(Table9[Export Revenue Generated (USD) /Project Cost])*
(Table9[Export Revenue Generated (USD) /Project Cost]&gt;0)*
(Table9[Country Income Level]="Mixed")
)
)</f>
        <v>#VALUE!</v>
      </c>
      <c r="AS22" s="15">
        <f>COUNTIFS(
Table9[Export Revenue Generated (USD) /Project Cost],"&gt;0",
Table9[Country Income Level],"Mixed"
)</f>
        <v>0</v>
      </c>
      <c r="AT22" s="15" t="e" vm="37">
        <f t="array" ref="AT22">_xlfn.LET(
_xlpm.data,_xlfn._xlws.FILTER(
Table9[Export Revenue Generated (USD) /Project Cost],
ISNUMBER(Table9[Export Revenue Generated (USD) /Project Cost])*
(Table9[Export Revenue Generated (USD) /Project Cost]&gt;0)*
(Table9[Country Income Level]="Mixed")
),
MEDIAN(ABS(_xlpm.data-MEDIAN(_xlpm.data)))
)</f>
        <v>#VALUE!</v>
      </c>
      <c r="AU22" s="195" t="e" vm="38">
        <f>AT22/AQ22</f>
        <v>#VALUE!</v>
      </c>
      <c r="AV22" s="15" t="e" vm="37">
        <f t="array" ref="AV22">_xlfn.LET(
_xlpm.data,_xlfn._xlws.FILTER(
Table9[Export Revenue Generated (USD) /Project Cost],
ISNUMBER(Table9[Export Revenue Generated (USD) /Project Cost])*
(Table9[Export Revenue Generated (USD) /Project Cost]&gt;0)*
(Table9[Country Income Level]="Mixed")
),
_xlpm.med,MEDIAN(_xlpm.data),
_xlpm.mad,MEDIAN(ABS(_xlpm.data-_xlpm.med)),
SUMPRODUCT(--(ABS(_xlpm.data-_xlpm.med)&gt;2.5*_xlpm.mad))/COUNT(_xlpm.data)
)</f>
        <v>#VALUE!</v>
      </c>
      <c r="AW22" s="15" t="e" vm="37">
        <f t="array" ref="AW22">_xlfn.LET(
_xlpm.data,_xlfn._xlws.FILTER(
Table9[Export Revenue Generated (USD) /Project Cost],
ISNUMBER(Table9[Export Revenue Generated (USD) /Project Cost])*
(Table9[Export Revenue Generated (USD) /Project Cost]&gt;0)*
(Table9[Country Income Level]="Mixed")
),
_xlpm.med,MEDIAN(_xlpm.data),
_xlpm.mad,MEDIAN(ABS(_xlpm.data-_xlpm.med)),
SUMPRODUCT(--(ABS(_xlpm.data-_xlpm.med)&gt;2.5*_xlpm.mad))
)</f>
        <v>#VALUE!</v>
      </c>
      <c r="AX22" s="15" t="e" vm="37">
        <f t="array" ref="AX22">_xlfn.LET(
_xlpm.data,_xlfn._xlws.FILTER(
Table9[Export Revenue Generated (USD) /Project Cost],
ISNUMBER(Table9[Export Revenue Generated (USD) /Project Cost])*
(Table9[Export Revenue Generated (USD) /Project Cost]&gt;0)*
(Table9[Country Income Level]="Mixed")
),
_xlpm.med,MEDIAN(_xlpm.data),
_xlpm.mad,MEDIAN(ABS(_xlpm.data-_xlpm.med)),
AVERAGE(_xlfn._xlws.FILTER(_xlpm.data,ABS(_xlpm.data-_xlpm.med)&lt;=2.5*_xlpm.mad))
)</f>
        <v>#VALUE!</v>
      </c>
      <c r="AY22" s="232" t="e" vm="38">
        <f>AS22-AW22</f>
        <v>#VALUE!</v>
      </c>
      <c r="AZ22" s="142"/>
      <c r="BA22" s="202"/>
      <c r="BB22" s="202"/>
      <c r="BC22" s="15"/>
      <c r="BD22" s="15"/>
      <c r="BE22" s="15"/>
      <c r="BF22" s="15"/>
      <c r="BG22" s="15"/>
      <c r="BH22" s="15"/>
      <c r="BI22" s="15"/>
      <c r="BJ22" s="15"/>
      <c r="BK22" s="15"/>
      <c r="BL22" s="15"/>
      <c r="BM22" s="15"/>
      <c r="BN22" s="15"/>
      <c r="BO22" s="15"/>
      <c r="BP22" s="15"/>
      <c r="BQ22" s="15"/>
      <c r="BR22" s="15"/>
      <c r="BS22" s="15"/>
      <c r="BT22" s="15"/>
      <c r="BU22" s="202"/>
      <c r="BV22" s="202"/>
      <c r="BW22" s="15"/>
      <c r="BX22" s="15"/>
      <c r="BY22" s="15"/>
      <c r="BZ22" s="15"/>
      <c r="CA22" s="15"/>
      <c r="CB22" s="15"/>
      <c r="CC22" s="15"/>
      <c r="CD22" s="15"/>
      <c r="CE22" s="15"/>
      <c r="CF22" s="15"/>
      <c r="CG22" s="15"/>
      <c r="CH22" s="15"/>
      <c r="CI22" s="15"/>
      <c r="CJ22" s="15"/>
      <c r="CK22" s="15"/>
      <c r="CL22" s="15"/>
      <c r="CM22" s="15"/>
      <c r="CN22" s="135"/>
      <c r="CO22" s="203"/>
      <c r="CP22" s="203"/>
      <c r="CQ22" s="15"/>
      <c r="CR22" s="15"/>
      <c r="CS22" s="15"/>
      <c r="CT22" s="15"/>
      <c r="CU22" s="15"/>
      <c r="CV22" s="15"/>
      <c r="CW22" s="15"/>
    </row>
    <row r="23" spans="2:101" x14ac:dyDescent="0.25">
      <c r="B23" s="292" t="s">
        <v>702</v>
      </c>
      <c r="C23" s="361"/>
      <c r="D23" s="293"/>
      <c r="E23" s="293"/>
      <c r="F23" s="293"/>
      <c r="G23" s="347"/>
      <c r="H23" s="347"/>
      <c r="I23" s="293"/>
      <c r="J23" s="293"/>
      <c r="K23" s="362"/>
      <c r="L23" s="385"/>
      <c r="M23" s="361"/>
      <c r="N23" s="293"/>
      <c r="O23" s="293"/>
      <c r="P23" s="293"/>
      <c r="Q23" s="347"/>
      <c r="R23" s="347"/>
      <c r="S23" s="293"/>
      <c r="T23" s="293"/>
      <c r="U23" s="362"/>
      <c r="V23" s="385"/>
      <c r="W23" s="398"/>
      <c r="X23" s="373"/>
      <c r="Y23" s="373"/>
      <c r="Z23" s="373"/>
      <c r="AA23" s="373"/>
      <c r="AB23" s="373"/>
      <c r="AC23" s="373"/>
      <c r="AD23" s="373"/>
      <c r="AE23" s="399"/>
      <c r="AF23" s="385"/>
      <c r="AG23" s="361"/>
      <c r="AH23" s="293"/>
      <c r="AI23" s="293"/>
      <c r="AJ23" s="293"/>
      <c r="AK23" s="293"/>
      <c r="AL23" s="293"/>
      <c r="AM23" s="293"/>
      <c r="AN23" s="293"/>
      <c r="AO23" s="362"/>
      <c r="AP23" s="385"/>
      <c r="AQ23" s="361"/>
      <c r="AR23" s="293"/>
      <c r="AS23" s="293"/>
      <c r="AT23" s="293"/>
      <c r="AU23" s="293"/>
      <c r="AV23" s="293"/>
      <c r="AW23" s="293"/>
      <c r="AX23" s="293"/>
      <c r="AY23" s="362"/>
      <c r="AZ23" s="385"/>
      <c r="BA23" s="293"/>
      <c r="BB23" s="293"/>
      <c r="BC23" s="293"/>
      <c r="BD23" s="293"/>
      <c r="BE23" s="293"/>
      <c r="BF23" s="293"/>
      <c r="BG23" s="293"/>
      <c r="BH23" s="293"/>
      <c r="BI23" s="293"/>
      <c r="BJ23" s="385"/>
      <c r="BK23" s="293"/>
      <c r="BL23" s="293"/>
      <c r="BM23" s="293"/>
      <c r="BN23" s="293"/>
      <c r="BO23" s="293"/>
      <c r="BP23" s="293"/>
      <c r="BQ23" s="293"/>
      <c r="BR23" s="293"/>
      <c r="BS23" s="293"/>
      <c r="BT23" s="385"/>
      <c r="BU23" s="293"/>
      <c r="BV23" s="293"/>
      <c r="BW23" s="293"/>
      <c r="BX23" s="293"/>
      <c r="BY23" s="293"/>
      <c r="BZ23" s="293"/>
      <c r="CA23" s="293"/>
      <c r="CB23" s="293"/>
      <c r="CC23" s="293"/>
      <c r="CD23" s="385"/>
      <c r="CE23" s="293"/>
      <c r="CF23" s="293"/>
      <c r="CG23" s="293"/>
      <c r="CH23" s="293"/>
      <c r="CI23" s="293"/>
      <c r="CJ23" s="293"/>
      <c r="CK23" s="293"/>
      <c r="CL23" s="293"/>
      <c r="CM23" s="293"/>
      <c r="CN23" s="385"/>
      <c r="CO23" s="373"/>
      <c r="CP23" s="373"/>
      <c r="CQ23" s="373"/>
      <c r="CR23" s="373"/>
      <c r="CS23" s="373"/>
      <c r="CT23" s="373"/>
      <c r="CU23" s="373"/>
      <c r="CV23" s="373"/>
      <c r="CW23" s="373"/>
    </row>
    <row r="24" spans="2:101" x14ac:dyDescent="0.25">
      <c r="B24" s="356" t="s">
        <v>703</v>
      </c>
      <c r="C24" s="363">
        <f t="array" ref="C24">MEDIAN(_xlfn._xlws.FILTER(Table9[Income per beneficiary (USD)], (Table9[Income per beneficiary (USD)]&gt;0)*(Table9[Cost Quartiles]="1st Quartile (Lowest 25%)")))</f>
        <v>261.03095479055395</v>
      </c>
      <c r="D24" s="202">
        <f t="array" ref="D24">AVERAGE(_xlfn._xlws.FILTER(Table9[Income per beneficiary (USD)], (Table9[Income per beneficiary (USD)]&gt;0)*(Table9[Cost Quartiles]="1st Quartile (Lowest 25%)")))</f>
        <v>276.58226598274604</v>
      </c>
      <c r="E24" s="15">
        <f>COUNTIFS(Table9[Income per beneficiary (USD)],"&gt;0",Table9[Cost Quartiles],"1st Quartile (Lowest 25%)")</f>
        <v>16</v>
      </c>
      <c r="F24" s="202">
        <f t="array" ref="F24">_xlfn.LET(
_xlpm.data,_xlfn._xlws.FILTER(
Table9[Income per beneficiary (USD)],
(Table9[Income per beneficiary (USD)]&gt;0)*
(Table9[Cost Quartiles]="1st Quartile (Lowest 25%)")
),
MEDIAN(ABS(_xlpm.data-MEDIAN(_xlpm.data)))
)</f>
        <v>168.46114194037989</v>
      </c>
      <c r="G24" s="195">
        <f>F24/C24</f>
        <v>0.64536844710831232</v>
      </c>
      <c r="H24" s="195">
        <f t="array" ref="H24">_xlfn.LET(
_xlpm.data,_xlfn._xlws.FILTER(
Table9[Income per beneficiary (USD)],
(Table9[Income per beneficiary (USD)]&gt;0)*
(Table9[Cost Quartiles]="1st Quartile (Lowest 25%)")
),
_xlpm.med,MEDIAN(_xlpm.data),
_xlpm.mad,MEDIAN(ABS(_xlpm.data-_xlpm.med)),
SUMPRODUCT(--(ABS(_xlpm.data-_xlpm.med)&gt;2.5*_xlpm.mad))/COUNT(_xlpm.data)
)</f>
        <v>0</v>
      </c>
      <c r="I24" s="15">
        <f t="array" ref="I24">_xlfn.LET(
_xlpm.data,_xlfn._xlws.FILTER(
Table9[Income per beneficiary (USD)],
(Table9[Income per beneficiary (USD)]&gt;0)*
(Table9[Cost Quartiles]="1st Quartile (Lowest 25%)")
),
_xlpm.med,MEDIAN(_xlpm.data),
_xlpm.mad,MEDIAN(ABS(_xlpm.data-_xlpm.med)),
SUMPRODUCT(--(ABS(_xlpm.data-_xlpm.med)&gt;2.5*_xlpm.mad))
)</f>
        <v>0</v>
      </c>
      <c r="J24" s="202">
        <f t="array" ref="J24">_xlfn.LET(
_xlpm.data,_xlfn._xlws.FILTER(
Table9[Income per beneficiary (USD)],
(Table9[Income per beneficiary (USD)]&gt;0)*
(Table9[Cost Quartiles]="1st Quartile (Lowest 25%)")
),
_xlpm.med,MEDIAN(_xlpm.data),
_xlpm.mad,MEDIAN(ABS(_xlpm.data-_xlpm.med)),
AVERAGE(_xlfn._xlws.FILTER(_xlpm.data,ABS(_xlpm.data-_xlpm.med)&lt;=2.5*_xlpm.mad))
)</f>
        <v>276.58226598274604</v>
      </c>
      <c r="K24" s="364">
        <f>E24-I24</f>
        <v>16</v>
      </c>
      <c r="L24" s="192"/>
      <c r="M24" s="370">
        <f t="array" ref="M24">MEDIAN(
_xlfn._xlws.FILTER(
Table9[Normalised Income Impact Ratio],
ISNUMBER(Table9[Normalised Income Impact Ratio])*
(Table9[Normalised Income Impact Ratio]&gt;0)*
(Table9[Cost Quartiles]="1st Quartile (Lowest 25%)")
)
)</f>
        <v>2.1857319389547651E-2</v>
      </c>
      <c r="N24" s="203">
        <f t="array" ref="N24">AVERAGE(
_xlfn._xlws.FILTER(
Table9[Normalised Income Impact Ratio],
ISNUMBER(Table9[Normalised Income Impact Ratio])*
(Table9[Normalised Income Impact Ratio]&gt;0)*
(Table9[Cost Quartiles]="1st Quartile (Lowest 25%)")
)
)</f>
        <v>2.9125500420513411E-2</v>
      </c>
      <c r="O24" s="15">
        <f>COUNTIFS(
Table9[Normalised Income Impact Ratio],"&gt;0",
Table9[Cost Quartiles],"1st Quartile (Lowest 25%)"
)</f>
        <v>15</v>
      </c>
      <c r="P24" s="203">
        <f t="array" ref="P24">_xlfn.LET(
_xlpm.data,_xlfn._xlws.FILTER(
Table9[Normalised Income Impact Ratio],
ISNUMBER(Table9[Normalised Income Impact Ratio])*
(Table9[Normalised Income Impact Ratio]&gt;0)*
(Table9[Cost Quartiles]="1st Quartile (Lowest 25%)")
),
MEDIAN(ABS(_xlpm.data-MEDIAN(_xlpm.data)))
)</f>
        <v>1.3849909546039122E-2</v>
      </c>
      <c r="Q24" s="195">
        <f>P24/M24</f>
        <v>0.63365087452866076</v>
      </c>
      <c r="R24" s="195">
        <f t="array" ref="R24">_xlfn.LET(
_xlpm.data,_xlfn._xlws.FILTER(
Table9[Normalised Income Impact Ratio],
ISNUMBER(Table9[Normalised Income Impact Ratio])*
(Table9[Normalised Income Impact Ratio]&gt;0)*
(Table9[Cost Quartiles]="1st Quartile (Lowest 25%)")
),
_xlpm.med,MEDIAN(_xlpm.data),
_xlpm.mad,MEDIAN(ABS(_xlpm.data-_xlpm.med)),
SUMPRODUCT(--(ABS(_xlpm.data-_xlpm.med)&gt;2.5*_xlpm.mad))/COUNT(_xlpm.data)
)</f>
        <v>0.2</v>
      </c>
      <c r="S24" s="15">
        <f t="array" ref="S24">_xlfn.LET(
_xlpm.data,_xlfn._xlws.FILTER(
Table9[Normalised Income Impact Ratio],
ISNUMBER(Table9[Normalised Income Impact Ratio])*
(Table9[Normalised Income Impact Ratio]&gt;0)*
(Table9[Cost Quartiles]="1st Quartile (Lowest 25%)")
),
_xlpm.med,MEDIAN(_xlpm.data),
_xlpm.mad,MEDIAN(ABS(_xlpm.data-_xlpm.med)),
SUMPRODUCT(--(ABS(_xlpm.data-_xlpm.med)&gt;2.5*_xlpm.mad))
)</f>
        <v>3</v>
      </c>
      <c r="T24" s="203">
        <f t="array" ref="T24">_xlfn.LET(
_xlpm.data,_xlfn._xlws.FILTER(
Table9[Normalised Income Impact Ratio],
ISNUMBER(Table9[Normalised Income Impact Ratio])*
(Table9[Normalised Income Impact Ratio]&gt;0)*
(Table9[Cost Quartiles]="1st Quartile (Lowest 25%)")
),
_xlpm.med,MEDIAN(_xlpm.data),
_xlpm.mad,MEDIAN(ABS(_xlpm.data-_xlpm.med)),
AVERAGE(_xlfn._xlws.FILTER(_xlpm.data,ABS(_xlpm.data-_xlpm.med)&lt;=2.5*_xlpm.mad))
)</f>
        <v>1.7255451541505821E-2</v>
      </c>
      <c r="U24" s="232">
        <f>O24-S24</f>
        <v>12</v>
      </c>
      <c r="V24" s="191"/>
      <c r="W24" s="370">
        <f t="array" ref="W24">MEDIAN(
_xlfn._xlws.FILTER(
Table9[Private Sector Investment (USD) / Project cost ],
ISNUMBER(Table9[Private Sector Investment (USD) / Project cost ])*
(Table9[Private Sector Investment (USD) / Project cost ]&gt;0)*
(Table9[Cost Quartiles]="1st Quartile (Lowest 25%)")
)
)</f>
        <v>0.29726449999999999</v>
      </c>
      <c r="X24" s="203">
        <f t="array" ref="X24">AVERAGE(
_xlfn._xlws.FILTER(
Table9[Private Sector Investment (USD) / Project cost ],
ISNUMBER(Table9[Private Sector Investment (USD) / Project cost ])*
(Table9[Private Sector Investment (USD) / Project cost ]&gt;0)*
(Table9[Cost Quartiles]="1st Quartile (Lowest 25%)")
)
)</f>
        <v>1.351754471956375</v>
      </c>
      <c r="Y24" s="15">
        <f>COUNTIFS(
Table9[Private Sector Investment (USD) / Project cost ],"&gt;0",
Table9[Cost Quartiles],"1st Quartile (Lowest 25%)"
)</f>
        <v>9</v>
      </c>
      <c r="Z24" s="400">
        <f t="array" ref="Z24">_xlfn.LET(
_xlpm.data,_xlfn._xlws.FILTER(
Table9[Private Sector Investment (USD) / Project cost ],
ISNUMBER(Table9[Private Sector Investment (USD) / Project cost ])*
(Table9[Private Sector Investment (USD) / Project cost ]&gt;0)*
(Table9[Cost Quartiles]="1st Quartile (Lowest 25%)")
),
MEDIAN(ABS(_xlpm.data-MEDIAN(_xlpm.data)))
)</f>
        <v>0.28327757189542485</v>
      </c>
      <c r="AA24" s="195">
        <f>Z24/W24</f>
        <v>0.95294786930637487</v>
      </c>
      <c r="AB24" s="195">
        <f t="array" ref="AB24">_xlfn.LET(
_xlpm.data,_xlfn._xlws.FILTER(
Table9[Private Sector Investment (USD) / Project cost ],
ISNUMBER(Table9[Private Sector Investment (USD) / Project cost ])*
(Table9[Private Sector Investment (USD) / Project cost ]&gt;0)*
(Table9[Cost Quartiles]="1st Quartile (Lowest 25%)")
),
_xlpm.med,MEDIAN(_xlpm.data),
_xlpm.mad,MEDIAN(ABS(_xlpm.data-_xlpm.med)),
SUMPRODUCT(--(ABS(_xlpm.data-_xlpm.med)&gt;2.5*_xlpm.mad))/COUNT(_xlpm.data)
)</f>
        <v>0.22222222222222221</v>
      </c>
      <c r="AC24" s="15">
        <f t="array" ref="AC24">_xlfn.LET(
_xlpm.data,_xlfn._xlws.FILTER(
Table9[Private Sector Investment (USD) / Project cost ],
ISNUMBER(Table9[Private Sector Investment (USD) / Project cost ])*
(Table9[Private Sector Investment (USD) / Project cost ]&gt;0)*
(Table9[Cost Quartiles]="1st Quartile (Lowest 25%)")
),
_xlpm.med,MEDIAN(_xlpm.data),
_xlpm.mad,MEDIAN(ABS(_xlpm.data-_xlpm.med)),
SUMPRODUCT(--(ABS(_xlpm.data-_xlpm.med)&gt;2.5*_xlpm.mad))
)</f>
        <v>2</v>
      </c>
      <c r="AD24" s="203">
        <f t="array" ref="AD24">_xlfn.LET(
_xlpm.data,_xlfn._xlws.FILTER(
Table9[Private Sector Investment (USD) / Project cost ],
ISNUMBER(Table9[Private Sector Investment (USD) / Project cost ])*
(Table9[Private Sector Investment (USD) / Project cost ]&gt;0)*
(Table9[Cost Quartiles]="1st Quartile (Lowest 25%)")
),
_xlpm.med,MEDIAN(_xlpm.data),
_xlpm.mad,MEDIAN(ABS(_xlpm.data-_xlpm.med)),
AVERAGE(_xlfn._xlws.FILTER(_xlpm.data,ABS(_xlpm.data-_xlpm.med)&lt;=2.5*_xlpm.mad))
)</f>
        <v>0.26989244799009021</v>
      </c>
      <c r="AE24" s="232">
        <f>Y24-AC24</f>
        <v>7</v>
      </c>
      <c r="AF24" s="191"/>
      <c r="AG24" s="370">
        <f t="array" ref="AG24">MEDIAN(
_xlfn._xlws.FILTER(
Table9[Private Sector Revenues Generated (USD) / Project cost],
ISNUMBER(Table9[Private Sector Revenues Generated (USD) / Project cost])*
(Table9[Private Sector Revenues Generated (USD) / Project cost]&gt;0)*
(Table9[Cost Quartiles]="1st Quartile (Lowest 25%)")
)
)</f>
        <v>0.27511904761904765</v>
      </c>
      <c r="AH24" s="203">
        <f t="array" ref="AH24">AVERAGE(
_xlfn._xlws.FILTER(
Table9[Private Sector Revenues Generated (USD) / Project cost],
ISNUMBER(Table9[Private Sector Revenues Generated (USD) / Project cost])*
(Table9[Private Sector Revenues Generated (USD) / Project cost]&gt;0)*
(Table9[Cost Quartiles]="1st Quartile (Lowest 25%)")
)
)</f>
        <v>0.54267492344863644</v>
      </c>
      <c r="AI24" s="15">
        <f>COUNTIFS(
Table9[Private Sector Revenues Generated (USD) / Project cost],"&gt;0",
Table9[Cost Quartiles],"1st Quartile (Lowest 25%)"
)</f>
        <v>10</v>
      </c>
      <c r="AJ24" s="203">
        <f t="array" ref="AJ24">_xlfn.LET(
_xlpm.data,_xlfn._xlws.FILTER(
Table9[Private Sector Revenues Generated (USD) / Project cost],
ISNUMBER(Table9[Private Sector Revenues Generated (USD) / Project cost])*
(Table9[Private Sector Revenues Generated (USD) / Project cost]&gt;0)*
(Table9[Cost Quartiles]="1st Quartile (Lowest 25%)")
),
MEDIAN(ABS(_xlpm.data-MEDIAN(_xlpm.data)))
)</f>
        <v>0.22278399400438145</v>
      </c>
      <c r="AK24" s="343">
        <f>AJ24/AG24</f>
        <v>0.80977306345166766</v>
      </c>
      <c r="AL24" s="195">
        <f t="array" ref="AL24">_xlfn.LET(
_xlpm.data,_xlfn._xlws.FILTER(
Table9[Private Sector Revenues Generated (USD) / Project cost],
ISNUMBER(Table9[Private Sector Revenues Generated (USD) / Project cost])*
(Table9[Private Sector Revenues Generated (USD) / Project cost]&gt;0)*
(Table9[Cost Quartiles]="1st Quartile (Lowest 25%)")
),
_xlpm.med,MEDIAN(_xlpm.data),
_xlpm.mad,MEDIAN(ABS(_xlpm.data-_xlpm.med)),
SUMPRODUCT(--(ABS(_xlpm.data-_xlpm.med)&gt;2.5*_xlpm.mad))/COUNT(_xlpm.data)
)</f>
        <v>0.3</v>
      </c>
      <c r="AM24" s="15">
        <f t="array" ref="AM24">_xlfn.LET(
_xlpm.data,_xlfn._xlws.FILTER(
Table9[Private Sector Revenues Generated (USD) / Project cost],
ISNUMBER(Table9[Private Sector Revenues Generated (USD) / Project cost])*
(Table9[Private Sector Revenues Generated (USD) / Project cost]&gt;0)*
(Table9[Cost Quartiles]="1st Quartile (Lowest 25%)")
),
_xlpm.med,MEDIAN(_xlpm.data),
_xlpm.mad,MEDIAN(ABS(_xlpm.data-_xlpm.med)),
SUMPRODUCT(--(ABS(_xlpm.data-_xlpm.med)&gt;2.5*_xlpm.mad))
)</f>
        <v>3</v>
      </c>
      <c r="AN24" s="203">
        <f t="array" ref="AN24">_xlfn.LET(
_xlpm.data,_xlfn._xlws.FILTER(
Table9[Private Sector Revenues Generated (USD) / Project cost],
ISNUMBER(Table9[Private Sector Revenues Generated (USD) / Project cost])*
(Table9[Private Sector Revenues Generated (USD) / Project cost]&gt;0)*
(Table9[Cost Quartiles]="1st Quartile (Lowest 25%)")
),
_xlpm.med,MEDIAN(_xlpm.data),
_xlpm.mad,MEDIAN(ABS(_xlpm.data-_xlpm.med)),
AVERAGE(_xlfn._xlws.FILTER(_xlpm.data,ABS(_xlpm.data-_xlpm.med)&lt;=2.5*_xlpm.mad))
)</f>
        <v>0.17465274997965166</v>
      </c>
      <c r="AO24" s="232">
        <f>AI24-AM24</f>
        <v>7</v>
      </c>
      <c r="AP24" s="191"/>
      <c r="AQ24" s="405">
        <f t="array" ref="AQ24">MEDIAN(
_xlfn._xlws.FILTER(
Table9[Export Revenue Generated (USD) /Project Cost],
ISNUMBER(Table9[Export Revenue Generated (USD) /Project Cost])*
(Table9[Export Revenue Generated (USD) /Project Cost]&gt;0)*
(Table9[Cost Quartiles]="1st Quartile (Lowest 25%)")
)
)</f>
        <v>3.6333847829880667E-2</v>
      </c>
      <c r="AR24" s="198">
        <f t="array" ref="AR24">AVERAGE(
_xlfn._xlws.FILTER(
Table9[Export Revenue Generated (USD) /Project Cost],
ISNUMBER(Table9[Export Revenue Generated (USD) /Project Cost])*
(Table9[Export Revenue Generated (USD) /Project Cost]&gt;0)*
(Table9[Cost Quartiles]="1st Quartile (Lowest 25%)")
)
)</f>
        <v>0.12814607307438275</v>
      </c>
      <c r="AS24" s="15">
        <f>COUNTIFS(
Table9[Export Revenue Generated (USD) /Project Cost],"&gt;0",
Table9[Cost Quartiles],"1st Quartile (Lowest 25%)"
)</f>
        <v>3</v>
      </c>
      <c r="AT24" s="203">
        <f t="array" ref="AT24">_xlfn.LET(
_xlpm.data,_xlfn._xlws.FILTER(
Table9[Export Revenue Generated (USD) /Project Cost],
ISNUMBER(Table9[Export Revenue Generated (USD) /Project Cost])*
(Table9[Export Revenue Generated (USD) /Project Cost]&gt;0)*
(Table9[Cost Quartiles]="1st Quartile (Lowest 25%)")
),
MEDIAN(ABS(_xlpm.data-MEDIAN(_xlpm.data)))
)</f>
        <v>3.564309782988067E-2</v>
      </c>
      <c r="AU24" s="195">
        <f>AT24/AQ24</f>
        <v>0.98098880131732347</v>
      </c>
      <c r="AV24" s="195">
        <f t="array" ref="AV24">_xlfn.LET(
_xlpm.data,_xlfn._xlws.FILTER(
Table9[Export Revenue Generated (USD) /Project Cost],
ISNUMBER(Table9[Export Revenue Generated (USD) /Project Cost])*
(Table9[Export Revenue Generated (USD) /Project Cost]&gt;0)*
(Table9[Cost Quartiles]="1st Quartile (Lowest 25%)")
),
_xlpm.med,MEDIAN(_xlpm.data),
_xlpm.mad,MEDIAN(ABS(_xlpm.data-_xlpm.med)),
SUMPRODUCT(--(ABS(_xlpm.data-_xlpm.med)&gt;2.5*_xlpm.mad))/COUNT(_xlpm.data)
)</f>
        <v>0.33333333333333331</v>
      </c>
      <c r="AW24" s="15">
        <f t="array" ref="AW24">_xlfn.LET(
_xlpm.data,_xlfn._xlws.FILTER(
Table9[Export Revenue Generated (USD) /Project Cost],
ISNUMBER(Table9[Export Revenue Generated (USD) /Project Cost])*
(Table9[Export Revenue Generated (USD) /Project Cost]&gt;0)*
(Table9[Cost Quartiles]="1st Quartile (Lowest 25%)")
),
_xlpm.med,MEDIAN(_xlpm.data),
_xlpm.mad,MEDIAN(ABS(_xlpm.data-_xlpm.med)),
SUMPRODUCT(--(ABS(_xlpm.data-_xlpm.med)&gt;2.5*_xlpm.mad))
)</f>
        <v>1</v>
      </c>
      <c r="AX24" s="203">
        <f t="array" ref="AX24">_xlfn.LET(
_xlpm.data,_xlfn._xlws.FILTER(
Table9[Export Revenue Generated (USD) /Project Cost],
ISNUMBER(Table9[Export Revenue Generated (USD) /Project Cost])*
(Table9[Export Revenue Generated (USD) /Project Cost]&gt;0)*
(Table9[Cost Quartiles]="1st Quartile (Lowest 25%)")
),
_xlpm.med,MEDIAN(_xlpm.data),
_xlpm.mad,MEDIAN(ABS(_xlpm.data-_xlpm.med)),
AVERAGE(_xlfn._xlws.FILTER(_xlpm.data,ABS(_xlpm.data-_xlpm.med)&lt;=2.5*_xlpm.mad))
)</f>
        <v>1.8512298914940332E-2</v>
      </c>
      <c r="AY24" s="232">
        <f>AS24-AW24</f>
        <v>2</v>
      </c>
      <c r="AZ24" s="191"/>
      <c r="BA24" s="202"/>
      <c r="BB24" s="202"/>
      <c r="BC24" s="15"/>
      <c r="BD24" s="15"/>
      <c r="BE24" s="15"/>
      <c r="BF24" s="15"/>
      <c r="BG24" s="15"/>
      <c r="BH24" s="15"/>
      <c r="BI24" s="15"/>
      <c r="BJ24" s="191"/>
      <c r="BK24" s="15"/>
      <c r="BL24" s="15"/>
      <c r="BM24" s="15"/>
      <c r="BN24" s="15"/>
      <c r="BO24" s="15"/>
      <c r="BP24" s="15"/>
      <c r="BQ24" s="15"/>
      <c r="BR24" s="15"/>
      <c r="BS24" s="15"/>
      <c r="BT24" s="191"/>
      <c r="BU24" s="202"/>
      <c r="BV24" s="202"/>
      <c r="BW24" s="15"/>
      <c r="BX24" s="15"/>
      <c r="BY24" s="15"/>
      <c r="BZ24" s="15"/>
      <c r="CA24" s="15"/>
      <c r="CB24" s="15"/>
      <c r="CC24" s="15"/>
      <c r="CD24" s="191"/>
      <c r="CE24" s="15"/>
      <c r="CF24" s="15"/>
      <c r="CG24" s="15"/>
      <c r="CH24" s="15"/>
      <c r="CI24" s="15"/>
      <c r="CJ24" s="15"/>
      <c r="CK24" s="15"/>
      <c r="CL24" s="15"/>
      <c r="CM24" s="15"/>
      <c r="CN24" s="191"/>
      <c r="CO24" s="203"/>
      <c r="CP24" s="203"/>
      <c r="CQ24" s="15"/>
      <c r="CR24" s="15"/>
      <c r="CS24" s="15"/>
      <c r="CT24" s="15"/>
      <c r="CU24" s="15"/>
      <c r="CV24" s="15"/>
      <c r="CW24" s="15"/>
    </row>
    <row r="25" spans="2:101" x14ac:dyDescent="0.25">
      <c r="B25" s="356" t="s">
        <v>704</v>
      </c>
      <c r="C25" s="363">
        <f t="array" ref="C25">MEDIAN(_xlfn._xlws.FILTER(Table9[Income per beneficiary (USD)],(Table9[Income per beneficiary (USD)]&gt;0)*(Table9[Cost Quartiles]="2nd Quartile (25–50%)")))</f>
        <v>247.04261754384419</v>
      </c>
      <c r="D25" s="202">
        <f t="array" ref="D25">AVERAGE(_xlfn._xlws.FILTER(Table9[Income per beneficiary (USD)],(Table9[Income per beneficiary (USD)]&gt;0)*(Table9[Cost Quartiles]="2nd Quartile (25–50%)")))</f>
        <v>736.45545627188972</v>
      </c>
      <c r="E25" s="15">
        <f>COUNTIFS(Table9[Income per beneficiary (USD)],"&gt;0",Table9[Cost Quartiles],"2nd Quartile (25–50%)")</f>
        <v>8</v>
      </c>
      <c r="F25" s="202">
        <f t="array" ref="F25">_xlfn.LET(
_xlpm.data,_xlfn._xlws.FILTER(
Table9[Income per beneficiary (USD)],
(Table9[Income per beneficiary (USD)]&gt;0)*
(Table9[Cost Quartiles]="2nd Quartile (25–50%)")
),
MEDIAN(ABS(_xlpm.data-MEDIAN(_xlpm.data)))
)</f>
        <v>168.04697961542439</v>
      </c>
      <c r="G25" s="195">
        <f>F25/C25</f>
        <v>0.68023477603252014</v>
      </c>
      <c r="H25" s="195">
        <f t="array" ref="H25">_xlfn.LET(
_xlpm.data,_xlfn._xlws.FILTER(
Table9[Income per beneficiary (USD)],
(Table9[Income per beneficiary (USD)]&gt;0)*
(Table9[Cost Quartiles]="2nd Quartile (25–50%)")
),
_xlpm.med,MEDIAN(_xlpm.data),
_xlpm.mad,MEDIAN(ABS(_xlpm.data-_xlpm.med)),
SUMPRODUCT(--(ABS(_xlpm.data-_xlpm.med)&gt;2.5*_xlpm.mad))/COUNT(_xlpm.data)
)</f>
        <v>0.375</v>
      </c>
      <c r="I25" s="15">
        <f t="array" ref="I25">_xlfn.LET(
_xlpm.data,_xlfn._xlws.FILTER(
Table9[Income per beneficiary (USD)],
(Table9[Income per beneficiary (USD)]&gt;0)*
(Table9[Cost Quartiles]="2nd Quartile (25–50%)")
),
_xlpm.med,MEDIAN(_xlpm.data),
_xlpm.mad,MEDIAN(ABS(_xlpm.data-_xlpm.med)),
SUMPRODUCT(--(ABS(_xlpm.data-_xlpm.med)&gt;2.5*_xlpm.mad))
)</f>
        <v>3</v>
      </c>
      <c r="J25" s="202">
        <f t="array" ref="J25">_xlfn.LET(
_xlpm.data,_xlfn._xlws.FILTER(
Table9[Income per beneficiary (USD)],
(Table9[Income per beneficiary (USD)]&gt;0)*
(Table9[Cost Quartiles]="2nd Quartile (25–50%)")
),
_xlpm.med,MEDIAN(_xlpm.data),
_xlpm.mad,MEDIAN(ABS(_xlpm.data-_xlpm.med)),
AVERAGE(_xlfn._xlws.FILTER(_xlpm.data,ABS(_xlpm.data-_xlpm.med)&lt;=2.5*_xlpm.mad))
)</f>
        <v>156.90842668420058</v>
      </c>
      <c r="K25" s="364">
        <f>E25-I25</f>
        <v>5</v>
      </c>
      <c r="L25" s="192"/>
      <c r="M25" s="370">
        <f t="array" ref="M25">MEDIAN(
_xlfn._xlws.FILTER(
Table9[Normalised Income Impact Ratio],
ISNUMBER(Table9[Normalised Income Impact Ratio])*
(Table9[Normalised Income Impact Ratio]&gt;0)*
(Table9[Cost Quartiles]="2nd Quartile (25–50%)")
)
)</f>
        <v>9.9489920937024051E-2</v>
      </c>
      <c r="N25" s="203">
        <f t="array" ref="N25">AVERAGE(
_xlfn._xlws.FILTER(
Table9[Normalised Income Impact Ratio],
ISNUMBER(Table9[Normalised Income Impact Ratio])*
(Table9[Normalised Income Impact Ratio]&gt;0)*
(Table9[Cost Quartiles]="2nd Quartile (25–50%)")
)
)</f>
        <v>0.10008991996049749</v>
      </c>
      <c r="O25" s="15">
        <f>COUNTIFS(
Table9[Normalised Income Impact Ratio],"&gt;0",
Table9[Cost Quartiles],"2nd Quartile (25–50%)"
)</f>
        <v>8</v>
      </c>
      <c r="P25" s="203">
        <f t="array" ref="P25">_xlfn.LET(
_xlpm.data,_xlfn._xlws.FILTER(
Table9[Normalised Income Impact Ratio],
ISNUMBER(Table9[Normalised Income Impact Ratio])*
(Table9[Normalised Income Impact Ratio]&gt;0)*
(Table9[Cost Quartiles]="2nd Quartile (25–50%)")
),
MEDIAN(ABS(_xlpm.data-MEDIAN(_xlpm.data)))
)</f>
        <v>4.7809005149135185E-2</v>
      </c>
      <c r="Q25" s="195">
        <f>P25/M25</f>
        <v>0.4805411914981591</v>
      </c>
      <c r="R25" s="195">
        <f t="array" ref="R25">_xlfn.LET(
_xlpm.data,_xlfn._xlws.FILTER(
Table9[Normalised Income Impact Ratio],
ISNUMBER(Table9[Normalised Income Impact Ratio])*
(Table9[Normalised Income Impact Ratio]&gt;0)*
(Table9[Cost Quartiles]="2nd Quartile (25–50%)")
),
_xlpm.med,MEDIAN(_xlpm.data),
_xlpm.mad,MEDIAN(ABS(_xlpm.data-_xlpm.med)),
SUMPRODUCT(--(ABS(_xlpm.data-_xlpm.med)&gt;2.5*_xlpm.mad))/COUNT(_xlpm.data)
)</f>
        <v>0.125</v>
      </c>
      <c r="S25" s="15">
        <f t="array" ref="S25">_xlfn.LET(
_xlpm.data,_xlfn._xlws.FILTER(
Table9[Normalised Income Impact Ratio],
ISNUMBER(Table9[Normalised Income Impact Ratio])*
(Table9[Normalised Income Impact Ratio]&gt;0)*
(Table9[Cost Quartiles]="2nd Quartile (25–50%)")
),
_xlpm.med,MEDIAN(_xlpm.data),
_xlpm.mad,MEDIAN(ABS(_xlpm.data-_xlpm.med)),
SUMPRODUCT(--(ABS(_xlpm.data-_xlpm.med)&gt;2.5*_xlpm.mad))
)</f>
        <v>1</v>
      </c>
      <c r="T25" s="203">
        <f t="array" ref="T25">_xlfn.LET(
_xlpm.data,_xlfn._xlws.FILTER(
Table9[Normalised Income Impact Ratio],
ISNUMBER(Table9[Normalised Income Impact Ratio])*
(Table9[Normalised Income Impact Ratio]&gt;0)*
(Table9[Cost Quartiles]="2nd Quartile (25–50%)")
),
_xlpm.med,MEDIAN(_xlpm.data),
_xlpm.mad,MEDIAN(ABS(_xlpm.data-_xlpm.med)),
AVERAGE(_xlfn._xlws.FILTER(_xlpm.data,ABS(_xlpm.data-_xlpm.med)&lt;=2.5*_xlpm.mad))
)</f>
        <v>7.7653786077303236E-2</v>
      </c>
      <c r="U25" s="232">
        <f>O25-S25</f>
        <v>7</v>
      </c>
      <c r="V25" s="191"/>
      <c r="W25" s="370">
        <f t="array" ref="W25">MEDIAN(
_xlfn._xlws.FILTER(
Table9[Private Sector Investment (USD) / Project cost ],
ISNUMBER(Table9[Private Sector Investment (USD) / Project cost ])*
(Table9[Private Sector Investment (USD) / Project cost ]&gt;0)*
(Table9[Cost Quartiles]="2nd Quartile (25–50%)")
)
)</f>
        <v>0.25141106448692158</v>
      </c>
      <c r="X25" s="203">
        <f t="array" ref="X25">AVERAGE(
_xlfn._xlws.FILTER(
Table9[Private Sector Investment (USD) / Project cost ],
ISNUMBER(Table9[Private Sector Investment (USD) / Project cost ])*
(Table9[Private Sector Investment (USD) / Project cost ]&gt;0)*
(Table9[Cost Quartiles]="2nd Quartile (25–50%)")
)
)</f>
        <v>0.53604359976209248</v>
      </c>
      <c r="Y25" s="15">
        <f>COUNTIFS(
Table9[Private Sector Investment (USD) / Project cost ],"&gt;0",
Table9[Cost Quartiles],"2nd Quartile (25–50%)"
)</f>
        <v>14</v>
      </c>
      <c r="Z25" s="203">
        <f t="array" ref="Z25">_xlfn.LET(
_xlpm.data,_xlfn._xlws.FILTER(
Table9[Private Sector Investment (USD) / Project cost ],
ISNUMBER(Table9[Private Sector Investment (USD) / Project cost ])*
(Table9[Private Sector Investment (USD) / Project cost ]&gt;0)*
(Table9[Cost Quartiles]="2nd Quartile (25–50%)")
),
MEDIAN(ABS(_xlpm.data-MEDIAN(_xlpm.data)))
)</f>
        <v>0.19075595308804708</v>
      </c>
      <c r="AA25" s="195">
        <f>Z25/W25</f>
        <v>0.75874128084752701</v>
      </c>
      <c r="AB25" s="195">
        <f t="array" ref="AB25">_xlfn.LET(
_xlpm.data,_xlfn._xlws.FILTER(
Table9[Private Sector Investment (USD) / Project cost ],
ISNUMBER(Table9[Private Sector Investment (USD) / Project cost ])*
(Table9[Private Sector Investment (USD) / Project cost ]&gt;0)*
(Table9[Cost Quartiles]="2nd Quartile (25–50%)")
),
_xlpm.med,MEDIAN(_xlpm.data),
_xlpm.mad,MEDIAN(ABS(_xlpm.data-_xlpm.med)),
SUMPRODUCT(--(ABS(_xlpm.data-_xlpm.med)&gt;2.5*_xlpm.mad))/COUNT(_xlpm.data)
)</f>
        <v>0.2857142857142857</v>
      </c>
      <c r="AC25" s="15">
        <f t="array" ref="AC25">_xlfn.LET(
_xlpm.data,_xlfn._xlws.FILTER(
Table9[Private Sector Investment (USD) / Project cost ],
ISNUMBER(Table9[Private Sector Investment (USD) / Project cost ])*
(Table9[Private Sector Investment (USD) / Project cost ]&gt;0)*
(Table9[Cost Quartiles]="2nd Quartile (25–50%)")
),
_xlpm.med,MEDIAN(_xlpm.data),
_xlpm.mad,MEDIAN(ABS(_xlpm.data-_xlpm.med)),
SUMPRODUCT(--(ABS(_xlpm.data-_xlpm.med)&gt;2.5*_xlpm.mad))
)</f>
        <v>4</v>
      </c>
      <c r="AD25" s="203">
        <f t="array" ref="AD25">_xlfn.LET(
_xlpm.data,_xlfn._xlws.FILTER(
Table9[Private Sector Investment (USD) / Project cost ],
ISNUMBER(Table9[Private Sector Investment (USD) / Project cost ])*
(Table9[Private Sector Investment (USD) / Project cost ]&gt;0)*
(Table9[Cost Quartiles]="2nd Quartile (25–50%)")
),
_xlpm.med,MEDIAN(_xlpm.data),
_xlpm.mad,MEDIAN(ABS(_xlpm.data-_xlpm.med)),
AVERAGE(_xlfn._xlws.FILTER(_xlpm.data,ABS(_xlpm.data-_xlpm.med)&lt;=2.5*_xlpm.mad))
)</f>
        <v>0.1833911079954508</v>
      </c>
      <c r="AE25" s="232">
        <f>Y25-AC25</f>
        <v>10</v>
      </c>
      <c r="AF25" s="191"/>
      <c r="AG25" s="370">
        <f t="array" ref="AG25">MEDIAN(
_xlfn._xlws.FILTER(
Table9[Private Sector Revenues Generated (USD) / Project cost],
ISNUMBER(Table9[Private Sector Revenues Generated (USD) / Project cost])*
(Table9[Private Sector Revenues Generated (USD) / Project cost]&gt;0)*
(Table9[Cost Quartiles]="2nd Quartile (25–50%)")
)
)</f>
        <v>1.9327001256074459</v>
      </c>
      <c r="AH25" s="203">
        <f t="array" ref="AH25">AVERAGE(
_xlfn._xlws.FILTER(
Table9[Private Sector Revenues Generated (USD) / Project cost],
ISNUMBER(Table9[Private Sector Revenues Generated (USD) / Project cost])*
(Table9[Private Sector Revenues Generated (USD) / Project cost]&gt;0)*
(Table9[Cost Quartiles]="2nd Quartile (25–50%)")
)
)</f>
        <v>5.2283114745019432</v>
      </c>
      <c r="AI25" s="15">
        <f>COUNTIFS(
Table9[Private Sector Revenues Generated (USD) / Project cost],"&gt;0",
Table9[Cost Quartiles],"2nd Quartile (25–50%)"
)</f>
        <v>8</v>
      </c>
      <c r="AJ25" s="203">
        <f t="array" ref="AJ25">_xlfn.LET(
_xlpm.data,_xlfn._xlws.FILTER(
Table9[Private Sector Revenues Generated (USD) / Project cost],
ISNUMBER(Table9[Private Sector Revenues Generated (USD) / Project cost])*
(Table9[Private Sector Revenues Generated (USD) / Project cost]&gt;0)*
(Table9[Cost Quartiles]="2nd Quartile (25–50%)")
),
MEDIAN(ABS(_xlpm.data-MEDIAN(_xlpm.data)))
)</f>
        <v>1.8228930081032426</v>
      </c>
      <c r="AK25" s="343">
        <f>AJ25/AG25</f>
        <v>0.94318460683615313</v>
      </c>
      <c r="AL25" s="195">
        <f t="array" ref="AL25">_xlfn.LET(
_xlpm.data,_xlfn._xlws.FILTER(
Table9[Private Sector Revenues Generated (USD) / Project cost],
ISNUMBER(Table9[Private Sector Revenues Generated (USD) / Project cost])*
(Table9[Private Sector Revenues Generated (USD) / Project cost]&gt;0)*
(Table9[Cost Quartiles]="2nd Quartile (25–50%)")
),
_xlpm.med,MEDIAN(_xlpm.data),
_xlpm.mad,MEDIAN(ABS(_xlpm.data-_xlpm.med)),
SUMPRODUCT(--(ABS(_xlpm.data-_xlpm.med)&gt;2.5*_xlpm.mad))/COUNT(_xlpm.data)
)</f>
        <v>0.25</v>
      </c>
      <c r="AM25" s="15">
        <f t="array" ref="AM25">_xlfn.LET(
_xlpm.data,_xlfn._xlws.FILTER(
Table9[Private Sector Revenues Generated (USD) / Project cost],
ISNUMBER(Table9[Private Sector Revenues Generated (USD) / Project cost])*
(Table9[Private Sector Revenues Generated (USD) / Project cost]&gt;0)*
(Table9[Cost Quartiles]="2nd Quartile (25–50%)")
),
_xlpm.med,MEDIAN(_xlpm.data),
_xlpm.mad,MEDIAN(ABS(_xlpm.data-_xlpm.med)),
SUMPRODUCT(--(ABS(_xlpm.data-_xlpm.med)&gt;2.5*_xlpm.mad))
)</f>
        <v>2</v>
      </c>
      <c r="AN25" s="203">
        <f t="array" ref="AN25">_xlfn.LET(
_xlpm.data,_xlfn._xlws.FILTER(
Table9[Private Sector Revenues Generated (USD) / Project cost],
ISNUMBER(Table9[Private Sector Revenues Generated (USD) / Project cost])*
(Table9[Private Sector Revenues Generated (USD) / Project cost]&gt;0)*
(Table9[Cost Quartiles]="2nd Quartile (25–50%)")
),
_xlpm.med,MEDIAN(_xlpm.data),
_xlpm.mad,MEDIAN(ABS(_xlpm.data-_xlpm.med)),
AVERAGE(_xlfn._xlws.FILTER(_xlpm.data,ABS(_xlpm.data-_xlpm.med)&lt;=2.5*_xlpm.mad))
)</f>
        <v>2.0201605716549067</v>
      </c>
      <c r="AO25" s="232">
        <f>AI25-AM25</f>
        <v>6</v>
      </c>
      <c r="AP25" s="191"/>
      <c r="AQ25" s="405">
        <f t="array" ref="AQ25">MEDIAN(
_xlfn._xlws.FILTER(
Table9[Export Revenue Generated (USD) /Project Cost],
ISNUMBER(Table9[Export Revenue Generated (USD) /Project Cost])*
(Table9[Export Revenue Generated (USD) /Project Cost]&gt;0)*
(Table9[Cost Quartiles]="2nd Quartile (25–50%)")
)
)</f>
        <v>0.14420347058823529</v>
      </c>
      <c r="AR25" s="198">
        <f t="array" ref="AR25">AVERAGE(
_xlfn._xlws.FILTER(
Table9[Export Revenue Generated (USD) /Project Cost],
ISNUMBER(Table9[Export Revenue Generated (USD) /Project Cost])*
(Table9[Export Revenue Generated (USD) /Project Cost]&gt;0)*
(Table9[Cost Quartiles]="2nd Quartile (25–50%)")
)
)</f>
        <v>0.14420347058823529</v>
      </c>
      <c r="AS25" s="15">
        <f>COUNTIFS(
Table9[Export Revenue Generated (USD) /Project Cost],"&gt;0",
Table9[Cost Quartiles],"2nd Quartile (25–50%)"
)</f>
        <v>1</v>
      </c>
      <c r="AT25" s="203">
        <f t="array" ref="AT25">_xlfn.LET(
_xlpm.data,_xlfn._xlws.FILTER(
Table9[Export Revenue Generated (USD) /Project Cost],
ISNUMBER(Table9[Export Revenue Generated (USD) /Project Cost])*
(Table9[Export Revenue Generated (USD) /Project Cost]&gt;0)*
(Table9[Cost Quartiles]="2nd Quartile (25–50%)")
),
MEDIAN(ABS(_xlpm.data-MEDIAN(_xlpm.data)))
)</f>
        <v>0</v>
      </c>
      <c r="AU25" s="195">
        <f>AT25/AQ25</f>
        <v>0</v>
      </c>
      <c r="AV25" s="195">
        <f t="array" ref="AV25">_xlfn.LET(
_xlpm.data,_xlfn._xlws.FILTER(
Table9[Export Revenue Generated (USD) /Project Cost],
ISNUMBER(Table9[Export Revenue Generated (USD) /Project Cost])*
(Table9[Export Revenue Generated (USD) /Project Cost]&gt;0)*
(Table9[Cost Quartiles]="2nd Quartile (25–50%)")
),
_xlpm.med,MEDIAN(_xlpm.data),
_xlpm.mad,MEDIAN(ABS(_xlpm.data-_xlpm.med)),
SUMPRODUCT(--(ABS(_xlpm.data-_xlpm.med)&gt;2.5*_xlpm.mad))/COUNT(_xlpm.data)
)</f>
        <v>0</v>
      </c>
      <c r="AW25" s="15">
        <f t="array" ref="AW25">_xlfn.LET(
_xlpm.data,_xlfn._xlws.FILTER(
Table9[Export Revenue Generated (USD) /Project Cost],
ISNUMBER(Table9[Export Revenue Generated (USD) /Project Cost])*
(Table9[Export Revenue Generated (USD) /Project Cost]&gt;0)*
(Table9[Cost Quartiles]="2nd Quartile (25–50%)")
),
_xlpm.med,MEDIAN(_xlpm.data),
_xlpm.mad,MEDIAN(ABS(_xlpm.data-_xlpm.med)),
SUMPRODUCT(--(ABS(_xlpm.data-_xlpm.med)&gt;2.5*_xlpm.mad))
)</f>
        <v>0</v>
      </c>
      <c r="AX25" s="203">
        <f t="array" ref="AX25">_xlfn.LET(
_xlpm.data,_xlfn._xlws.FILTER(
Table9[Export Revenue Generated (USD) /Project Cost],
ISNUMBER(Table9[Export Revenue Generated (USD) /Project Cost])*
(Table9[Export Revenue Generated (USD) /Project Cost]&gt;0)*
(Table9[Cost Quartiles]="2nd Quartile (25–50%)")
),
_xlpm.med,MEDIAN(_xlpm.data),
_xlpm.mad,MEDIAN(ABS(_xlpm.data-_xlpm.med)),
AVERAGE(_xlfn._xlws.FILTER(_xlpm.data,ABS(_xlpm.data-_xlpm.med)&lt;=2.5*_xlpm.mad))
)</f>
        <v>0.14420347058823529</v>
      </c>
      <c r="AY25" s="232">
        <f>AS25-AW25</f>
        <v>1</v>
      </c>
      <c r="AZ25" s="191"/>
      <c r="BA25" s="202"/>
      <c r="BB25" s="202"/>
      <c r="BC25" s="15"/>
      <c r="BD25" s="15"/>
      <c r="BE25" s="15"/>
      <c r="BF25" s="15"/>
      <c r="BG25" s="15"/>
      <c r="BH25" s="15"/>
      <c r="BI25" s="15"/>
      <c r="BJ25" s="191"/>
      <c r="BK25" s="15"/>
      <c r="BL25" s="15"/>
      <c r="BM25" s="15"/>
      <c r="BN25" s="15"/>
      <c r="BO25" s="15"/>
      <c r="BP25" s="15"/>
      <c r="BQ25" s="15"/>
      <c r="BR25" s="15"/>
      <c r="BS25" s="15"/>
      <c r="BT25" s="191"/>
      <c r="BU25" s="202"/>
      <c r="BV25" s="202"/>
      <c r="BW25" s="15"/>
      <c r="BX25" s="15"/>
      <c r="BY25" s="15"/>
      <c r="BZ25" s="15"/>
      <c r="CA25" s="15"/>
      <c r="CB25" s="15"/>
      <c r="CC25" s="15"/>
      <c r="CD25" s="191"/>
      <c r="CE25" s="15"/>
      <c r="CF25" s="15"/>
      <c r="CG25" s="15"/>
      <c r="CH25" s="15"/>
      <c r="CI25" s="15"/>
      <c r="CJ25" s="15"/>
      <c r="CK25" s="15"/>
      <c r="CL25" s="15"/>
      <c r="CM25" s="15"/>
      <c r="CN25" s="191"/>
      <c r="CO25" s="203"/>
      <c r="CP25" s="203"/>
      <c r="CQ25" s="15"/>
      <c r="CR25" s="15"/>
      <c r="CS25" s="15"/>
      <c r="CT25" s="15"/>
      <c r="CU25" s="15"/>
      <c r="CV25" s="15"/>
      <c r="CW25" s="15"/>
    </row>
    <row r="26" spans="2:101" x14ac:dyDescent="0.25">
      <c r="B26" s="356" t="s">
        <v>705</v>
      </c>
      <c r="C26" s="363">
        <f t="array" ref="C26">MEDIAN(_xlfn._xlws.FILTER(Table9[Income per beneficiary (USD)],(Table9[Income per beneficiary (USD)]&gt;0)*(Table9[Cost Quartiles]="3rd Quartile (50–75%)")))</f>
        <v>350.35714285714278</v>
      </c>
      <c r="D26" s="202">
        <f t="array" ref="D26">AVERAGE(_xlfn._xlws.FILTER(Table9[Income per beneficiary (USD)],(Table9[Income per beneficiary (USD)]&gt;0)*(Table9[Cost Quartiles]="3rd Quartile (50–75%)")))</f>
        <v>400.82154224953797</v>
      </c>
      <c r="E26" s="15">
        <f>COUNTIFS(Table9[Income per beneficiary (USD)],"&gt;0",Table9[Cost Quartiles],"3rd Quartile (50–75%)")</f>
        <v>9</v>
      </c>
      <c r="F26" s="202">
        <f t="array" ref="F26">_xlfn.LET(
_xlpm.data,_xlfn._xlws.FILTER(
Table9[Income per beneficiary (USD)],
(Table9[Income per beneficiary (USD)]&gt;0)*
(Table9[Cost Quartiles]="3rd Quartile (50–75%)")
),
MEDIAN(ABS(_xlpm.data-MEDIAN(_xlpm.data)))
)</f>
        <v>232.75509325250397</v>
      </c>
      <c r="G26" s="195">
        <f>F26/C26</f>
        <v>0.66433665760143856</v>
      </c>
      <c r="H26" s="195">
        <f t="array" ref="H26">_xlfn.LET(
_xlpm.data,_xlfn._xlws.FILTER(
Table9[Income per beneficiary (USD)],
(Table9[Income per beneficiary (USD)]&gt;0)*
(Table9[Cost Quartiles]="3rd Quartile (50–75%)")
),
_xlpm.med,MEDIAN(_xlpm.data),
_xlpm.mad,MEDIAN(ABS(_xlpm.data-_xlpm.med)),
SUMPRODUCT(--(ABS(_xlpm.data-_xlpm.med)&gt;2.5*_xlpm.mad))/COUNT(_xlpm.data)
)</f>
        <v>0</v>
      </c>
      <c r="I26" s="204">
        <f t="array" ref="I26">_xlfn.LET(
_xlpm.data,_xlfn._xlws.FILTER(
Table9[Income per beneficiary (USD)],
(Table9[Income per beneficiary (USD)]&gt;0)*
(Table9[Cost Quartiles]="3rd Quartile (50–75%)")
),
_xlpm.med,MEDIAN(_xlpm.data),
_xlpm.mad,MEDIAN(ABS(_xlpm.data-_xlpm.med)),
SUMPRODUCT(--(ABS(_xlpm.data-_xlpm.med)&gt;2.5*_xlpm.mad))
)</f>
        <v>0</v>
      </c>
      <c r="J26" s="202">
        <f t="array" ref="J26">_xlfn.LET(
_xlpm.data,_xlfn._xlws.FILTER(
Table9[Income per beneficiary (USD)],
(Table9[Income per beneficiary (USD)]&gt;0)*
(Table9[Cost Quartiles]="3rd Quartile (50–75%)")
),
_xlpm.med,MEDIAN(_xlpm.data),
_xlpm.mad,MEDIAN(ABS(_xlpm.data-_xlpm.med)),
AVERAGE(_xlfn._xlws.FILTER(_xlpm.data,ABS(_xlpm.data-_xlpm.med)&lt;=2.5*_xlpm.mad))
)</f>
        <v>400.82154224953797</v>
      </c>
      <c r="K26" s="364">
        <f>E26-I26</f>
        <v>9</v>
      </c>
      <c r="L26" s="192"/>
      <c r="M26" s="370">
        <f t="array" ref="M26">MEDIAN(
_xlfn._xlws.FILTER(
Table9[Normalised Income Impact Ratio],
ISNUMBER(Table9[Normalised Income Impact Ratio])*
(Table9[Normalised Income Impact Ratio]&gt;0)*
(Table9[Cost Quartiles]="3rd Quartile (50–75%)")
)
)</f>
        <v>8.0657894736842109E-2</v>
      </c>
      <c r="N26" s="203">
        <f t="array" ref="N26">AVERAGE(
_xlfn._xlws.FILTER(
Table9[Normalised Income Impact Ratio],
ISNUMBER(Table9[Normalised Income Impact Ratio])*
(Table9[Normalised Income Impact Ratio]&gt;0)*
(Table9[Cost Quartiles]="3rd Quartile (50–75%)")
)
)</f>
        <v>0.13839658224684612</v>
      </c>
      <c r="O26" s="15">
        <f>COUNTIFS(
Table9[Normalised Income Impact Ratio],"&gt;0",
Table9[Cost Quartiles],"3rd Quartile (50–75%)"
)</f>
        <v>9</v>
      </c>
      <c r="P26" s="203">
        <f t="array" ref="P26">_xlfn.LET(
_xlpm.data,_xlfn._xlws.FILTER(
Table9[Normalised Income Impact Ratio],
ISNUMBER(Table9[Normalised Income Impact Ratio])*
(Table9[Normalised Income Impact Ratio]&gt;0)*
(Table9[Cost Quartiles]="3rd Quartile (50–75%)")
),
MEDIAN(ABS(_xlpm.data-MEDIAN(_xlpm.data)))
)</f>
        <v>6.1990902736105788E-2</v>
      </c>
      <c r="Q26" s="195">
        <f>P26/M26</f>
        <v>0.76856584142643392</v>
      </c>
      <c r="R26" s="195">
        <f t="array" ref="R26">_xlfn.LET(
_xlpm.data,_xlfn._xlws.FILTER(
Table9[Normalised Income Impact Ratio],
ISNUMBER(Table9[Normalised Income Impact Ratio])*
(Table9[Normalised Income Impact Ratio]&gt;0)*
(Table9[Cost Quartiles]="3rd Quartile (50–75%)")
),
_xlpm.med,MEDIAN(_xlpm.data),
_xlpm.mad,MEDIAN(ABS(_xlpm.data-_xlpm.med)),
SUMPRODUCT(--(ABS(_xlpm.data-_xlpm.med)&gt;2.5*_xlpm.mad))/COUNT(_xlpm.data)
)</f>
        <v>0.22222222222222221</v>
      </c>
      <c r="S26" s="15">
        <f t="array" ref="S26">_xlfn.LET(
_xlpm.data,_xlfn._xlws.FILTER(
Table9[Normalised Income Impact Ratio],
ISNUMBER(Table9[Normalised Income Impact Ratio])*
(Table9[Normalised Income Impact Ratio]&gt;0)*
(Table9[Cost Quartiles]="3rd Quartile (50–75%)")
),
_xlpm.med,MEDIAN(_xlpm.data),
_xlpm.mad,MEDIAN(ABS(_xlpm.data-_xlpm.med)),
SUMPRODUCT(--(ABS(_xlpm.data-_xlpm.med)&gt;2.5*_xlpm.mad))
)</f>
        <v>2</v>
      </c>
      <c r="T26" s="203">
        <f t="array" ref="T26">_xlfn.LET(
_xlpm.data,_xlfn._xlws.FILTER(
Table9[Normalised Income Impact Ratio],
ISNUMBER(Table9[Normalised Income Impact Ratio])*
(Table9[Normalised Income Impact Ratio]&gt;0)*
(Table9[Cost Quartiles]="3rd Quartile (50–75%)")
),
_xlpm.med,MEDIAN(_xlpm.data),
_xlpm.mad,MEDIAN(ABS(_xlpm.data-_xlpm.med)),
AVERAGE(_xlfn._xlws.FILTER(_xlpm.data,ABS(_xlpm.data-_xlpm.med)&lt;=2.5*_xlpm.mad))
)</f>
        <v>6.1591796770617366E-2</v>
      </c>
      <c r="U26" s="232">
        <f>O26-S26</f>
        <v>7</v>
      </c>
      <c r="V26" s="191"/>
      <c r="W26" s="370">
        <f t="array" ref="W26">MEDIAN(
_xlfn._xlws.FILTER(
Table9[Private Sector Investment (USD) / Project cost ],
ISNUMBER(Table9[Private Sector Investment (USD) / Project cost ])*
(Table9[Private Sector Investment (USD) / Project cost ]&gt;0)*
(Table9[Cost Quartiles]="3rd Quartile (50–75%)")
)
)</f>
        <v>0.68600237051805535</v>
      </c>
      <c r="X26" s="203">
        <f t="array" ref="X26">AVERAGE(
_xlfn._xlws.FILTER(
Table9[Private Sector Investment (USD) / Project cost ],
ISNUMBER(Table9[Private Sector Investment (USD) / Project cost ])*
(Table9[Private Sector Investment (USD) / Project cost ]&gt;0)*
(Table9[Cost Quartiles]="3rd Quartile (50–75%)")
)
)</f>
        <v>2.6688375960842032</v>
      </c>
      <c r="Y26" s="15">
        <f>COUNTIFS(
Table9[Private Sector Investment (USD) / Project cost ],"&gt;0",
Table9[Cost Quartiles],"3rd Quartile (50–75%)"
)</f>
        <v>18</v>
      </c>
      <c r="Z26" s="203">
        <f t="array" ref="Z26">_xlfn.LET(
_xlpm.data,_xlfn._xlws.FILTER(
Table9[Private Sector Investment (USD) / Project cost ],
ISNUMBER(Table9[Private Sector Investment (USD) / Project cost ])*
(Table9[Private Sector Investment (USD) / Project cost ]&gt;0)*
(Table9[Cost Quartiles]="3rd Quartile (50–75%)")
),
MEDIAN(ABS(_xlpm.data-MEDIAN(_xlpm.data)))
)</f>
        <v>0.51910963696128953</v>
      </c>
      <c r="AA26" s="195">
        <f>Z26/W26</f>
        <v>0.75671697252192915</v>
      </c>
      <c r="AB26" s="195">
        <f t="array" ref="AB26">_xlfn.LET(
_xlpm.data,_xlfn._xlws.FILTER(
Table9[Private Sector Investment (USD) / Project cost ],
ISNUMBER(Table9[Private Sector Investment (USD) / Project cost ])*
(Table9[Private Sector Investment (USD) / Project cost ]&gt;0)*
(Table9[Cost Quartiles]="3rd Quartile (50–75%)")
),
_xlpm.med,MEDIAN(_xlpm.data),
_xlpm.mad,MEDIAN(ABS(_xlpm.data-_xlpm.med)),
SUMPRODUCT(--(ABS(_xlpm.data-_xlpm.med)&gt;2.5*_xlpm.mad))/COUNT(_xlpm.data)
)</f>
        <v>0.22222222222222221</v>
      </c>
      <c r="AC26" s="15">
        <f t="array" ref="AC26">_xlfn.LET(
_xlpm.data,_xlfn._xlws.FILTER(
Table9[Private Sector Investment (USD) / Project cost ],
ISNUMBER(Table9[Private Sector Investment (USD) / Project cost ])*
(Table9[Private Sector Investment (USD) / Project cost ]&gt;0)*
(Table9[Cost Quartiles]="3rd Quartile (50–75%)")
),
_xlpm.med,MEDIAN(_xlpm.data),
_xlpm.mad,MEDIAN(ABS(_xlpm.data-_xlpm.med)),
SUMPRODUCT(--(ABS(_xlpm.data-_xlpm.med)&gt;2.5*_xlpm.mad))
)</f>
        <v>4</v>
      </c>
      <c r="AD26" s="203">
        <f t="array" ref="AD26">_xlfn.LET(
_xlpm.data,_xlfn._xlws.FILTER(
Table9[Private Sector Investment (USD) / Project cost ],
ISNUMBER(Table9[Private Sector Investment (USD) / Project cost ])*
(Table9[Private Sector Investment (USD) / Project cost ]&gt;0)*
(Table9[Cost Quartiles]="3rd Quartile (50–75%)")
),
_xlpm.med,MEDIAN(_xlpm.data),
_xlpm.mad,MEDIAN(ABS(_xlpm.data-_xlpm.med)),
AVERAGE(_xlfn._xlws.FILTER(_xlpm.data,ABS(_xlpm.data-_xlpm.med)&lt;=2.5*_xlpm.mad))
)</f>
        <v>0.60690639557495552</v>
      </c>
      <c r="AE26" s="232">
        <f>Y26-AC26</f>
        <v>14</v>
      </c>
      <c r="AF26" s="191"/>
      <c r="AG26" s="370">
        <f t="array" ref="AG26">MEDIAN(
_xlfn._xlws.FILTER(
Table9[Private Sector Revenues Generated (USD) / Project cost],
ISNUMBER(Table9[Private Sector Revenues Generated (USD) / Project cost])*
(Table9[Private Sector Revenues Generated (USD) / Project cost]&gt;0)*
(Table9[Cost Quartiles]="3rd Quartile (50–75%)")
)
)</f>
        <v>0.82296650717703346</v>
      </c>
      <c r="AH26" s="203">
        <f t="array" ref="AH26">AVERAGE(
_xlfn._xlws.FILTER(
Table9[Private Sector Revenues Generated (USD) / Project cost],
ISNUMBER(Table9[Private Sector Revenues Generated (USD) / Project cost])*
(Table9[Private Sector Revenues Generated (USD) / Project cost]&gt;0)*
(Table9[Cost Quartiles]="3rd Quartile (50–75%)")
)
)</f>
        <v>3.894956753599037</v>
      </c>
      <c r="AI26" s="15">
        <f>COUNTIFS(
Table9[Private Sector Revenues Generated (USD) / Project cost],"&gt;0",
Table9[Cost Quartiles],"3rd Quartile (50–75%)"
)</f>
        <v>15</v>
      </c>
      <c r="AJ26" s="203">
        <f t="array" ref="AJ26">_xlfn.LET(
_xlpm.data,_xlfn._xlws.FILTER(
Table9[Private Sector Revenues Generated (USD) / Project cost],
ISNUMBER(Table9[Private Sector Revenues Generated (USD) / Project cost])*
(Table9[Private Sector Revenues Generated (USD) / Project cost]&gt;0)*
(Table9[Cost Quartiles]="3rd Quartile (50–75%)")
),
MEDIAN(ABS(_xlpm.data-MEDIAN(_xlpm.data)))
)</f>
        <v>0.81059026955327107</v>
      </c>
      <c r="AK26" s="343">
        <f>AJ26/AG26</f>
        <v>0.98496143218973053</v>
      </c>
      <c r="AL26" s="195">
        <f t="array" ref="AL26">_xlfn.LET(
_xlpm.data,_xlfn._xlws.FILTER(
Table9[Private Sector Revenues Generated (USD) / Project cost],
ISNUMBER(Table9[Private Sector Revenues Generated (USD) / Project cost])*
(Table9[Private Sector Revenues Generated (USD) / Project cost]&gt;0)*
(Table9[Cost Quartiles]="3rd Quartile (50–75%)")
),
_xlpm.med,MEDIAN(_xlpm.data),
_xlpm.mad,MEDIAN(ABS(_xlpm.data-_xlpm.med)),
SUMPRODUCT(--(ABS(_xlpm.data-_xlpm.med)&gt;2.5*_xlpm.mad))/COUNT(_xlpm.data)
)</f>
        <v>0.26666666666666666</v>
      </c>
      <c r="AM26" s="15">
        <f t="array" ref="AM26">_xlfn.LET(
_xlpm.data,_xlfn._xlws.FILTER(
Table9[Private Sector Revenues Generated (USD) / Project cost],
ISNUMBER(Table9[Private Sector Revenues Generated (USD) / Project cost])*
(Table9[Private Sector Revenues Generated (USD) / Project cost]&gt;0)*
(Table9[Cost Quartiles]="3rd Quartile (50–75%)")
),
_xlpm.med,MEDIAN(_xlpm.data),
_xlpm.mad,MEDIAN(ABS(_xlpm.data-_xlpm.med)),
SUMPRODUCT(--(ABS(_xlpm.data-_xlpm.med)&gt;2.5*_xlpm.mad))
)</f>
        <v>4</v>
      </c>
      <c r="AN26" s="203">
        <f t="array" ref="AN26">_xlfn.LET(
_xlpm.data,_xlfn._xlws.FILTER(
Table9[Private Sector Revenues Generated (USD) / Project cost],
ISNUMBER(Table9[Private Sector Revenues Generated (USD) / Project cost])*
(Table9[Private Sector Revenues Generated (USD) / Project cost]&gt;0)*
(Table9[Cost Quartiles]="3rd Quartile (50–75%)")
),
_xlpm.med,MEDIAN(_xlpm.data),
_xlpm.mad,MEDIAN(ABS(_xlpm.data-_xlpm.med)),
AVERAGE(_xlfn._xlws.FILTER(_xlpm.data,ABS(_xlpm.data-_xlpm.med)&lt;=2.5*_xlpm.mad))
)</f>
        <v>0.75290243002258994</v>
      </c>
      <c r="AO26" s="232">
        <f>AI26-AM26</f>
        <v>11</v>
      </c>
      <c r="AP26" s="191"/>
      <c r="AQ26" s="405">
        <f t="array" ref="AQ26">MEDIAN(
_xlfn._xlws.FILTER(
Table9[Export Revenue Generated (USD) /Project Cost],
ISNUMBER(Table9[Export Revenue Generated (USD) /Project Cost])*
(Table9[Export Revenue Generated (USD) /Project Cost]&gt;0)*
(Table9[Cost Quartiles]="3rd Quartile (50–75%)")
)
)</f>
        <v>1.340712426989807</v>
      </c>
      <c r="AR26" s="198">
        <f t="array" ref="AR26">AVERAGE(
_xlfn._xlws.FILTER(
Table9[Export Revenue Generated (USD) /Project Cost],
ISNUMBER(Table9[Export Revenue Generated (USD) /Project Cost])*
(Table9[Export Revenue Generated (USD) /Project Cost]&gt;0)*
(Table9[Cost Quartiles]="3rd Quartile (50–75%)")
)
)</f>
        <v>16.337842033758122</v>
      </c>
      <c r="AS26" s="15">
        <f>COUNTIFS(
Table9[Export Revenue Generated (USD) /Project Cost],"&gt;0",
Table9[Cost Quartiles],"3rd Quartile (50–75%)"
)</f>
        <v>6</v>
      </c>
      <c r="AT26" s="381">
        <f t="array" ref="AT26">_xlfn.LET(
_xlpm.data,_xlfn._xlws.FILTER(
Table9[Export Revenue Generated (USD) /Project Cost],
ISNUMBER(Table9[Export Revenue Generated (USD) /Project Cost])*
(Table9[Export Revenue Generated (USD) /Project Cost]&gt;0)*
(Table9[Cost Quartiles]="3rd Quartile (50–75%)")
),
MEDIAN(ABS(_xlpm.data-MEDIAN(_xlpm.data)))
)</f>
        <v>1.2829056563000247</v>
      </c>
      <c r="AU26" s="195">
        <f>AT26/AQ26</f>
        <v>0.95688354226747108</v>
      </c>
      <c r="AV26" s="195">
        <f t="array" ref="AV26">_xlfn.LET(
_xlpm.data,_xlfn._xlws.FILTER(
Table9[Export Revenue Generated (USD) /Project Cost],
ISNUMBER(Table9[Export Revenue Generated (USD) /Project Cost])*
(Table9[Export Revenue Generated (USD) /Project Cost]&gt;0)*
(Table9[Cost Quartiles]="3rd Quartile (50–75%)")
),
_xlpm.med,MEDIAN(_xlpm.data),
_xlpm.mad,MEDIAN(ABS(_xlpm.data-_xlpm.med)),
SUMPRODUCT(--(ABS(_xlpm.data-_xlpm.med)&gt;2.5*_xlpm.mad))/COUNT(_xlpm.data)
)</f>
        <v>0.33333333333333331</v>
      </c>
      <c r="AW26" s="15">
        <f t="array" ref="AW26">_xlfn.LET(
_xlpm.data,_xlfn._xlws.FILTER(
Table9[Export Revenue Generated (USD) /Project Cost],
ISNUMBER(Table9[Export Revenue Generated (USD) /Project Cost])*
(Table9[Export Revenue Generated (USD) /Project Cost]&gt;0)*
(Table9[Cost Quartiles]="3rd Quartile (50–75%)")
),
_xlpm.med,MEDIAN(_xlpm.data),
_xlpm.mad,MEDIAN(ABS(_xlpm.data-_xlpm.med)),
SUMPRODUCT(--(ABS(_xlpm.data-_xlpm.med)&gt;2.5*_xlpm.mad))
)</f>
        <v>2</v>
      </c>
      <c r="AX26" s="203">
        <f t="array" ref="AX26">_xlfn.LET(
_xlpm.data,_xlfn._xlws.FILTER(
Table9[Export Revenue Generated (USD) /Project Cost],
ISNUMBER(Table9[Export Revenue Generated (USD) /Project Cost])*
(Table9[Export Revenue Generated (USD) /Project Cost]&gt;0)*
(Table9[Cost Quartiles]="3rd Quartile (50–75%)")
),
_xlpm.med,MEDIAN(_xlpm.data),
_xlpm.mad,MEDIAN(ABS(_xlpm.data-_xlpm.med)),
AVERAGE(_xlfn._xlws.FILTER(_xlpm.data,ABS(_xlpm.data-_xlpm.med)&lt;=2.5*_xlpm.mad))
)</f>
        <v>0.69925959883979449</v>
      </c>
      <c r="AY26" s="232">
        <f>AS26-AW26</f>
        <v>4</v>
      </c>
      <c r="AZ26" s="191"/>
      <c r="BA26" s="202"/>
      <c r="BB26" s="202"/>
      <c r="BC26" s="15"/>
      <c r="BD26" s="15"/>
      <c r="BE26" s="15"/>
      <c r="BF26" s="15"/>
      <c r="BG26" s="15"/>
      <c r="BH26" s="15"/>
      <c r="BI26" s="15"/>
      <c r="BJ26" s="191"/>
      <c r="BK26" s="15"/>
      <c r="BL26" s="15"/>
      <c r="BM26" s="15"/>
      <c r="BN26" s="15"/>
      <c r="BO26" s="15"/>
      <c r="BP26" s="15"/>
      <c r="BQ26" s="15"/>
      <c r="BR26" s="15"/>
      <c r="BS26" s="15"/>
      <c r="BT26" s="191"/>
      <c r="BU26" s="202"/>
      <c r="BV26" s="202"/>
      <c r="BW26" s="15"/>
      <c r="BX26" s="15"/>
      <c r="BY26" s="15"/>
      <c r="BZ26" s="15"/>
      <c r="CA26" s="15"/>
      <c r="CB26" s="15"/>
      <c r="CC26" s="15"/>
      <c r="CD26" s="191"/>
      <c r="CE26" s="15"/>
      <c r="CF26" s="15"/>
      <c r="CG26" s="15"/>
      <c r="CH26" s="15"/>
      <c r="CI26" s="15"/>
      <c r="CJ26" s="15"/>
      <c r="CK26" s="15"/>
      <c r="CL26" s="15"/>
      <c r="CM26" s="15"/>
      <c r="CN26" s="191"/>
      <c r="CO26" s="203"/>
      <c r="CP26" s="203"/>
      <c r="CQ26" s="15"/>
      <c r="CR26" s="15"/>
      <c r="CS26" s="15"/>
      <c r="CT26" s="15"/>
      <c r="CU26" s="15"/>
      <c r="CV26" s="15"/>
      <c r="CW26" s="15"/>
    </row>
    <row r="27" spans="2:101" x14ac:dyDescent="0.25">
      <c r="B27" s="356" t="s">
        <v>706</v>
      </c>
      <c r="C27" s="363">
        <f t="array" ref="C27">MEDIAN(_xlfn._xlws.FILTER(Table9[Income per beneficiary (USD)],(Table9[Income per beneficiary (USD)]&gt;0)*(Table9[Cost Quartiles]="4th Quartile (Highest 25%)")))</f>
        <v>87.461244316931172</v>
      </c>
      <c r="D27" s="202">
        <f t="array" ref="D27">AVERAGE(_xlfn._xlws.FILTER(Table9[Income per beneficiary (USD)],(Table9[Income per beneficiary (USD)]&gt;0)*(Table9[Cost Quartiles]="4th Quartile (Highest 25%)")))</f>
        <v>518.7127237111489</v>
      </c>
      <c r="E27" s="15">
        <f>COUNTIFS(Table9[Income per beneficiary (USD)],"&gt;0",Table9[Cost Quartiles],"4th Quartile (Highest 25%)")</f>
        <v>11</v>
      </c>
      <c r="F27" s="202">
        <f t="array" ref="F27">_xlfn.LET(
_xlpm.data,_xlfn._xlws.FILTER(
Table9[Income per beneficiary (USD)],
(Table9[Income per beneficiary (USD)]&gt;0)*
(Table9[Cost Quartiles]="4th Quartile (Highest 25%)")
),
MEDIAN(ABS(_xlpm.data-MEDIAN(_xlpm.data)))
)</f>
        <v>33.525353712050261</v>
      </c>
      <c r="G27" s="195">
        <f>F27/C27</f>
        <v>0.38331667899172867</v>
      </c>
      <c r="H27" s="195">
        <f t="array" ref="H27">_xlfn.LET(
_xlpm.data,_xlfn._xlws.FILTER(
Table9[Income per beneficiary (USD)],
(Table9[Income per beneficiary (USD)]&gt;0)*
(Table9[Cost Quartiles]="4th Quartile (Highest 25%)")
),
_xlpm.med,MEDIAN(_xlpm.data),
_xlpm.mad,MEDIAN(ABS(_xlpm.data-_xlpm.med)),
SUMPRODUCT(--(ABS(_xlpm.data-_xlpm.med)&gt;2.5*_xlpm.mad))/COUNT(_xlpm.data)
)</f>
        <v>0.36363636363636365</v>
      </c>
      <c r="I27" s="15">
        <f t="array" ref="I27">_xlfn.LET(
_xlpm.data,_xlfn._xlws.FILTER(
Table9[Income per beneficiary (USD)],
(Table9[Income per beneficiary (USD)]&gt;0)*
(Table9[Cost Quartiles]="4th Quartile (Highest 25%)")
),
_xlpm.med,MEDIAN(_xlpm.data),
_xlpm.mad,MEDIAN(ABS(_xlpm.data-_xlpm.med)),
SUMPRODUCT(--(ABS(_xlpm.data-_xlpm.med)&gt;2.5*_xlpm.mad))
)</f>
        <v>4</v>
      </c>
      <c r="J27" s="202">
        <f t="array" ref="J27">_xlfn.LET(
_xlpm.data,_xlfn._xlws.FILTER(
Table9[Income per beneficiary (USD)],
(Table9[Income per beneficiary (USD)]&gt;0)*
(Table9[Cost Quartiles]="4th Quartile (Highest 25%)")
),
_xlpm.med,MEDIAN(_xlpm.data),
_xlpm.mad,MEDIAN(ABS(_xlpm.data-_xlpm.med)),
AVERAGE(_xlfn._xlws.FILTER(_xlpm.data,ABS(_xlpm.data-_xlpm.med)&lt;=2.5*_xlpm.mad))
)</f>
        <v>75.354174530961473</v>
      </c>
      <c r="K27" s="364">
        <f>E27-I27</f>
        <v>7</v>
      </c>
      <c r="L27" s="192"/>
      <c r="M27" s="370">
        <f t="array" ref="M27">MEDIAN(
_xlfn._xlws.FILTER(
Table9[Normalised Income Impact Ratio],
ISNUMBER(Table9[Normalised Income Impact Ratio])*
(Table9[Normalised Income Impact Ratio]&gt;0)*
(Table9[Cost Quartiles]="4th Quartile (Highest 25%)")
)
)</f>
        <v>1.4928784258192673E-2</v>
      </c>
      <c r="N27" s="203">
        <f t="array" ref="N27">AVERAGE(
_xlfn._xlws.FILTER(
Table9[Normalised Income Impact Ratio],
ISNUMBER(Table9[Normalised Income Impact Ratio])*
(Table9[Normalised Income Impact Ratio]&gt;0)*
(Table9[Cost Quartiles]="4th Quartile (Highest 25%)")
)
)</f>
        <v>7.0250568250519438E-2</v>
      </c>
      <c r="O27" s="15">
        <f>COUNTIFS(
Table9[Normalised Income Impact Ratio],"&gt;0",
Table9[Cost Quartiles],"4th Quartile (Highest 25%)"
)</f>
        <v>11</v>
      </c>
      <c r="P27" s="203">
        <f t="array" ref="P27">_xlfn.LET(
_xlpm.data,_xlfn._xlws.FILTER(
Table9[Normalised Income Impact Ratio],
ISNUMBER(Table9[Normalised Income Impact Ratio])*
(Table9[Normalised Income Impact Ratio]&gt;0)*
(Table9[Cost Quartiles]="4th Quartile (Highest 25%)")
),
MEDIAN(ABS(_xlpm.data-MEDIAN(_xlpm.data)))
)</f>
        <v>9.9997871703787558E-3</v>
      </c>
      <c r="Q27" s="195">
        <f>P27/M27</f>
        <v>0.66983265331140651</v>
      </c>
      <c r="R27" s="195">
        <f t="array" ref="R27">_xlfn.LET(
_xlpm.data,_xlfn._xlws.FILTER(
Table9[Normalised Income Impact Ratio],
ISNUMBER(Table9[Normalised Income Impact Ratio])*
(Table9[Normalised Income Impact Ratio]&gt;0)*
(Table9[Cost Quartiles]="4th Quartile (Highest 25%)")
),
_xlpm.med,MEDIAN(_xlpm.data),
_xlpm.mad,MEDIAN(ABS(_xlpm.data-_xlpm.med)),
SUMPRODUCT(--(ABS(_xlpm.data-_xlpm.med)&gt;2.5*_xlpm.mad))/COUNT(_xlpm.data)
)</f>
        <v>0.18181818181818182</v>
      </c>
      <c r="S27" s="15">
        <f t="array" ref="S27">_xlfn.LET(
_xlpm.data,_xlfn._xlws.FILTER(
Table9[Normalised Income Impact Ratio],
ISNUMBER(Table9[Normalised Income Impact Ratio])*
(Table9[Normalised Income Impact Ratio]&gt;0)*
(Table9[Cost Quartiles]="4th Quartile (Highest 25%)")
),
_xlpm.med,MEDIAN(_xlpm.data),
_xlpm.mad,MEDIAN(ABS(_xlpm.data-_xlpm.med)),
SUMPRODUCT(--(ABS(_xlpm.data-_xlpm.med)&gt;2.5*_xlpm.mad))
)</f>
        <v>2</v>
      </c>
      <c r="T27" s="203">
        <f t="array" ref="T27">_xlfn.LET(
_xlpm.data,_xlfn._xlws.FILTER(
Table9[Normalised Income Impact Ratio],
ISNUMBER(Table9[Normalised Income Impact Ratio])*
(Table9[Normalised Income Impact Ratio]&gt;0)*
(Table9[Cost Quartiles]="4th Quartile (Highest 25%)")
),
_xlpm.med,MEDIAN(_xlpm.data),
_xlpm.mad,MEDIAN(ABS(_xlpm.data-_xlpm.med)),
AVERAGE(_xlfn._xlws.FILTER(_xlpm.data,ABS(_xlpm.data-_xlpm.med)&lt;=2.5*_xlpm.mad))
)</f>
        <v>1.4157635471086965E-2</v>
      </c>
      <c r="U27" s="232">
        <f>O27-S27</f>
        <v>9</v>
      </c>
      <c r="V27" s="191"/>
      <c r="W27" s="370">
        <f t="array" ref="W27">MEDIAN(
_xlfn._xlws.FILTER(
Table9[Private Sector Investment (USD) / Project cost ],
ISNUMBER(Table9[Private Sector Investment (USD) / Project cost ])*
(Table9[Private Sector Investment (USD) / Project cost ]&gt;0)*
(Table9[Cost Quartiles]="4th Quartile (Highest 25%)")
)
)</f>
        <v>0.52136840328265355</v>
      </c>
      <c r="X27" s="203">
        <f t="array" ref="X27">AVERAGE(
_xlfn._xlws.FILTER(
Table9[Private Sector Investment (USD) / Project cost ],
ISNUMBER(Table9[Private Sector Investment (USD) / Project cost ])*
(Table9[Private Sector Investment (USD) / Project cost ]&gt;0)*
(Table9[Cost Quartiles]="4th Quartile (Highest 25%)")
)
)</f>
        <v>1.1382875057331798</v>
      </c>
      <c r="Y27" s="15">
        <f>COUNTIFS(
Table9[Private Sector Investment (USD) / Project cost ],"&gt;0",
Table9[Cost Quartiles],"4th Quartile (Highest 25%)"
)</f>
        <v>16</v>
      </c>
      <c r="Z27" s="203">
        <f t="array" ref="Z27">_xlfn.LET(
_xlpm.data,_xlfn._xlws.FILTER(
Table9[Private Sector Investment (USD) / Project cost ],
ISNUMBER(Table9[Private Sector Investment (USD) / Project cost ])*
(Table9[Private Sector Investment (USD) / Project cost ]&gt;0)*
(Table9[Cost Quartiles]="4th Quartile (Highest 25%)")
),
MEDIAN(ABS(_xlpm.data-MEDIAN(_xlpm.data)))
)</f>
        <v>0.38978643566922522</v>
      </c>
      <c r="AA27" s="195">
        <f>Z27/W27</f>
        <v>0.74762189886276487</v>
      </c>
      <c r="AB27" s="195">
        <f t="array" ref="AB27">_xlfn.LET(
_xlpm.data,_xlfn._xlws.FILTER(
Table9[Private Sector Investment (USD) / Project cost ],
ISNUMBER(Table9[Private Sector Investment (USD) / Project cost ])*
(Table9[Private Sector Investment (USD) / Project cost ]&gt;0)*
(Table9[Cost Quartiles]="4th Quartile (Highest 25%)")
),
_xlpm.med,MEDIAN(_xlpm.data),
_xlpm.mad,MEDIAN(ABS(_xlpm.data-_xlpm.med)),
SUMPRODUCT(--(ABS(_xlpm.data-_xlpm.med)&gt;2.5*_xlpm.mad))/COUNT(_xlpm.data)
)</f>
        <v>0.125</v>
      </c>
      <c r="AC27" s="15">
        <f t="array" ref="AC27">_xlfn.LET(
_xlpm.data,_xlfn._xlws.FILTER(
Table9[Private Sector Investment (USD) / Project cost ],
ISNUMBER(Table9[Private Sector Investment (USD) / Project cost ])*
(Table9[Private Sector Investment (USD) / Project cost ]&gt;0)*
(Table9[Cost Quartiles]="4th Quartile (Highest 25%)")
),
_xlpm.med,MEDIAN(_xlpm.data),
_xlpm.mad,MEDIAN(ABS(_xlpm.data-_xlpm.med)),
SUMPRODUCT(--(ABS(_xlpm.data-_xlpm.med)&gt;2.5*_xlpm.mad))
)</f>
        <v>2</v>
      </c>
      <c r="AD27" s="203">
        <f t="array" ref="AD27">_xlfn.LET(
_xlpm.data,_xlfn._xlws.FILTER(
Table9[Private Sector Investment (USD) / Project cost ],
ISNUMBER(Table9[Private Sector Investment (USD) / Project cost ])*
(Table9[Private Sector Investment (USD) / Project cost ]&gt;0)*
(Table9[Cost Quartiles]="4th Quartile (Highest 25%)")
),
_xlpm.med,MEDIAN(_xlpm.data),
_xlpm.mad,MEDIAN(ABS(_xlpm.data-_xlpm.med)),
AVERAGE(_xlfn._xlws.FILTER(_xlpm.data,ABS(_xlpm.data-_xlpm.med)&lt;=2.5*_xlpm.mad))
)</f>
        <v>0.54620031738909847</v>
      </c>
      <c r="AE27" s="232">
        <f>Y27-AC27</f>
        <v>14</v>
      </c>
      <c r="AF27" s="191"/>
      <c r="AG27" s="370">
        <f t="array" ref="AG27">MEDIAN(
_xlfn._xlws.FILTER(
Table9[Private Sector Revenues Generated (USD) / Project cost],
ISNUMBER(Table9[Private Sector Revenues Generated (USD) / Project cost])*
(Table9[Private Sector Revenues Generated (USD) / Project cost]&gt;0)*
(Table9[Cost Quartiles]="4th Quartile (Highest 25%)")
)
)</f>
        <v>1.846845771728908</v>
      </c>
      <c r="AH27" s="203">
        <f t="array" ref="AH27">AVERAGE(
_xlfn._xlws.FILTER(
Table9[Private Sector Revenues Generated (USD) / Project cost],
ISNUMBER(Table9[Private Sector Revenues Generated (USD) / Project cost])*
(Table9[Private Sector Revenues Generated (USD) / Project cost]&gt;0)*
(Table9[Cost Quartiles]="4th Quartile (Highest 25%)")
)
)</f>
        <v>2.2410426125816882</v>
      </c>
      <c r="AI27" s="15">
        <f>COUNTIFS(
Table9[Private Sector Revenues Generated (USD) / Project cost],"&gt;0",
Table9[Cost Quartiles],"4th Quartile (Highest 25%)"
)</f>
        <v>14</v>
      </c>
      <c r="AJ27" s="203">
        <f t="array" ref="AJ27">_xlfn.LET(
_xlpm.data,_xlfn._xlws.FILTER(
Table9[Private Sector Revenues Generated (USD) / Project cost],
ISNUMBER(Table9[Private Sector Revenues Generated (USD) / Project cost])*
(Table9[Private Sector Revenues Generated (USD) / Project cost]&gt;0)*
(Table9[Cost Quartiles]="4th Quartile (Highest 25%)")
),
MEDIAN(ABS(_xlpm.data-MEDIAN(_xlpm.data)))
)</f>
        <v>0.87901130739187883</v>
      </c>
      <c r="AK27" s="343">
        <f>AJ27/AG27</f>
        <v>0.47595274107214719</v>
      </c>
      <c r="AL27" s="195">
        <f t="array" ref="AL27">_xlfn.LET(
_xlpm.data,_xlfn._xlws.FILTER(
Table9[Private Sector Revenues Generated (USD) / Project cost],
ISNUMBER(Table9[Private Sector Revenues Generated (USD) / Project cost])*
(Table9[Private Sector Revenues Generated (USD) / Project cost]&gt;0)*
(Table9[Cost Quartiles]="4th Quartile (Highest 25%)")
),
_xlpm.med,MEDIAN(_xlpm.data),
_xlpm.mad,MEDIAN(ABS(_xlpm.data-_xlpm.med)),
SUMPRODUCT(--(ABS(_xlpm.data-_xlpm.med)&gt;2.5*_xlpm.mad))/COUNT(_xlpm.data)
)</f>
        <v>7.1428571428571425E-2</v>
      </c>
      <c r="AM27" s="15">
        <f t="array" ref="AM27">_xlfn.LET(
_xlpm.data,_xlfn._xlws.FILTER(
Table9[Private Sector Revenues Generated (USD) / Project cost],
ISNUMBER(Table9[Private Sector Revenues Generated (USD) / Project cost])*
(Table9[Private Sector Revenues Generated (USD) / Project cost]&gt;0)*
(Table9[Cost Quartiles]="4th Quartile (Highest 25%)")
),
_xlpm.med,MEDIAN(_xlpm.data),
_xlpm.mad,MEDIAN(ABS(_xlpm.data-_xlpm.med)),
SUMPRODUCT(--(ABS(_xlpm.data-_xlpm.med)&gt;2.5*_xlpm.mad))
)</f>
        <v>1</v>
      </c>
      <c r="AN27" s="203">
        <f t="array" ref="AN27">_xlfn.LET(
_xlpm.data,_xlfn._xlws.FILTER(
Table9[Private Sector Revenues Generated (USD) / Project cost],
ISNUMBER(Table9[Private Sector Revenues Generated (USD) / Project cost])*
(Table9[Private Sector Revenues Generated (USD) / Project cost]&gt;0)*
(Table9[Cost Quartiles]="4th Quartile (Highest 25%)")
),
_xlpm.med,MEDIAN(_xlpm.data),
_xlpm.mad,MEDIAN(ABS(_xlpm.data-_xlpm.med)),
AVERAGE(_xlfn._xlws.FILTER(_xlpm.data,ABS(_xlpm.data-_xlpm.med)&lt;=2.5*_xlpm.mad))
)</f>
        <v>1.6250745576543071</v>
      </c>
      <c r="AO27" s="232">
        <f>AI27-AM27</f>
        <v>13</v>
      </c>
      <c r="AP27" s="191"/>
      <c r="AQ27" s="405">
        <f t="array" ref="AQ27">MEDIAN(
_xlfn._xlws.FILTER(
Table9[Export Revenue Generated (USD) /Project Cost],
ISNUMBER(Table9[Export Revenue Generated (USD) /Project Cost])*
(Table9[Export Revenue Generated (USD) /Project Cost]&gt;0)*
(Table9[Cost Quartiles]="4th Quartile (Highest 25%)")
)
)</f>
        <v>9.1394616883116897E-2</v>
      </c>
      <c r="AR27" s="198">
        <f t="array" ref="AR27">AVERAGE(
_xlfn._xlws.FILTER(
Table9[Export Revenue Generated (USD) /Project Cost],
ISNUMBER(Table9[Export Revenue Generated (USD) /Project Cost])*
(Table9[Export Revenue Generated (USD) /Project Cost]&gt;0)*
(Table9[Cost Quartiles]="4th Quartile (Highest 25%)")
)
)</f>
        <v>0.16611637651248737</v>
      </c>
      <c r="AS27" s="15">
        <f>COUNTIFS(
Table9[Export Revenue Generated (USD) /Project Cost],"&gt;0",
Table9[Cost Quartiles],"4th Quartile (Highest 25%)"
)</f>
        <v>4</v>
      </c>
      <c r="AT27" s="203">
        <f t="array" ref="AT27">_xlfn.LET(
_xlpm.data,_xlfn._xlws.FILTER(
Table9[Export Revenue Generated (USD) /Project Cost],
ISNUMBER(Table9[Export Revenue Generated (USD) /Project Cost])*
(Table9[Export Revenue Generated (USD) /Project Cost]&gt;0)*
(Table9[Cost Quartiles]="4th Quartile (Highest 25%)")
),
MEDIAN(ABS(_xlpm.data-MEDIAN(_xlpm.data)))
)</f>
        <v>2.5101935286713582E-2</v>
      </c>
      <c r="AU27" s="195">
        <f>AT27/AQ27</f>
        <v>0.27465441776309474</v>
      </c>
      <c r="AV27" s="195">
        <f t="array" ref="AV27">_xlfn.LET(
_xlpm.data,_xlfn._xlws.FILTER(
Table9[Export Revenue Generated (USD) /Project Cost],
ISNUMBER(Table9[Export Revenue Generated (USD) /Project Cost])*
(Table9[Export Revenue Generated (USD) /Project Cost]&gt;0)*
(Table9[Cost Quartiles]="4th Quartile (Highest 25%)")
),
_xlpm.med,MEDIAN(_xlpm.data),
_xlpm.mad,MEDIAN(ABS(_xlpm.data-_xlpm.med)),
SUMPRODUCT(--(ABS(_xlpm.data-_xlpm.med)&gt;2.5*_xlpm.mad))/COUNT(_xlpm.data)
)</f>
        <v>0.25</v>
      </c>
      <c r="AW27" s="15">
        <f t="array" ref="AW27">_xlfn.LET(
_xlpm.data,_xlfn._xlws.FILTER(
Table9[Export Revenue Generated (USD) /Project Cost],
ISNUMBER(Table9[Export Revenue Generated (USD) /Project Cost])*
(Table9[Export Revenue Generated (USD) /Project Cost]&gt;0)*
(Table9[Cost Quartiles]="4th Quartile (Highest 25%)")
),
_xlpm.med,MEDIAN(_xlpm.data),
_xlpm.mad,MEDIAN(ABS(_xlpm.data-_xlpm.med)),
SUMPRODUCT(--(ABS(_xlpm.data-_xlpm.med)&gt;2.5*_xlpm.mad))
)</f>
        <v>1</v>
      </c>
      <c r="AX27" s="203">
        <f t="array" ref="AX27">_xlfn.LET(
_xlpm.data,_xlfn._xlws.FILTER(
Table9[Export Revenue Generated (USD) /Project Cost],
ISNUMBER(Table9[Export Revenue Generated (USD) /Project Cost])*
(Table9[Export Revenue Generated (USD) /Project Cost]&gt;0)*
(Table9[Cost Quartiles]="4th Quartile (Highest 25%)")
),
_xlpm.med,MEDIAN(_xlpm.data),
_xlpm.mad,MEDIAN(ABS(_xlpm.data-_xlpm.med)),
AVERAGE(_xlfn._xlws.FILTER(_xlpm.data,ABS(_xlpm.data-_xlpm.med)&lt;=2.5*_xlpm.mad))
)</f>
        <v>7.4821835349983157E-2</v>
      </c>
      <c r="AY27" s="232">
        <f>AS27-AW27</f>
        <v>3</v>
      </c>
      <c r="AZ27" s="191"/>
      <c r="BA27" s="202"/>
      <c r="BB27" s="202"/>
      <c r="BC27" s="15"/>
      <c r="BD27" s="15"/>
      <c r="BE27" s="15"/>
      <c r="BF27" s="15"/>
      <c r="BG27" s="15"/>
      <c r="BH27" s="15"/>
      <c r="BI27" s="15"/>
      <c r="BJ27" s="191"/>
      <c r="BK27" s="15"/>
      <c r="BL27" s="15"/>
      <c r="BM27" s="15"/>
      <c r="BN27" s="15"/>
      <c r="BO27" s="15"/>
      <c r="BP27" s="15"/>
      <c r="BQ27" s="15"/>
      <c r="BR27" s="15"/>
      <c r="BS27" s="15"/>
      <c r="BT27" s="191"/>
      <c r="BU27" s="202"/>
      <c r="BV27" s="202"/>
      <c r="BW27" s="15"/>
      <c r="BX27" s="15"/>
      <c r="BY27" s="15"/>
      <c r="BZ27" s="15"/>
      <c r="CA27" s="15"/>
      <c r="CB27" s="15"/>
      <c r="CC27" s="15"/>
      <c r="CD27" s="191"/>
      <c r="CE27" s="15"/>
      <c r="CF27" s="15"/>
      <c r="CG27" s="15"/>
      <c r="CH27" s="15"/>
      <c r="CI27" s="15"/>
      <c r="CJ27" s="15"/>
      <c r="CK27" s="15"/>
      <c r="CL27" s="15"/>
      <c r="CM27" s="15"/>
      <c r="CN27" s="191"/>
      <c r="CO27" s="203"/>
      <c r="CP27" s="203"/>
      <c r="CQ27" s="15"/>
      <c r="CR27" s="15"/>
      <c r="CS27" s="15"/>
      <c r="CT27" s="15"/>
      <c r="CU27" s="15"/>
      <c r="CV27" s="15"/>
      <c r="CW27" s="15"/>
    </row>
    <row r="28" spans="2:101" x14ac:dyDescent="0.25">
      <c r="B28" s="292" t="s">
        <v>644</v>
      </c>
      <c r="C28" s="361"/>
      <c r="D28" s="293"/>
      <c r="E28" s="293"/>
      <c r="F28" s="293"/>
      <c r="G28" s="347"/>
      <c r="H28" s="347"/>
      <c r="I28" s="293"/>
      <c r="J28" s="293"/>
      <c r="K28" s="362"/>
      <c r="L28" s="385"/>
      <c r="M28" s="361"/>
      <c r="N28" s="293"/>
      <c r="O28" s="293"/>
      <c r="P28" s="293"/>
      <c r="Q28" s="347"/>
      <c r="R28" s="347"/>
      <c r="S28" s="293"/>
      <c r="T28" s="293"/>
      <c r="U28" s="362"/>
      <c r="V28" s="385"/>
      <c r="W28" s="398"/>
      <c r="X28" s="373"/>
      <c r="Y28" s="373"/>
      <c r="Z28" s="373"/>
      <c r="AA28" s="373"/>
      <c r="AB28" s="373"/>
      <c r="AC28" s="373"/>
      <c r="AD28" s="373"/>
      <c r="AE28" s="399"/>
      <c r="AF28" s="385"/>
      <c r="AG28" s="361"/>
      <c r="AH28" s="293"/>
      <c r="AI28" s="293"/>
      <c r="AJ28" s="293"/>
      <c r="AK28" s="293"/>
      <c r="AL28" s="293"/>
      <c r="AM28" s="293"/>
      <c r="AN28" s="293"/>
      <c r="AO28" s="362"/>
      <c r="AP28" s="385"/>
      <c r="AQ28" s="361"/>
      <c r="AR28" s="293"/>
      <c r="AS28" s="293"/>
      <c r="AT28" s="293"/>
      <c r="AU28" s="293"/>
      <c r="AV28" s="293"/>
      <c r="AW28" s="293"/>
      <c r="AX28" s="293"/>
      <c r="AY28" s="362"/>
      <c r="AZ28" s="385"/>
      <c r="BA28" s="293"/>
      <c r="BB28" s="293"/>
      <c r="BC28" s="293"/>
      <c r="BD28" s="293"/>
      <c r="BE28" s="293"/>
      <c r="BF28" s="293"/>
      <c r="BG28" s="293"/>
      <c r="BH28" s="293"/>
      <c r="BI28" s="293"/>
      <c r="BJ28" s="385"/>
      <c r="BK28" s="293"/>
      <c r="BL28" s="293"/>
      <c r="BM28" s="293"/>
      <c r="BN28" s="293"/>
      <c r="BO28" s="293"/>
      <c r="BP28" s="293"/>
      <c r="BQ28" s="293"/>
      <c r="BR28" s="293"/>
      <c r="BS28" s="293"/>
      <c r="BT28" s="385"/>
      <c r="BU28" s="293"/>
      <c r="BV28" s="293"/>
      <c r="BW28" s="293"/>
      <c r="BX28" s="293"/>
      <c r="BY28" s="293"/>
      <c r="BZ28" s="293"/>
      <c r="CA28" s="293"/>
      <c r="CB28" s="293"/>
      <c r="CC28" s="293"/>
      <c r="CD28" s="385"/>
      <c r="CE28" s="293"/>
      <c r="CF28" s="293"/>
      <c r="CG28" s="293"/>
      <c r="CH28" s="293"/>
      <c r="CI28" s="293"/>
      <c r="CJ28" s="293"/>
      <c r="CK28" s="293"/>
      <c r="CL28" s="293"/>
      <c r="CM28" s="293"/>
      <c r="CN28" s="385"/>
      <c r="CO28" s="373"/>
      <c r="CP28" s="373"/>
      <c r="CQ28" s="373"/>
      <c r="CR28" s="373"/>
      <c r="CS28" s="373"/>
      <c r="CT28" s="373"/>
      <c r="CU28" s="373"/>
      <c r="CV28" s="373"/>
      <c r="CW28" s="373"/>
    </row>
    <row r="29" spans="2:101" x14ac:dyDescent="0.25">
      <c r="B29" s="205" t="s">
        <v>645</v>
      </c>
      <c r="C29" s="363">
        <f t="array" ref="C29">MEDIAN(_xlfn._xlws.FILTER(Table9[Income per beneficiary (USD)], (Table9[Income per beneficiary (USD)]&gt;0)*(Table9[FCAS Status]="Stable")))</f>
        <v>132.465622476475</v>
      </c>
      <c r="D29" s="202">
        <f t="array" ref="D29">AVERAGE(_xlfn._xlws.FILTER(Table9[Income per beneficiary (USD)], (Table9[Income per beneficiary (USD)]&gt;0)*(Table9[FCAS Status]="Stable")))</f>
        <v>481.09844910066704</v>
      </c>
      <c r="E29" s="15">
        <f>COUNTIFS(Table9[Income per beneficiary (USD)],"&gt;0", Table9[FCAS Status],"Stable")</f>
        <v>29</v>
      </c>
      <c r="F29" s="202">
        <f t="array" ref="F29">_xlfn.LET(
_xlpm.data,_xlfn._xlws.FILTER(
Table9[Income per beneficiary (USD)],
(Table9[Income per beneficiary (USD)]&gt;0)*
(Table9[FCAS Status]="Stable")
),
MEDIAN(ABS(_xlpm.data-MEDIAN(_xlpm.data)))
)</f>
        <v>78.529731871594095</v>
      </c>
      <c r="G29" s="195">
        <f>F29/C29</f>
        <v>0.59283103346712041</v>
      </c>
      <c r="H29" s="195">
        <f t="array" ref="H29">_xlfn.LET(
_xlpm.data,_xlfn._xlws.FILTER(
Table9[Income per beneficiary (USD)],
(Table9[Income per beneficiary (USD)]&gt;0)*
(Table9[FCAS Status]="Stable")
),
_xlpm.med,MEDIAN(_xlpm.data),
_xlpm.mad,MEDIAN(ABS(_xlpm.data-_xlpm.med)),
SUMPRODUCT(--(ABS(_xlpm.data-_xlpm.med)&gt;2.5*_xlpm.mad))/COUNT(_xlpm.data)
)</f>
        <v>0.41379310344827586</v>
      </c>
      <c r="I29" s="15">
        <f t="array" ref="I29">_xlfn.LET(
_xlpm.data,_xlfn._xlws.FILTER(
Table9[Income per beneficiary (USD)],
(Table9[Income per beneficiary (USD)]&gt;0)*
(Table9[FCAS Status]="Stable")
),
_xlpm.med,MEDIAN(_xlpm.data),
_xlpm.mad,MEDIAN(ABS(_xlpm.data-_xlpm.med)),
SUMPRODUCT(--(ABS(_xlpm.data-_xlpm.med)&gt;2.5*_xlpm.mad))
)</f>
        <v>12</v>
      </c>
      <c r="J29" s="202">
        <f t="array" ref="J29">_xlfn.LET(
_xlpm.data,_xlfn._xlws.FILTER(
Table9[Income per beneficiary (USD)],
(Table9[Income per beneficiary (USD)]&gt;0)*
(Table9[FCAS Status]="Stable")
),
_xlpm.med,MEDIAN(_xlpm.data),
_xlpm.mad,MEDIAN(ABS(_xlpm.data-_xlpm.med)),
AVERAGE(_xlfn._xlws.FILTER(_xlpm.data,ABS(_xlpm.data-_xlpm.med)&lt;=2.5*_xlpm.mad))
)</f>
        <v>93.455402460992175</v>
      </c>
      <c r="K29" s="364">
        <f>E29-I29</f>
        <v>17</v>
      </c>
      <c r="L29" s="192"/>
      <c r="M29" s="370">
        <f t="array" ref="M29">MEDIAN(
_xlfn._xlws.FILTER(
Table9[Normalised Income Impact Ratio],
ISNUMBER(Table9[Normalised Income Impact Ratio])*
(Table9[Normalised Income Impact Ratio]&gt;0)*
(Table9[FCAS Status]="Stable")
)
)</f>
        <v>2.1857319389547651E-2</v>
      </c>
      <c r="N29" s="203">
        <f t="array" ref="N29">AVERAGE(
_xlfn._xlws.FILTER(
Table9[Normalised Income Impact Ratio],
ISNUMBER(Table9[Normalised Income Impact Ratio])*
(Table9[Normalised Income Impact Ratio]&gt;0)*
(Table9[FCAS Status]="Stable")
)
)</f>
        <v>6.1642357845761692E-2</v>
      </c>
      <c r="O29" s="15">
        <f>COUNTIFS(
Table9[Normalised Income Impact Ratio],"&gt;0",
Table9[FCAS Status],"Stable"
)</f>
        <v>29</v>
      </c>
      <c r="P29" s="203">
        <f t="array" ref="P29">_xlfn.LET(
_xlpm.data,_xlfn._xlws.FILTER(
Table9[Normalised Income Impact Ratio],
ISNUMBER(Table9[Normalised Income Impact Ratio])*
(Table9[Normalised Income Impact Ratio]&gt;0)*
(Table9[FCAS Status]="Stable")
),
MEDIAN(ABS(_xlpm.data-MEDIAN(_xlpm.data)))
)</f>
        <v>1.4788566421223651E-2</v>
      </c>
      <c r="Q29" s="195">
        <f>P29/M29</f>
        <v>0.67659561347196417</v>
      </c>
      <c r="R29" s="195">
        <f t="array" ref="R29">_xlfn.LET(
_xlpm.data,_xlfn._xlws.FILTER(
Table9[Normalised Income Impact Ratio],
ISNUMBER(Table9[Normalised Income Impact Ratio])*
(Table9[Normalised Income Impact Ratio]&gt;0)*
(Table9[FCAS Status]="Stable")
),
_xlpm.med,MEDIAN(_xlpm.data),
_xlpm.mad,MEDIAN(ABS(_xlpm.data-_xlpm.med)),
SUMPRODUCT(--(ABS(_xlpm.data-_xlpm.med)&gt;2.5*_xlpm.mad))/COUNT(_xlpm.data)
)</f>
        <v>0.2413793103448276</v>
      </c>
      <c r="S29" s="15">
        <f t="array" ref="S29">_xlfn.LET(
_xlpm.data,_xlfn._xlws.FILTER(
Table9[Normalised Income Impact Ratio],
ISNUMBER(Table9[Normalised Income Impact Ratio])*
(Table9[Normalised Income Impact Ratio]&gt;0)*
(Table9[FCAS Status]="Stable")
),
_xlpm.med,MEDIAN(_xlpm.data),
_xlpm.mad,MEDIAN(ABS(_xlpm.data-_xlpm.med)),
SUMPRODUCT(--(ABS(_xlpm.data-_xlpm.med)&gt;2.5*_xlpm.mad))
)</f>
        <v>7</v>
      </c>
      <c r="T29" s="203">
        <f t="array" ref="T29">_xlfn.LET(
_xlpm.data,_xlfn._xlws.FILTER(
Table9[Normalised Income Impact Ratio],
ISNUMBER(Table9[Normalised Income Impact Ratio])*
(Table9[Normalised Income Impact Ratio]&gt;0)*
(Table9[FCAS Status]="Stable")
),
_xlpm.med,MEDIAN(_xlpm.data),
_xlpm.mad,MEDIAN(ABS(_xlpm.data-_xlpm.med)),
AVERAGE(_xlfn._xlws.FILTER(_xlpm.data,ABS(_xlpm.data-_xlpm.med)&lt;=2.5*_xlpm.mad))
)</f>
        <v>1.8587579644245466E-2</v>
      </c>
      <c r="U29" s="232">
        <f>O29-S29</f>
        <v>22</v>
      </c>
      <c r="V29" s="191"/>
      <c r="W29" s="370">
        <f t="array" ref="W29">MEDIAN(
_xlfn._xlws.FILTER(
Table9[Private Sector Investment (USD) / Project cost ],
ISNUMBER(Table9[Private Sector Investment (USD) / Project cost ])*
(Table9[Private Sector Investment (USD) / Project cost ]&gt;0)*
(Table9[FCAS Status]="Stable")
)
)</f>
        <v>0.5274942244224422</v>
      </c>
      <c r="X29" s="203">
        <f t="array" ref="X29">AVERAGE(
_xlfn._xlws.FILTER(
Table9[Private Sector Investment (USD) / Project cost ],
ISNUMBER(Table9[Private Sector Investment (USD) / Project cost ])*
(Table9[Private Sector Investment (USD) / Project cost ]&gt;0)*
(Table9[FCAS Status]="Stable")
)
)</f>
        <v>1.7978555954168283</v>
      </c>
      <c r="Y29" s="15">
        <f>COUNTIFS(
Table9[Private Sector Investment (USD) / Project cost ],"&gt;0",
Table9[FCAS Status],"Stable"
)</f>
        <v>42</v>
      </c>
      <c r="Z29" s="203">
        <f t="array" ref="Z29">_xlfn.LET(
_xlpm.data,_xlfn._xlws.FILTER(
Table9[Private Sector Investment (USD) / Project cost ],
ISNUMBER(Table9[Private Sector Investment (USD) / Project cost ])*
(Table9[Private Sector Investment (USD) / Project cost ]&gt;0)*
(Table9[FCAS Status]="Stable")
),
MEDIAN(ABS(_xlpm.data-MEDIAN(_xlpm.data)))
)</f>
        <v>0.43577421269758554</v>
      </c>
      <c r="AA29" s="195">
        <f>Z29/W29</f>
        <v>0.82612129673025014</v>
      </c>
      <c r="AB29" s="195">
        <f t="array" ref="AB29">_xlfn.LET(
_xlpm.data,_xlfn._xlws.FILTER(
Table9[Private Sector Investment (USD) / Project cost ],
ISNUMBER(Table9[Private Sector Investment (USD) / Project cost ])*
(Table9[Private Sector Investment (USD) / Project cost ]&gt;0)*
(Table9[FCAS Status]="Stable")
),
_xlpm.med,MEDIAN(_xlpm.data),
_xlpm.mad,MEDIAN(ABS(_xlpm.data-_xlpm.med)),
SUMPRODUCT(--(ABS(_xlpm.data-_xlpm.med)&gt;2.5*_xlpm.mad))/COUNT(_xlpm.data)
)</f>
        <v>0.16666666666666666</v>
      </c>
      <c r="AC29" s="15">
        <f t="array" ref="AC29">_xlfn.LET(
_xlpm.data,_xlfn._xlws.FILTER(
Table9[Private Sector Investment (USD) / Project cost ],
ISNUMBER(Table9[Private Sector Investment (USD) / Project cost ])*
(Table9[Private Sector Investment (USD) / Project cost ]&gt;0)*
(Table9[FCAS Status]="Stable")
),
_xlpm.med,MEDIAN(_xlpm.data),
_xlpm.mad,MEDIAN(ABS(_xlpm.data-_xlpm.med)),
SUMPRODUCT(--(ABS(_xlpm.data-_xlpm.med)&gt;2.5*_xlpm.mad))
)</f>
        <v>7</v>
      </c>
      <c r="AD29" s="203">
        <f t="array" ref="AD29">_xlfn.LET(
_xlpm.data,_xlfn._xlws.FILTER(
Table9[Private Sector Investment (USD) / Project cost ],
ISNUMBER(Table9[Private Sector Investment (USD) / Project cost ])*
(Table9[Private Sector Investment (USD) / Project cost ]&gt;0)*
(Table9[FCAS Status]="Stable")
),
_xlpm.med,MEDIAN(_xlpm.data),
_xlpm.mad,MEDIAN(ABS(_xlpm.data-_xlpm.med)),
AVERAGE(_xlfn._xlws.FILTER(_xlpm.data,ABS(_xlpm.data-_xlpm.med)&lt;=2.5*_xlpm.mad))
)</f>
        <v>0.50910058153198756</v>
      </c>
      <c r="AE29" s="232">
        <f>Y29-AC29</f>
        <v>35</v>
      </c>
      <c r="AF29" s="191"/>
      <c r="AG29" s="370">
        <f t="array" ref="AG29">MEDIAN(
_xlfn._xlws.FILTER(
Table9[Private Sector Revenues Generated (USD) / Project cost],
ISNUMBER(Table9[Private Sector Revenues Generated (USD) / Project cost])*
(Table9[Private Sector Revenues Generated (USD) / Project cost]&gt;0)*
(Table9[FCAS Status]="Stable")
)
)</f>
        <v>1.6775150232509577</v>
      </c>
      <c r="AH29" s="203">
        <f t="array" ref="AH29">AVERAGE(
_xlfn._xlws.FILTER(
Table9[Private Sector Revenues Generated (USD) / Project cost],
ISNUMBER(Table9[Private Sector Revenues Generated (USD) / Project cost])*
(Table9[Private Sector Revenues Generated (USD) / Project cost]&gt;0)*
(Table9[FCAS Status]="Stable")
)
)</f>
        <v>3.5755137645032056</v>
      </c>
      <c r="AI29" s="15">
        <f>COUNTIFS(
Table9[Private Sector Revenues Generated (USD) / Project cost],"&gt;0",
Table9[FCAS Status],"Stable"
)</f>
        <v>36</v>
      </c>
      <c r="AJ29" s="203">
        <f t="array" ref="AJ29">_xlfn.LET(
_xlpm.data,_xlfn._xlws.FILTER(
Table9[Private Sector Revenues Generated (USD) / Project cost],
ISNUMBER(Table9[Private Sector Revenues Generated (USD) / Project cost])*
(Table9[Private Sector Revenues Generated (USD) / Project cost]&gt;0)*
(Table9[FCAS Status]="Stable")
),
MEDIAN(ABS(_xlpm.data-MEDIAN(_xlpm.data)))
)</f>
        <v>1.4455225990085334</v>
      </c>
      <c r="AK29" s="343">
        <f>AJ29/AG29</f>
        <v>0.86170471141722937</v>
      </c>
      <c r="AL29" s="195">
        <f t="array" ref="AL29">_xlfn.LET(
_xlpm.data,_xlfn._xlws.FILTER(
Table9[Private Sector Revenues Generated (USD) / Project cost],
ISNUMBER(Table9[Private Sector Revenues Generated (USD) / Project cost])*
(Table9[Private Sector Revenues Generated (USD) / Project cost]&gt;0)*
(Table9[FCAS Status]="Stable")
),
_xlpm.med,MEDIAN(_xlpm.data),
_xlpm.mad,MEDIAN(ABS(_xlpm.data-_xlpm.med)),
SUMPRODUCT(--(ABS(_xlpm.data-_xlpm.med)&gt;2.5*_xlpm.mad))/COUNT(_xlpm.data)
)</f>
        <v>0.19444444444444445</v>
      </c>
      <c r="AM29" s="15">
        <f t="array" ref="AM29">_xlfn.LET(
_xlpm.data,_xlfn._xlws.FILTER(
Table9[Private Sector Revenues Generated (USD) / Project cost],
ISNUMBER(Table9[Private Sector Revenues Generated (USD) / Project cost])*
(Table9[Private Sector Revenues Generated (USD) / Project cost]&gt;0)*
(Table9[FCAS Status]="Stable")
),
_xlpm.med,MEDIAN(_xlpm.data),
_xlpm.mad,MEDIAN(ABS(_xlpm.data-_xlpm.med)),
SUMPRODUCT(--(ABS(_xlpm.data-_xlpm.med)&gt;2.5*_xlpm.mad))
)</f>
        <v>7</v>
      </c>
      <c r="AN29" s="203">
        <f t="array" ref="AN29">_xlfn.LET(
_xlpm.data,_xlfn._xlws.FILTER(
Table9[Private Sector Revenues Generated (USD) / Project cost],
ISNUMBER(Table9[Private Sector Revenues Generated (USD) / Project cost])*
(Table9[Private Sector Revenues Generated (USD) / Project cost]&gt;0)*
(Table9[FCAS Status]="Stable")
),
_xlpm.med,MEDIAN(_xlpm.data),
_xlpm.mad,MEDIAN(ABS(_xlpm.data-_xlpm.med)),
AVERAGE(_xlfn._xlws.FILTER(_xlpm.data,ABS(_xlpm.data-_xlpm.med)&lt;=2.5*_xlpm.mad))
)</f>
        <v>1.2682050206300455</v>
      </c>
      <c r="AO29" s="232">
        <f>AI29-AM29</f>
        <v>29</v>
      </c>
      <c r="AP29" s="191"/>
      <c r="AQ29" s="370">
        <f t="array" ref="AQ29">MEDIAN(
_xlfn._xlws.FILTER(
Table9[Export Revenue Generated (USD) /Project Cost],
ISNUMBER(Table9[Export Revenue Generated (USD) /Project Cost])*
(Table9[Export Revenue Generated (USD) /Project Cost]&gt;0)*
(Table9[FCAS Status]="Stable")
)
)</f>
        <v>0.34741362139326759</v>
      </c>
      <c r="AR29" s="203">
        <f t="array" ref="AR29">AVERAGE(
_xlfn._xlws.FILTER(
Table9[Export Revenue Generated (USD) /Project Cost],
ISNUMBER(Table9[Export Revenue Generated (USD) /Project Cost])*
(Table9[Export Revenue Generated (USD) /Project Cost]&gt;0)*
(Table9[FCAS Status]="Stable")
)
)</f>
        <v>10.999669240271372</v>
      </c>
      <c r="AS29" s="15">
        <f>COUNTIFS(
Table9[Export Revenue Generated (USD) /Project Cost],"&gt;0",
Table9[FCAS Status],"Stable"
)</f>
        <v>9</v>
      </c>
      <c r="AT29" s="203">
        <f t="array" ref="AT29">_xlfn.LET(
_xlpm.data,_xlfn._xlws.FILTER(
Table9[Export Revenue Generated (USD) /Project Cost],
ISNUMBER(Table9[Export Revenue Generated (USD) /Project Cost])*
(Table9[Export Revenue Generated (USD) /Project Cost]&gt;0)*
(Table9[FCAS Status]="Stable")
),
MEDIAN(ABS(_xlpm.data-MEDIAN(_xlpm.data)))
)</f>
        <v>0.23512248438528779</v>
      </c>
      <c r="AU29" s="195">
        <f>AT29/AQ29</f>
        <v>0.67677969402107085</v>
      </c>
      <c r="AV29" s="195">
        <f t="array" ref="AV29">_xlfn.LET(
_xlpm.data,_xlfn._xlws.FILTER(
Table9[Export Revenue Generated (USD) /Project Cost],
ISNUMBER(Table9[Export Revenue Generated (USD) /Project Cost])*
(Table9[Export Revenue Generated (USD) /Project Cost]&gt;0)*
(Table9[FCAS Status]="Stable")
),
_xlpm.med,MEDIAN(_xlpm.data),
_xlpm.mad,MEDIAN(ABS(_xlpm.data-_xlpm.med)),
SUMPRODUCT(--(ABS(_xlpm.data-_xlpm.med)&gt;2.5*_xlpm.mad))/COUNT(_xlpm.data)
)</f>
        <v>0.33333333333333331</v>
      </c>
      <c r="AW29" s="15">
        <f t="array" ref="AW29">_xlfn.LET(
_xlpm.data,_xlfn._xlws.FILTER(
Table9[Export Revenue Generated (USD) /Project Cost],
ISNUMBER(Table9[Export Revenue Generated (USD) /Project Cost])*
(Table9[Export Revenue Generated (USD) /Project Cost]&gt;0)*
(Table9[FCAS Status]="Stable")
),
_xlpm.med,MEDIAN(_xlpm.data),
_xlpm.mad,MEDIAN(ABS(_xlpm.data-_xlpm.med)),
SUMPRODUCT(--(ABS(_xlpm.data-_xlpm.med)&gt;2.5*_xlpm.mad))
)</f>
        <v>3</v>
      </c>
      <c r="AX29" s="203">
        <f t="array" ref="AX29">_xlfn.LET(
_xlpm.data,_xlfn._xlws.FILTER(
Table9[Export Revenue Generated (USD) /Project Cost],
ISNUMBER(Table9[Export Revenue Generated (USD) /Project Cost])*
(Table9[Export Revenue Generated (USD) /Project Cost]&gt;0)*
(Table9[FCAS Status]="Stable")
),
_xlpm.med,MEDIAN(_xlpm.data),
_xlpm.mad,MEDIAN(ABS(_xlpm.data-_xlpm.med)),
AVERAGE(_xlfn._xlws.FILTER(_xlpm.data,ABS(_xlpm.data-_xlpm.med)&lt;=2.5*_xlpm.mad))
)</f>
        <v>0.20770347748492701</v>
      </c>
      <c r="AY29" s="232">
        <f>AS29-AW29</f>
        <v>6</v>
      </c>
      <c r="AZ29" s="142"/>
      <c r="BA29" s="202"/>
      <c r="BB29" s="202"/>
      <c r="BC29" s="15"/>
      <c r="BD29" s="15"/>
      <c r="BE29" s="15"/>
      <c r="BF29" s="15"/>
      <c r="BG29" s="15"/>
      <c r="BH29" s="15"/>
      <c r="BI29" s="15"/>
      <c r="BJ29" s="15"/>
      <c r="BK29" s="15"/>
      <c r="BL29" s="15"/>
      <c r="BM29" s="15"/>
      <c r="BN29" s="15"/>
      <c r="BO29" s="15"/>
      <c r="BP29" s="15"/>
      <c r="BQ29" s="15"/>
      <c r="BR29" s="15"/>
      <c r="BS29" s="15"/>
      <c r="BT29" s="15"/>
      <c r="BU29" s="202"/>
      <c r="BV29" s="202"/>
      <c r="BW29" s="15"/>
      <c r="BX29" s="15"/>
      <c r="BY29" s="15"/>
      <c r="BZ29" s="15"/>
      <c r="CA29" s="15"/>
      <c r="CB29" s="15"/>
      <c r="CC29" s="15"/>
      <c r="CD29" s="15"/>
      <c r="CE29" s="15"/>
      <c r="CF29" s="15"/>
      <c r="CG29" s="15"/>
      <c r="CH29" s="15"/>
      <c r="CI29" s="15"/>
      <c r="CJ29" s="15"/>
      <c r="CK29" s="15"/>
      <c r="CL29" s="15"/>
      <c r="CM29" s="15"/>
      <c r="CN29" s="135"/>
      <c r="CO29" s="203"/>
      <c r="CP29" s="203"/>
      <c r="CQ29" s="15"/>
      <c r="CR29" s="15"/>
      <c r="CS29" s="15"/>
      <c r="CT29" s="15"/>
      <c r="CU29" s="15"/>
      <c r="CV29" s="15"/>
      <c r="CW29" s="15"/>
    </row>
    <row r="30" spans="2:101" x14ac:dyDescent="0.25">
      <c r="B30" s="205" t="s">
        <v>42</v>
      </c>
      <c r="C30" s="363" t="e">
        <f t="array" ref="C30">MEDIAN(_xlfn._xlws.FILTER(Table8[Income per beneficiary (USD)], (Table9[Income per beneficiary (USD)]&gt;0)*(Table8[FCAS Status]="FCAS")))</f>
        <v>#N/A</v>
      </c>
      <c r="D30" s="202">
        <f t="array" ref="D30">AVERAGE(_xlfn._xlws.FILTER(Table9[Income per beneficiary (USD)], (Table9[Income per beneficiary (USD)]&gt;0)*(Table9[FCAS Status]="FCAS")))</f>
        <v>378.55591486987947</v>
      </c>
      <c r="E30" s="15">
        <f>COUNTIFS(Table9[Income per beneficiary (USD)],"&gt;0", Table9[FCAS Status],"FCAS")</f>
        <v>15</v>
      </c>
      <c r="F30" s="202">
        <f t="array" ref="F30">_xlfn.LET(
_xlpm.data,_xlfn._xlws.FILTER(
Table8[Income per beneficiary (USD)],
(Table8[Income per beneficiary (USD)]&gt;0)*
(Table8[FCAS Status]="FCAS")
),
MEDIAN(ABS(_xlpm.data-MEDIAN(_xlpm.data)))
)</f>
        <v>191.17615967448853</v>
      </c>
      <c r="G30" s="195" t="e">
        <f>F30/C30</f>
        <v>#N/A</v>
      </c>
      <c r="H30" s="195">
        <f t="array" ref="H30">_xlfn.LET(
_xlpm.data,_xlfn._xlws.FILTER(
Table8[Income per beneficiary (USD)],
(Table8[Income per beneficiary (USD)]&gt;0)*
(Table8[FCAS Status]="FCAS")
),
_xlpm.med,MEDIAN(_xlpm.data),
_xlpm.mad,MEDIAN(ABS(_xlpm.data-_xlpm.med)),
SUMPRODUCT(--(ABS(_xlpm.data-_xlpm.med)&gt;2.5*_xlpm.mad))/COUNT(_xlpm.data)
)</f>
        <v>0.13333333333333333</v>
      </c>
      <c r="I30" s="15">
        <f t="array" ref="I30">_xlfn.LET(
_xlpm.data,_xlfn._xlws.FILTER(
Table8[Income per beneficiary (USD)],
(Table8[Income per beneficiary (USD)]&gt;0)*
(Table8[FCAS Status]="FCAS")
),
_xlpm.med,MEDIAN(_xlpm.data),
_xlpm.mad,MEDIAN(ABS(_xlpm.data-_xlpm.med)),
SUMPRODUCT(--(ABS(_xlpm.data-_xlpm.med)&gt;2.5*_xlpm.mad))
)</f>
        <v>2</v>
      </c>
      <c r="J30" s="202">
        <f t="array" ref="J30">_xlfn.LET(
_xlpm.data,_xlfn._xlws.FILTER(
Table8[Income per beneficiary (USD)],
(Table8[Income per beneficiary (USD)]&gt;0)*
(Table8[FCAS Status]="FCAS")
),
_xlpm.med,MEDIAN(_xlpm.data),
_xlpm.mad,MEDIAN(ABS(_xlpm.data-_xlpm.med)),
AVERAGE(_xlfn._xlws.FILTER(_xlpm.data,ABS(_xlpm.data-_xlpm.med)&lt;=2.5*_xlpm.mad))
)</f>
        <v>240.56880647927716</v>
      </c>
      <c r="K30" s="364">
        <f>E30-I30</f>
        <v>13</v>
      </c>
      <c r="L30" s="192"/>
      <c r="M30" s="370">
        <f t="array" ref="M30">AVERAGE(
_xlfn._xlws.FILTER(
Table9[Normalised Income Impact Ratio],
ISNUMBER(Table9[Normalised Income Impact Ratio])*
(Table9[Normalised Income Impact Ratio]&gt;0)*
(Table9[FCAS Status]="FCAS")
)
)</f>
        <v>0.10487849853156572</v>
      </c>
      <c r="N30" s="203">
        <f t="array" ref="N30">AVERAGE(
_xlfn._xlws.FILTER(
Table9[Normalised Income Impact Ratio],
ISNUMBER(Table9[Normalised Income Impact Ratio])*
(Table9[Normalised Income Impact Ratio]&gt;0)*
(Table9[FCAS Status]="FCAS")
)
)</f>
        <v>0.10487849853156572</v>
      </c>
      <c r="O30" s="15">
        <f>COUNTIFS(
Table9[Normalised Income Impact Ratio],"&gt;0",
Table9[FCAS Status],"FCAS"
)</f>
        <v>14</v>
      </c>
      <c r="P30" s="203">
        <f t="array" ref="P30">_xlfn.LET(
_xlpm.data,_xlfn._xlws.FILTER(
Table9[Normalised Income Impact Ratio],
ISNUMBER(Table9[Normalised Income Impact Ratio])*
(Table9[Normalised Income Impact Ratio]&gt;0)*
(Table9[FCAS Status]="FCAS")
),
MEDIAN(ABS(_xlpm.data-MEDIAN(_xlpm.data)))
)</f>
        <v>2.8772818546101864E-2</v>
      </c>
      <c r="Q30" s="195">
        <f>P30/M30</f>
        <v>0.27434430268318521</v>
      </c>
      <c r="R30" s="195">
        <f t="array" ref="R30">_xlfn.LET(
_xlpm.data,_xlfn._xlws.FILTER(
Table9[Normalised Income Impact Ratio],
ISNUMBER(Table9[Normalised Income Impact Ratio])*
(Table9[Normalised Income Impact Ratio]&gt;0)*
(Table9[FCAS Status]="FCAS")
),
_xlpm.med,MEDIAN(_xlpm.data),
_xlpm.mad,MEDIAN(ABS(_xlpm.data-_xlpm.med)),
SUMPRODUCT(--(ABS(_xlpm.data-_xlpm.med)&gt;2.5*_xlpm.mad))/COUNT(_xlpm.data)
)</f>
        <v>0.35714285714285715</v>
      </c>
      <c r="S30" s="15">
        <f t="array" ref="S30">_xlfn.LET(
_xlpm.data,_xlfn._xlws.FILTER(
Table9[Normalised Income Impact Ratio],
ISNUMBER(Table9[Normalised Income Impact Ratio])*
(Table9[Normalised Income Impact Ratio]&gt;0)*
(Table9[FCAS Status]="FCAS")
),
_xlpm.med,MEDIAN(_xlpm.data),
_xlpm.mad,MEDIAN(ABS(_xlpm.data-_xlpm.med)),
SUMPRODUCT(--(ABS(_xlpm.data-_xlpm.med)&gt;2.5*_xlpm.mad))
)</f>
        <v>5</v>
      </c>
      <c r="T30" s="203">
        <f t="array" ref="T30">_xlfn.LET(
_xlpm.data,_xlfn._xlws.FILTER(
Table9[Normalised Income Impact Ratio],
ISNUMBER(Table9[Normalised Income Impact Ratio])*
(Table9[Normalised Income Impact Ratio]&gt;0)*
(Table9[FCAS Status]="FCAS")
),
_xlpm.med,MEDIAN(_xlpm.data),
_xlpm.mad,MEDIAN(ABS(_xlpm.data-_xlpm.med)),
AVERAGE(_xlfn._xlws.FILTER(_xlpm.data,ABS(_xlpm.data-_xlpm.med)&lt;=2.5*_xlpm.mad))
)</f>
        <v>3.1752111139481093E-2</v>
      </c>
      <c r="U30" s="232">
        <f>O30-S30</f>
        <v>9</v>
      </c>
      <c r="V30" s="191"/>
      <c r="W30" s="370">
        <f t="array" ref="W30">MEDIAN(
_xlfn._xlws.FILTER(
Table9[Private Sector Investment (USD) / Project cost ],
ISNUMBER(Table9[Private Sector Investment (USD) / Project cost ])*
(Table9[Private Sector Investment (USD) / Project cost ]&gt;0)*
(Table9[FCAS Status]="FCAS")
)
)</f>
        <v>0.26501766784452302</v>
      </c>
      <c r="X30" s="203">
        <f t="array" ref="X30">AVERAGE(
_xlfn._xlws.FILTER(
Table9[Private Sector Investment (USD) / Project cost ],
ISNUMBER(Table9[Private Sector Investment (USD) / Project cost ])*
(Table9[Private Sector Investment (USD) / Project cost ]&gt;0)*
(Table9[FCAS Status]="FCAS")
)
)</f>
        <v>0.69414283053442716</v>
      </c>
      <c r="Y30" s="15">
        <f>COUNTIFS(
Table9[Private Sector Investment (USD) / Project cost ],"&gt;0",
Table9[FCAS Status],"FCAS"
)</f>
        <v>15</v>
      </c>
      <c r="Z30" s="203">
        <f t="array" ref="Z30">_xlfn.LET(
_xlpm.data,_xlfn._xlws.FILTER(
Table9[Private Sector Investment (USD) / Project cost ],
ISNUMBER(Table9[Private Sector Investment (USD) / Project cost ])*
(Table9[Private Sector Investment (USD) / Project cost ]&gt;0)*
(Table9[FCAS Status]="FCAS")
),
MEDIAN(ABS(_xlpm.data-MEDIAN(_xlpm.data)))
)</f>
        <v>0.17410857693543211</v>
      </c>
      <c r="AA30" s="195">
        <f>Z30/W30</f>
        <v>0.65696969696969698</v>
      </c>
      <c r="AB30" s="195">
        <f t="array" ref="AB30">_xlfn.LET(
_xlpm.data,_xlfn._xlws.FILTER(
Table9[Private Sector Investment (USD) / Project cost ],
ISNUMBER(Table9[Private Sector Investment (USD) / Project cost ])*
(Table9[Private Sector Investment (USD) / Project cost ]&gt;0)*
(Table9[FCAS Status]="FCAS")
),
_xlpm.med,MEDIAN(_xlpm.data),
_xlpm.mad,MEDIAN(ABS(_xlpm.data-_xlpm.med)),
SUMPRODUCT(--(ABS(_xlpm.data-_xlpm.med)&gt;2.5*_xlpm.mad))/COUNT(_xlpm.data)
)</f>
        <v>0.33333333333333331</v>
      </c>
      <c r="AC30" s="15">
        <f t="array" ref="AC30">_xlfn.LET(
_xlpm.data,_xlfn._xlws.FILTER(
Table9[Private Sector Investment (USD) / Project cost ],
ISNUMBER(Table9[Private Sector Investment (USD) / Project cost ])*
(Table9[Private Sector Investment (USD) / Project cost ]&gt;0)*
(Table9[FCAS Status]="FCAS")
),
_xlpm.med,MEDIAN(_xlpm.data),
_xlpm.mad,MEDIAN(ABS(_xlpm.data-_xlpm.med)),
SUMPRODUCT(--(ABS(_xlpm.data-_xlpm.med)&gt;2.5*_xlpm.mad))
)</f>
        <v>5</v>
      </c>
      <c r="AD30" s="203">
        <f t="array" ref="AD30">_xlfn.LET(
_xlpm.data,_xlfn._xlws.FILTER(
Table9[Private Sector Investment (USD) / Project cost ],
ISNUMBER(Table9[Private Sector Investment (USD) / Project cost ])*
(Table9[Private Sector Investment (USD) / Project cost ]&gt;0)*
(Table9[FCAS Status]="FCAS")
),
_xlpm.med,MEDIAN(_xlpm.data),
_xlpm.mad,MEDIAN(ABS(_xlpm.data-_xlpm.med)),
AVERAGE(_xlfn._xlws.FILTER(_xlpm.data,ABS(_xlpm.data-_xlpm.med)&lt;=2.5*_xlpm.mad))
)</f>
        <v>0.15455596198954852</v>
      </c>
      <c r="AE30" s="232">
        <f>Y30-AC30</f>
        <v>10</v>
      </c>
      <c r="AF30" s="191"/>
      <c r="AG30" s="370">
        <f t="array" ref="AG30">MEDIAN(
_xlfn._xlws.FILTER(
Table9[Private Sector Revenues Generated (USD) / Project cost],
ISNUMBER(Table9[Private Sector Revenues Generated (USD) / Project cost])*
(Table9[Private Sector Revenues Generated (USD) / Project cost]&gt;0)*
(Table9[FCAS Status]="FCAS")
)
)</f>
        <v>0.48617511520737328</v>
      </c>
      <c r="AH30" s="203">
        <f t="array" ref="AH30">AVERAGE(
_xlfn._xlws.FILTER(
Table9[Private Sector Revenues Generated (USD) / Project cost],
ISNUMBER(Table9[Private Sector Revenues Generated (USD) / Project cost])*
(Table9[Private Sector Revenues Generated (USD) / Project cost]&gt;0)*
(Table9[FCAS Status]="FCAS")
)
)</f>
        <v>0.75760848986506124</v>
      </c>
      <c r="AI30" s="15">
        <f>COUNTIFS(
Table9[Private Sector Revenues Generated (USD) / Project cost],"&gt;0",
Table9[FCAS Status],"FCAS"
)</f>
        <v>11</v>
      </c>
      <c r="AJ30" s="203">
        <f t="array" ref="AJ30">_xlfn.LET(
_xlpm.data,_xlfn._xlws.FILTER(
Table9[Private Sector Revenues Generated (USD) / Project cost],
ISNUMBER(Table9[Private Sector Revenues Generated (USD) / Project cost])*
(Table9[Private Sector Revenues Generated (USD) / Project cost]&gt;0)*
(Table9[FCAS Status]="FCAS")
),
MEDIAN(ABS(_xlpm.data-MEDIAN(_xlpm.data)))
)</f>
        <v>0.44639398806827008</v>
      </c>
      <c r="AK30" s="343">
        <f>AJ30/AG30</f>
        <v>0.91817531195084934</v>
      </c>
      <c r="AL30" s="195">
        <f t="array" ref="AL30">_xlfn.LET(
_xlpm.data,_xlfn._xlws.FILTER(
Table9[Private Sector Revenues Generated (USD) / Project cost],
ISNUMBER(Table9[Private Sector Revenues Generated (USD) / Project cost])*
(Table9[Private Sector Revenues Generated (USD) / Project cost]&gt;0)*
(Table9[FCAS Status]="FCAS")
),
_xlpm.med,MEDIAN(_xlpm.data),
_xlpm.mad,MEDIAN(ABS(_xlpm.data-_xlpm.med)),
SUMPRODUCT(--(ABS(_xlpm.data-_xlpm.med)&gt;2.5*_xlpm.mad))/COUNT(_xlpm.data)
)</f>
        <v>0.18181818181818182</v>
      </c>
      <c r="AM30" s="15">
        <f t="array" ref="AM30">_xlfn.LET(
_xlpm.data,_xlfn._xlws.FILTER(
Table9[Private Sector Revenues Generated (USD) / Project cost],
ISNUMBER(Table9[Private Sector Revenues Generated (USD) / Project cost])*
(Table9[Private Sector Revenues Generated (USD) / Project cost]&gt;0)*
(Table9[FCAS Status]="FCAS")
),
_xlpm.med,MEDIAN(_xlpm.data),
_xlpm.mad,MEDIAN(ABS(_xlpm.data-_xlpm.med)),
SUMPRODUCT(--(ABS(_xlpm.data-_xlpm.med)&gt;2.5*_xlpm.mad))
)</f>
        <v>2</v>
      </c>
      <c r="AN30" s="203">
        <f t="array" ref="AN30">_xlfn.LET(
_xlpm.data,_xlfn._xlws.FILTER(
Table9[Private Sector Revenues Generated (USD) / Project cost],
ISNUMBER(Table9[Private Sector Revenues Generated (USD) / Project cost])*
(Table9[Private Sector Revenues Generated (USD) / Project cost]&gt;0)*
(Table9[FCAS Status]="FCAS")
),
_xlpm.med,MEDIAN(_xlpm.data),
_xlpm.mad,MEDIAN(ABS(_xlpm.data-_xlpm.med)),
AVERAGE(_xlfn._xlws.FILTER(_xlpm.data,ABS(_xlpm.data-_xlpm.med)&lt;=2.5*_xlpm.mad))
)</f>
        <v>0.48707640707608274</v>
      </c>
      <c r="AO30" s="232">
        <f>AI30-AM30</f>
        <v>9</v>
      </c>
      <c r="AP30" s="191"/>
      <c r="AQ30" s="370">
        <f t="array" ref="AQ30">MEDIAN(
_xlfn._xlws.FILTER(
Table9[Export Revenue Generated (USD) /Project Cost],
ISNUMBER(Table9[Export Revenue Generated (USD) /Project Cost])*
(Table9[Export Revenue Generated (USD) /Project Cost]&gt;0)*
(Table9[FCAS Status]="FCAS")
)
)</f>
        <v>3.6333847829880667E-2</v>
      </c>
      <c r="AR30" s="203">
        <f t="array" ref="AR30">AVERAGE(
_xlfn._xlws.FILTER(
Table9[Export Revenue Generated (USD) /Project Cost],
ISNUMBER(Table9[Export Revenue Generated (USD) /Project Cost])*
(Table9[Export Revenue Generated (USD) /Project Cost]&gt;0)*
(Table9[FCAS Status]="FCAS")
)
)</f>
        <v>4.4627247193539832E-2</v>
      </c>
      <c r="AS30" s="15">
        <f>COUNTIFS(
Table9[Export Revenue Generated (USD) /Project Cost],"&gt;0",
Table9[FCAS Status],"FCAS"
)</f>
        <v>5</v>
      </c>
      <c r="AT30" s="203">
        <f t="array" ref="AT30">_xlfn.LET(
_xlpm.data,_xlfn._xlws.FILTER(
Table9[Export Revenue Generated (USD) /Project Cost],
ISNUMBER(Table9[Export Revenue Generated (USD) /Project Cost])*
(Table9[Export Revenue Generated (USD) /Project Cost]&gt;0)*
(Table9[FCAS Status]="FCAS")
),
MEDIAN(ABS(_xlpm.data-MEDIAN(_xlpm.data)))
)</f>
        <v>3.564309782988067E-2</v>
      </c>
      <c r="AU30" s="195">
        <f>AT30/AQ30</f>
        <v>0.98098880131732347</v>
      </c>
      <c r="AV30" s="195">
        <f t="array" ref="AV30">_xlfn.LET(
_xlpm.data,_xlfn._xlws.FILTER(
Table9[Export Revenue Generated (USD) /Project Cost],
ISNUMBER(Table9[Export Revenue Generated (USD) /Project Cost])*
(Table9[Export Revenue Generated (USD) /Project Cost]&gt;0)*
(Table9[FCAS Status]="FCAS")
),
_xlpm.med,MEDIAN(_xlpm.data),
_xlpm.mad,MEDIAN(ABS(_xlpm.data-_xlpm.med)),
SUMPRODUCT(--(ABS(_xlpm.data-_xlpm.med)&gt;2.5*_xlpm.mad))/COUNT(_xlpm.data)
)</f>
        <v>0</v>
      </c>
      <c r="AW30" s="15">
        <f t="array" ref="AW30">_xlfn.LET(
_xlpm.data,_xlfn._xlws.FILTER(
Table9[Export Revenue Generated (USD) /Project Cost],
ISNUMBER(Table9[Export Revenue Generated (USD) /Project Cost])*
(Table9[Export Revenue Generated (USD) /Project Cost]&gt;0)*
(Table9[FCAS Status]="FCAS")
),
_xlpm.med,MEDIAN(_xlpm.data),
_xlpm.mad,MEDIAN(ABS(_xlpm.data-_xlpm.med)),
SUMPRODUCT(--(ABS(_xlpm.data-_xlpm.med)&gt;2.5*_xlpm.mad))
)</f>
        <v>0</v>
      </c>
      <c r="AX30" s="203">
        <f t="array" ref="AX30">_xlfn.LET(
_xlpm.data,_xlfn._xlws.FILTER(
Table9[Export Revenue Generated (USD) /Project Cost],
ISNUMBER(Table9[Export Revenue Generated (USD) /Project Cost])*
(Table9[Export Revenue Generated (USD) /Project Cost]&gt;0)*
(Table9[FCAS Status]="FCAS")
),
_xlpm.med,MEDIAN(_xlpm.data),
_xlpm.mad,MEDIAN(ABS(_xlpm.data-_xlpm.med)),
AVERAGE(_xlfn._xlws.FILTER(_xlpm.data,ABS(_xlpm.data-_xlpm.med)&lt;=2.5*_xlpm.mad))
)</f>
        <v>4.4627247193539832E-2</v>
      </c>
      <c r="AY30" s="232">
        <f>AS30-AW30</f>
        <v>5</v>
      </c>
      <c r="AZ30" s="142"/>
      <c r="BA30" s="202"/>
      <c r="BB30" s="202"/>
      <c r="BC30" s="15"/>
      <c r="BD30" s="15"/>
      <c r="BE30" s="15"/>
      <c r="BF30" s="15"/>
      <c r="BG30" s="15"/>
      <c r="BH30" s="15"/>
      <c r="BI30" s="15"/>
      <c r="BJ30" s="15"/>
      <c r="BK30" s="15"/>
      <c r="BL30" s="15"/>
      <c r="BM30" s="15"/>
      <c r="BN30" s="15"/>
      <c r="BO30" s="15"/>
      <c r="BP30" s="15"/>
      <c r="BQ30" s="15"/>
      <c r="BR30" s="15"/>
      <c r="BS30" s="15"/>
      <c r="BT30" s="15"/>
      <c r="BU30" s="202"/>
      <c r="BV30" s="202"/>
      <c r="BW30" s="15"/>
      <c r="BX30" s="15"/>
      <c r="BY30" s="15"/>
      <c r="BZ30" s="15"/>
      <c r="CA30" s="15"/>
      <c r="CB30" s="15"/>
      <c r="CC30" s="15"/>
      <c r="CD30" s="15"/>
      <c r="CE30" s="15"/>
      <c r="CF30" s="15"/>
      <c r="CG30" s="15"/>
      <c r="CH30" s="15"/>
      <c r="CI30" s="15"/>
      <c r="CJ30" s="15"/>
      <c r="CK30" s="15"/>
      <c r="CL30" s="15"/>
      <c r="CM30" s="15"/>
      <c r="CN30" s="135"/>
      <c r="CO30" s="203"/>
      <c r="CP30" s="203"/>
      <c r="CQ30" s="15"/>
      <c r="CR30" s="15"/>
      <c r="CS30" s="15"/>
      <c r="CT30" s="15"/>
      <c r="CU30" s="15"/>
      <c r="CV30" s="15"/>
      <c r="CW30" s="15"/>
    </row>
    <row r="31" spans="2:101" x14ac:dyDescent="0.25">
      <c r="B31" s="205" t="s">
        <v>240</v>
      </c>
      <c r="C31" s="363" t="e">
        <f t="array" ref="C31">MEDIAN(_xlfn._xlws.FILTER(Table8[Income per beneficiary (USD)], (Table9[Income per beneficiary (USD)]&gt;0)*(Table8[FCAS Status]="Both")))</f>
        <v>#N/A</v>
      </c>
      <c r="D31" s="202" t="e" vm="37">
        <f t="array" ref="D31">AVERAGE(_xlfn._xlws.FILTER(Table9[Income per beneficiary (USD)], (Table9[Income per beneficiary (USD)]&gt;0)*(Table9[FCAS Status]="Both")))</f>
        <v>#VALUE!</v>
      </c>
      <c r="E31" s="15">
        <f>COUNTIFS(Table9[Income per beneficiary (USD)],"&gt;0", Table9[FCAS Status],"Both")</f>
        <v>0</v>
      </c>
      <c r="F31" s="202">
        <f t="array" ref="F31">_xlfn.LET(
_xlpm.data,_xlfn._xlws.FILTER(
Table8[Income per beneficiary (USD)],
(Table8[Income per beneficiary (USD)]&gt;0)*
(Table8[FCAS Status]="Both")
),
MEDIAN(ABS(_xlpm.data-MEDIAN(_xlpm.data)))
)</f>
        <v>213.00107505903901</v>
      </c>
      <c r="G31" s="195" t="e">
        <f>F31/C31</f>
        <v>#N/A</v>
      </c>
      <c r="H31" s="195">
        <f t="array" ref="H31">_xlfn.LET(
_xlpm.data,_xlfn._xlws.FILTER(
Table8[Income per beneficiary (USD)],
(Table8[Income per beneficiary (USD)]&gt;0)*
(Table8[FCAS Status]="Both")
),
_xlpm.med,MEDIAN(_xlpm.data),
_xlpm.mad,MEDIAN(ABS(_xlpm.data-_xlpm.med)),
SUMPRODUCT(--(ABS(_xlpm.data-_xlpm.med)&gt;2.5*_xlpm.mad))/COUNT(_xlpm.data)
)</f>
        <v>0</v>
      </c>
      <c r="I31" s="15">
        <f t="array" ref="I31">_xlfn.LET(
_xlpm.data,_xlfn._xlws.FILTER(
Table8[Income per beneficiary (USD)],
(Table8[Income per beneficiary (USD)]&gt;0)*
(Table8[FCAS Status]="Both")
),
_xlpm.med,MEDIAN(_xlpm.data),
_xlpm.mad,MEDIAN(ABS(_xlpm.data-_xlpm.med)),
SUMPRODUCT(--(ABS(_xlpm.data-_xlpm.med)&gt;2.5*_xlpm.mad))
)</f>
        <v>0</v>
      </c>
      <c r="J31" s="202">
        <f t="array" ref="J31">_xlfn.LET(
_xlpm.data,_xlfn._xlws.FILTER(
Table8[Income per beneficiary (USD)],
(Table8[Income per beneficiary (USD)]&gt;0)*
(Table8[FCAS Status]="Both")
),
_xlpm.med,MEDIAN(_xlpm.data),
_xlpm.mad,MEDIAN(ABS(_xlpm.data-_xlpm.med)),
AVERAGE(_xlfn._xlws.FILTER(_xlpm.data,ABS(_xlpm.data-_xlpm.med)&lt;=2.5*_xlpm.mad))
)</f>
        <v>279.3977515521928</v>
      </c>
      <c r="K31" s="364">
        <f>E31-I31</f>
        <v>0</v>
      </c>
      <c r="L31" s="192"/>
      <c r="M31" s="370" t="e" vm="37">
        <f t="array" ref="M31">MEDIAN(
_xlfn._xlws.FILTER(
Table9[Normalised Income Impact Ratio],
ISNUMBER(Table9[Normalised Income Impact Ratio])*
(Table9[Normalised Income Impact Ratio]&gt;0)*
(Table9[FCAS Status]="Both")
)
)</f>
        <v>#VALUE!</v>
      </c>
      <c r="N31" s="203" t="e" vm="37">
        <f t="array" ref="N31">AVERAGE(
_xlfn._xlws.FILTER(
Table9[Normalised Income Impact Ratio],
ISNUMBER(Table9[Normalised Income Impact Ratio])*
(Table9[Normalised Income Impact Ratio]&gt;0)*
(Table9[FCAS Status]="Both")
)
)</f>
        <v>#VALUE!</v>
      </c>
      <c r="O31" s="15">
        <f>COUNTIFS(
Table9[Normalised Income Impact Ratio],"&gt;0",
Table9[FCAS Status],"Both"
)</f>
        <v>0</v>
      </c>
      <c r="P31" s="203" t="e" vm="37">
        <f t="array" ref="P31">_xlfn.LET(
_xlpm.data,_xlfn._xlws.FILTER(
Table9[Normalised Income Impact Ratio],
ISNUMBER(Table9[Normalised Income Impact Ratio])*
(Table9[Normalised Income Impact Ratio]&gt;0)*
(Table9[FCAS Status]="Both")
),
MEDIAN(ABS(_xlpm.data-MEDIAN(_xlpm.data)))
)</f>
        <v>#VALUE!</v>
      </c>
      <c r="Q31" s="195" t="e" vm="38">
        <f>P31/M31</f>
        <v>#VALUE!</v>
      </c>
      <c r="R31" s="195" t="e" vm="37">
        <f t="array" ref="R31">_xlfn.LET(
_xlpm.data,_xlfn._xlws.FILTER(
Table9[Normalised Income Impact Ratio],
ISNUMBER(Table9[Normalised Income Impact Ratio])*
(Table9[Normalised Income Impact Ratio]&gt;0)*
(Table9[FCAS Status]="Both")
),
_xlpm.med,MEDIAN(_xlpm.data),
_xlpm.mad,MEDIAN(ABS(_xlpm.data-_xlpm.med)),
SUMPRODUCT(--(ABS(_xlpm.data-_xlpm.med)&gt;2.5*_xlpm.mad))/COUNT(_xlpm.data)
)</f>
        <v>#VALUE!</v>
      </c>
      <c r="S31" s="15" t="e" vm="37">
        <f t="array" ref="S31">_xlfn.LET(
_xlpm.data,_xlfn._xlws.FILTER(
Table9[Normalised Income Impact Ratio],
ISNUMBER(Table9[Normalised Income Impact Ratio])*
(Table9[Normalised Income Impact Ratio]&gt;0)*
(Table9[FCAS Status]="Both")
),
_xlpm.med,MEDIAN(_xlpm.data),
_xlpm.mad,MEDIAN(ABS(_xlpm.data-_xlpm.med)),
SUMPRODUCT(--(ABS(_xlpm.data-_xlpm.med)&gt;2.5*_xlpm.mad))
)</f>
        <v>#VALUE!</v>
      </c>
      <c r="T31" s="203" t="e" vm="37">
        <f t="array" ref="T31">_xlfn.LET(
_xlpm.data,_xlfn._xlws.FILTER(
Table9[Normalised Income Impact Ratio],
ISNUMBER(Table9[Normalised Income Impact Ratio])*
(Table9[Normalised Income Impact Ratio]&gt;0)*
(Table9[FCAS Status]="Both")
),
_xlpm.med,MEDIAN(_xlpm.data),
_xlpm.mad,MEDIAN(ABS(_xlpm.data-_xlpm.med)),
AVERAGE(_xlfn._xlws.FILTER(_xlpm.data,ABS(_xlpm.data-_xlpm.med)&lt;=2.5*_xlpm.mad))
)</f>
        <v>#VALUE!</v>
      </c>
      <c r="U31" s="232" t="e" vm="38">
        <f>O31-S31</f>
        <v>#VALUE!</v>
      </c>
      <c r="V31" s="191"/>
      <c r="W31" s="370" t="e" vm="37">
        <f t="array" ref="W31">MEDIAN(
_xlfn._xlws.FILTER(
Table9[Private Sector Investment (USD) / Project cost ],
ISNUMBER(Table9[Private Sector Investment (USD) / Project cost ])*
(Table9[Private Sector Investment (USD) / Project cost ]&gt;0)*
(Table9[FCAS Status]="Both")
)
)</f>
        <v>#VALUE!</v>
      </c>
      <c r="X31" s="198" t="e" vm="37">
        <f t="array" ref="X31">AVERAGE(
_xlfn._xlws.FILTER(
Table9[Private Sector Investment (USD) / Project cost ],
ISNUMBER(Table9[Private Sector Investment (USD) / Project cost ])*
(Table9[Private Sector Investment (USD) / Project cost ]&gt;0)*
(Table9[FCAS Status]="Both")
)
)</f>
        <v>#VALUE!</v>
      </c>
      <c r="Y31" s="15">
        <f>COUNTIFS(
Table9[Private Sector Investment (USD) / Project cost ],"&gt;0",
Table9[FCAS Status],"Both"
)</f>
        <v>0</v>
      </c>
      <c r="Z31" s="203" t="e" vm="37">
        <f t="array" ref="Z31">_xlfn.LET(
_xlpm.data,_xlfn._xlws.FILTER(
Table9[Private Sector Investment (USD) / Project cost ],
ISNUMBER(Table9[Private Sector Investment (USD) / Project cost ])*
(Table9[Private Sector Investment (USD) / Project cost ]&gt;0)*
(Table9[FCAS Status]="Both")
),
MEDIAN(ABS(_xlpm.data-MEDIAN(_xlpm.data)))
)</f>
        <v>#VALUE!</v>
      </c>
      <c r="AA31" s="195" t="e" vm="38">
        <f>Z31/W31</f>
        <v>#VALUE!</v>
      </c>
      <c r="AB31" s="195" t="e" vm="37">
        <f t="array" ref="AB31">_xlfn.LET(
_xlpm.data,_xlfn._xlws.FILTER(
Table9[Private Sector Investment (USD) / Project cost ],
ISNUMBER(Table9[Private Sector Investment (USD) / Project cost ])*
(Table9[Private Sector Investment (USD) / Project cost ]&gt;0)*
(Table9[FCAS Status]="Both")
),
_xlpm.med,MEDIAN(_xlpm.data),
_xlpm.mad,MEDIAN(ABS(_xlpm.data-_xlpm.med)),
SUMPRODUCT(--(ABS(_xlpm.data-_xlpm.med)&gt;2.5*_xlpm.mad))/COUNT(_xlpm.data)
)</f>
        <v>#VALUE!</v>
      </c>
      <c r="AC31" s="15" t="e" vm="37">
        <f t="array" ref="AC31">_xlfn.LET(
_xlpm.data,_xlfn._xlws.FILTER(
Table9[Private Sector Investment (USD) / Project cost ],
ISNUMBER(Table9[Private Sector Investment (USD) / Project cost ])*
(Table9[Private Sector Investment (USD) / Project cost ]&gt;0)*
(Table9[FCAS Status]="Both")
),
_xlpm.med,MEDIAN(_xlpm.data),
_xlpm.mad,MEDIAN(ABS(_xlpm.data-_xlpm.med)),
SUMPRODUCT(--(ABS(_xlpm.data-_xlpm.med)&gt;2.5*_xlpm.mad))
)</f>
        <v>#VALUE!</v>
      </c>
      <c r="AD31" s="203" t="e" vm="37">
        <f t="array" ref="AD31">_xlfn.LET(
_xlpm.data,_xlfn._xlws.FILTER(
Table9[Private Sector Investment (USD) / Project cost ],
ISNUMBER(Table9[Private Sector Investment (USD) / Project cost ])*
(Table9[Private Sector Investment (USD) / Project cost ]&gt;0)*
(Table9[FCAS Status]="Both")
),
_xlpm.med,MEDIAN(_xlpm.data),
_xlpm.mad,MEDIAN(ABS(_xlpm.data-_xlpm.med)),
AVERAGE(_xlfn._xlws.FILTER(_xlpm.data,ABS(_xlpm.data-_xlpm.med)&lt;=2.5*_xlpm.mad))
)</f>
        <v>#VALUE!</v>
      </c>
      <c r="AE31" s="232" t="e" vm="38">
        <f>Y31-AC31</f>
        <v>#VALUE!</v>
      </c>
      <c r="AF31" s="191"/>
      <c r="AG31" s="370" t="e" vm="37">
        <f t="array" ref="AG31">MEDIAN(
_xlfn._xlws.FILTER(
Table9[Private Sector Revenues Generated (USD) / Project cost],
ISNUMBER(Table9[Private Sector Revenues Generated (USD) / Project cost])*
(Table9[Private Sector Revenues Generated (USD) / Project cost]&gt;0)*
(Table9[FCAS Status]="Both")
)
)</f>
        <v>#VALUE!</v>
      </c>
      <c r="AH31" s="203" t="e" vm="37">
        <f t="array" ref="AH31">AVERAGE(
_xlfn._xlws.FILTER(
Table9[Private Sector Revenues Generated (USD) / Project cost],
ISNUMBER(Table9[Private Sector Revenues Generated (USD) / Project cost])*
(Table9[Private Sector Revenues Generated (USD) / Project cost]&gt;0)*
(Table9[FCAS Status]="Both")
)
)</f>
        <v>#VALUE!</v>
      </c>
      <c r="AI31" s="15">
        <f>COUNTIFS(
Table9[Private Sector Revenues Generated (USD) / Project cost],"&gt;0",
Table9[FCAS Status],"Both"
)</f>
        <v>0</v>
      </c>
      <c r="AJ31" s="203" t="e" vm="37">
        <f t="array" ref="AJ31">_xlfn.LET(
_xlpm.data,_xlfn._xlws.FILTER(
Table9[Private Sector Revenues Generated (USD) / Project cost],
ISNUMBER(Table9[Private Sector Revenues Generated (USD) / Project cost])*
(Table9[Private Sector Revenues Generated (USD) / Project cost]&gt;0)*
(Table9[FCAS Status]="Both")
),
MEDIAN(ABS(_xlpm.data-MEDIAN(_xlpm.data)))
)</f>
        <v>#VALUE!</v>
      </c>
      <c r="AK31" s="343" t="e" vm="38">
        <f>AJ31/AG31</f>
        <v>#VALUE!</v>
      </c>
      <c r="AL31" s="195" t="e" vm="37">
        <f t="array" ref="AL31">_xlfn.LET(
_xlpm.data,_xlfn._xlws.FILTER(
Table9[Private Sector Revenues Generated (USD) / Project cost],
ISNUMBER(Table9[Private Sector Revenues Generated (USD) / Project cost])*
(Table9[Private Sector Revenues Generated (USD) / Project cost]&gt;0)*
(Table9[FCAS Status]="Both")
),
_xlpm.med,MEDIAN(_xlpm.data),
_xlpm.mad,MEDIAN(ABS(_xlpm.data-_xlpm.med)),
SUMPRODUCT(--(ABS(_xlpm.data-_xlpm.med)&gt;2.5*_xlpm.mad))/COUNT(_xlpm.data)
)</f>
        <v>#VALUE!</v>
      </c>
      <c r="AM31" s="15" t="e" vm="37">
        <f t="array" ref="AM31">_xlfn.LET(
_xlpm.data,_xlfn._xlws.FILTER(
Table9[Private Sector Revenues Generated (USD) / Project cost],
ISNUMBER(Table9[Private Sector Revenues Generated (USD) / Project cost])*
(Table9[Private Sector Revenues Generated (USD) / Project cost]&gt;0)*
(Table9[FCAS Status]="Both")
),
_xlpm.med,MEDIAN(_xlpm.data),
_xlpm.mad,MEDIAN(ABS(_xlpm.data-_xlpm.med)),
SUMPRODUCT(--(ABS(_xlpm.data-_xlpm.med)&gt;2.5*_xlpm.mad))
)</f>
        <v>#VALUE!</v>
      </c>
      <c r="AN31" s="203" t="e" vm="37">
        <f t="array" ref="AN31">_xlfn.LET(
_xlpm.data,_xlfn._xlws.FILTER(
Table9[Private Sector Revenues Generated (USD) / Project cost],
ISNUMBER(Table9[Private Sector Revenues Generated (USD) / Project cost])*
(Table9[Private Sector Revenues Generated (USD) / Project cost]&gt;0)*
(Table9[FCAS Status]="Both")
),
_xlpm.med,MEDIAN(_xlpm.data),
_xlpm.mad,MEDIAN(ABS(_xlpm.data-_xlpm.med)),
AVERAGE(_xlfn._xlws.FILTER(_xlpm.data,ABS(_xlpm.data-_xlpm.med)&lt;=2.5*_xlpm.mad))
)</f>
        <v>#VALUE!</v>
      </c>
      <c r="AO31" s="232" t="e" vm="38">
        <f>AI31-AM31</f>
        <v>#VALUE!</v>
      </c>
      <c r="AP31" s="191"/>
      <c r="AQ31" s="405" t="e" vm="37">
        <f t="array" ref="AQ31">MEDIAN(
_xlfn._xlws.FILTER(
Table9[Export Revenue Generated (USD) /Project Cost],
ISNUMBER(Table9[Export Revenue Generated (USD) /Project Cost])*
(Table9[Export Revenue Generated (USD) /Project Cost]&gt;0)*
(Table9[FCAS Status]="Both")
)
)</f>
        <v>#VALUE!</v>
      </c>
      <c r="AR31" s="204" t="e" vm="37">
        <f t="array" ref="AR31">AVERAGE(
_xlfn._xlws.FILTER(
Table9[Export Revenue Generated (USD) /Project Cost],
ISNUMBER(Table9[Export Revenue Generated (USD) /Project Cost])*
(Table9[Export Revenue Generated (USD) /Project Cost]&gt;0)*
(Table9[FCAS Status]="Both")
)
)</f>
        <v>#VALUE!</v>
      </c>
      <c r="AS31" s="15">
        <f>COUNTIFS(
Table9[Export Revenue Generated (USD) /Project Cost],"&gt;0",
Table9[FCAS Status],"Both"
)</f>
        <v>0</v>
      </c>
      <c r="AT31" s="15" t="e" vm="37">
        <f t="array" ref="AT31">_xlfn.LET(
_xlpm.data,_xlfn._xlws.FILTER(
Table9[Export Revenue Generated (USD) /Project Cost],
ISNUMBER(Table9[Export Revenue Generated (USD) /Project Cost])*
(Table9[Export Revenue Generated (USD) /Project Cost]&gt;0)*
(Table9[FCAS Status]="Both")
),
MEDIAN(ABS(_xlpm.data-MEDIAN(_xlpm.data)))
)</f>
        <v>#VALUE!</v>
      </c>
      <c r="AU31" s="195" t="e" vm="38">
        <f>AT31/AQ31</f>
        <v>#VALUE!</v>
      </c>
      <c r="AV31" s="15" t="e" vm="37">
        <f t="array" ref="AV31">_xlfn.LET(
_xlpm.data,_xlfn._xlws.FILTER(
Table9[Export Revenue Generated (USD) /Project Cost],
ISNUMBER(Table9[Export Revenue Generated (USD) /Project Cost])*
(Table9[Export Revenue Generated (USD) /Project Cost]&gt;0)*
(Table9[FCAS Status]="Both")
),
_xlpm.med,MEDIAN(_xlpm.data),
_xlpm.mad,MEDIAN(ABS(_xlpm.data-_xlpm.med)),
SUMPRODUCT(--(ABS(_xlpm.data-_xlpm.med)&gt;2.5*_xlpm.mad))/COUNT(_xlpm.data)
)</f>
        <v>#VALUE!</v>
      </c>
      <c r="AW31" s="15" t="e" vm="37">
        <f t="array" ref="AW31">_xlfn.LET(
_xlpm.data,_xlfn._xlws.FILTER(
Table9[Export Revenue Generated (USD) /Project Cost],
ISNUMBER(Table9[Export Revenue Generated (USD) /Project Cost])*
(Table9[Export Revenue Generated (USD) /Project Cost]&gt;0)*
(Table9[FCAS Status]="Both")
),
_xlpm.med,MEDIAN(_xlpm.data),
_xlpm.mad,MEDIAN(ABS(_xlpm.data-_xlpm.med)),
SUMPRODUCT(--(ABS(_xlpm.data-_xlpm.med)&gt;2.5*_xlpm.mad))
)</f>
        <v>#VALUE!</v>
      </c>
      <c r="AX31" s="15" t="e" vm="37">
        <f t="array" ref="AX31">_xlfn.LET(
_xlpm.data,_xlfn._xlws.FILTER(
Table9[Export Revenue Generated (USD) /Project Cost],
ISNUMBER(Table9[Export Revenue Generated (USD) /Project Cost])*
(Table9[Export Revenue Generated (USD) /Project Cost]&gt;0)*
(Table9[FCAS Status]="Both")
),
_xlpm.med,MEDIAN(_xlpm.data),
_xlpm.mad,MEDIAN(ABS(_xlpm.data-_xlpm.med)),
AVERAGE(_xlfn._xlws.FILTER(_xlpm.data,ABS(_xlpm.data-_xlpm.med)&lt;=2.5*_xlpm.mad))
)</f>
        <v>#VALUE!</v>
      </c>
      <c r="AY31" s="232" t="e" vm="38">
        <f>AS31-AW31</f>
        <v>#VALUE!</v>
      </c>
      <c r="AZ31" s="142"/>
      <c r="BA31" s="202"/>
      <c r="BB31" s="202"/>
      <c r="BC31" s="15"/>
      <c r="BD31" s="15"/>
      <c r="BE31" s="15"/>
      <c r="BF31" s="15"/>
      <c r="BG31" s="15"/>
      <c r="BH31" s="15"/>
      <c r="BI31" s="15"/>
      <c r="BJ31" s="15"/>
      <c r="BK31" s="15"/>
      <c r="BL31" s="15"/>
      <c r="BM31" s="15"/>
      <c r="BN31" s="15"/>
      <c r="BO31" s="15"/>
      <c r="BP31" s="15"/>
      <c r="BQ31" s="15"/>
      <c r="BR31" s="15"/>
      <c r="BS31" s="15"/>
      <c r="BT31" s="15"/>
      <c r="BU31" s="202"/>
      <c r="BV31" s="202"/>
      <c r="BW31" s="15"/>
      <c r="BX31" s="15"/>
      <c r="BY31" s="15"/>
      <c r="BZ31" s="15"/>
      <c r="CA31" s="15"/>
      <c r="CB31" s="15"/>
      <c r="CC31" s="15"/>
      <c r="CD31" s="15"/>
      <c r="CE31" s="15"/>
      <c r="CF31" s="15"/>
      <c r="CG31" s="15"/>
      <c r="CH31" s="15"/>
      <c r="CI31" s="15"/>
      <c r="CJ31" s="15"/>
      <c r="CK31" s="15"/>
      <c r="CL31" s="15"/>
      <c r="CM31" s="15"/>
      <c r="CN31" s="135"/>
      <c r="CO31" s="203"/>
      <c r="CP31" s="203"/>
      <c r="CQ31" s="15"/>
      <c r="CR31" s="15"/>
      <c r="CS31" s="15"/>
      <c r="CT31" s="15"/>
      <c r="CU31" s="15"/>
      <c r="CV31" s="15"/>
      <c r="CW31" s="15"/>
    </row>
    <row r="32" spans="2:101" ht="14.45" customHeight="1" x14ac:dyDescent="0.25">
      <c r="B32" s="292" t="s">
        <v>646</v>
      </c>
      <c r="C32" s="361"/>
      <c r="D32" s="293"/>
      <c r="E32" s="293"/>
      <c r="F32" s="293"/>
      <c r="G32" s="347"/>
      <c r="H32" s="347"/>
      <c r="I32" s="293"/>
      <c r="J32" s="293"/>
      <c r="K32" s="362"/>
      <c r="L32" s="385"/>
      <c r="M32" s="361"/>
      <c r="N32" s="293"/>
      <c r="O32" s="293"/>
      <c r="P32" s="293"/>
      <c r="Q32" s="347"/>
      <c r="R32" s="347"/>
      <c r="S32" s="293"/>
      <c r="T32" s="293"/>
      <c r="U32" s="362"/>
      <c r="V32" s="385"/>
      <c r="W32" s="398"/>
      <c r="X32" s="373"/>
      <c r="Y32" s="373"/>
      <c r="Z32" s="373"/>
      <c r="AA32" s="373"/>
      <c r="AB32" s="373"/>
      <c r="AC32" s="373"/>
      <c r="AD32" s="373"/>
      <c r="AE32" s="399"/>
      <c r="AF32" s="385"/>
      <c r="AG32" s="361"/>
      <c r="AH32" s="293"/>
      <c r="AI32" s="293"/>
      <c r="AJ32" s="293"/>
      <c r="AK32" s="293"/>
      <c r="AL32" s="293"/>
      <c r="AM32" s="293"/>
      <c r="AN32" s="293"/>
      <c r="AO32" s="362"/>
      <c r="AP32" s="385"/>
      <c r="AQ32" s="361"/>
      <c r="AR32" s="293"/>
      <c r="AS32" s="293"/>
      <c r="AT32" s="293"/>
      <c r="AU32" s="293"/>
      <c r="AV32" s="293"/>
      <c r="AW32" s="293"/>
      <c r="AX32" s="293"/>
      <c r="AY32" s="362"/>
      <c r="AZ32" s="385"/>
      <c r="BA32" s="293"/>
      <c r="BB32" s="293"/>
      <c r="BC32" s="293"/>
      <c r="BD32" s="293"/>
      <c r="BE32" s="293"/>
      <c r="BF32" s="293"/>
      <c r="BG32" s="293"/>
      <c r="BH32" s="293"/>
      <c r="BI32" s="293"/>
      <c r="BJ32" s="385"/>
      <c r="BK32" s="293"/>
      <c r="BL32" s="293"/>
      <c r="BM32" s="293"/>
      <c r="BN32" s="293"/>
      <c r="BO32" s="293"/>
      <c r="BP32" s="293"/>
      <c r="BQ32" s="293"/>
      <c r="BR32" s="293"/>
      <c r="BS32" s="293"/>
      <c r="BT32" s="385"/>
      <c r="BU32" s="293"/>
      <c r="BV32" s="293"/>
      <c r="BW32" s="293"/>
      <c r="BX32" s="293"/>
      <c r="BY32" s="293"/>
      <c r="BZ32" s="293"/>
      <c r="CA32" s="293"/>
      <c r="CB32" s="293"/>
      <c r="CC32" s="293"/>
      <c r="CD32" s="385"/>
      <c r="CE32" s="293"/>
      <c r="CF32" s="293"/>
      <c r="CG32" s="293"/>
      <c r="CH32" s="293"/>
      <c r="CI32" s="293"/>
      <c r="CJ32" s="293"/>
      <c r="CK32" s="293"/>
      <c r="CL32" s="293"/>
      <c r="CM32" s="293"/>
      <c r="CN32" s="385"/>
      <c r="CO32" s="373"/>
      <c r="CP32" s="373"/>
      <c r="CQ32" s="373"/>
      <c r="CR32" s="373"/>
      <c r="CS32" s="373"/>
      <c r="CT32" s="373"/>
      <c r="CU32" s="373"/>
      <c r="CV32" s="373"/>
      <c r="CW32" s="373"/>
    </row>
    <row r="33" spans="2:101" x14ac:dyDescent="0.25">
      <c r="B33" s="205" t="s">
        <v>647</v>
      </c>
      <c r="C33" s="363">
        <f t="array" ref="C33">MEDIAN(_xlfn._xlws.FILTER(Table9[Income per beneficiary (USD)],(Table9[Income per beneficiary (USD)]&gt;0)*ISNUMBER(SEARCH("job creation",Table9[Primary Objective]))))</f>
        <v>285.22750050110238</v>
      </c>
      <c r="D33" s="202">
        <f t="array" ref="D33">AVERAGE(_xlfn._xlws.FILTER(Table9[Income per beneficiary (USD)],(Table9[Income per beneficiary (USD)]&gt;0)*ISNUMBER(SEARCH("job creation",Table9[Primary Objective]))))</f>
        <v>575.23285112772339</v>
      </c>
      <c r="E33" s="15">
        <f>COUNTIFS(Table9[Income per beneficiary (USD)],"&gt;0",Table9[Primary Objective],"*job creation*")</f>
        <v>21</v>
      </c>
      <c r="F33" s="202">
        <f t="array" ref="F33">_xlfn.LET(
_xlpm.data,_xlfn._xlws.FILTER(
Table9[Income per beneficiary (USD)],
(Table9[Income per beneficiary (USD)]&gt;0)*
ISNUMBER(SEARCH("job creation",Table9[Primary Objective]))
),
MEDIAN(ABS(_xlpm.data-MEDIAN(_xlpm.data)))
)</f>
        <v>211.22750050110238</v>
      </c>
      <c r="G33" s="195">
        <f>F33/C33</f>
        <v>0.74055797610681651</v>
      </c>
      <c r="H33" s="195">
        <f t="array" ref="H33">_xlfn.LET(
_xlpm.data,_xlfn._xlws.FILTER(
Table9[Income per beneficiary (USD)],
(Table9[Income per beneficiary (USD)]&gt;0)*
ISNUMBER(SEARCH("job creation",Table9[Primary Objective]))
),
_xlpm.med,MEDIAN(_xlpm.data),
_xlpm.mad,MEDIAN(ABS(_xlpm.data-_xlpm.med)),
SUMPRODUCT(--(ABS(_xlpm.data-_xlpm.med)&gt;2.5*_xlpm.mad))/COUNT(_xlpm.data)
)</f>
        <v>0.14285714285714285</v>
      </c>
      <c r="I33" s="15">
        <f t="array" ref="I33">_xlfn.LET(
_xlpm.data,_xlfn._xlws.FILTER(
Table9[Income per beneficiary (USD)],
(Table9[Income per beneficiary (USD)]&gt;0)*
ISNUMBER(SEARCH("job creation",Table9[Primary Objective]))
),
_xlpm.med,MEDIAN(_xlpm.data),
_xlpm.mad,MEDIAN(ABS(_xlpm.data-_xlpm.med)),
SUMPRODUCT(--(ABS(_xlpm.data-_xlpm.med)&gt;2.5*_xlpm.mad))
)</f>
        <v>3</v>
      </c>
      <c r="J33" s="202">
        <f t="array" ref="J33">_xlfn.LET(
_xlpm.data,_xlfn._xlws.FILTER(
Table9[Income per beneficiary (USD)],
(Table9[Income per beneficiary (USD)]&gt;0)*
ISNUMBER(SEARCH("job creation",Table9[Primary Objective]))
),
_xlpm.med,MEDIAN(_xlpm.data),
_xlpm.mad,MEDIAN(ABS(_xlpm.data-_xlpm.med)),
AVERAGE(_xlfn._xlws.FILTER(_xlpm.data,ABS(_xlpm.data-_xlpm.med)&lt;=2.5*_xlpm.mad))
)</f>
        <v>248.00016887164691</v>
      </c>
      <c r="K33" s="364">
        <f>E33-I33</f>
        <v>18</v>
      </c>
      <c r="L33" s="192"/>
      <c r="M33" s="370">
        <f t="array" ref="M33">MEDIAN(_xlfn._xlws.FILTER(Table9[Normalised Income Impact Ratio],ISNUMBER(Table9[Normalised Income Impact Ratio])*(Table9[Normalised Income Impact Ratio]&gt;0)*ISNUMBER(SEARCH("job creation",Table9[Primary Objective]))))</f>
        <v>2.5295999999999999E-2</v>
      </c>
      <c r="N33" s="203">
        <f t="array" ref="N33">AVERAGE(_xlfn._xlws.FILTER(Table9[Normalised Income Impact Ratio],ISNUMBER(Table9[Normalised Income Impact Ratio])*(Table9[Normalised Income Impact Ratio]&gt;0)*ISNUMBER(SEARCH("job creation",Table9[Primary Objective]))))</f>
        <v>7.6674964497304085E-2</v>
      </c>
      <c r="O33" s="15">
        <f>COUNTIFS(Table9[Normalised Income Impact Ratio],"&gt;0",Table9[Primary Objective],"*job creation*")</f>
        <v>21</v>
      </c>
      <c r="P33" s="203">
        <f t="array" ref="P33">_xlfn.LET(_xlpm.data,_xlfn._xlws.FILTER(Table9[Normalised Income Impact Ratio],ISNUMBER(Table9[Normalised Income Impact Ratio])*(Table9[Normalised Income Impact Ratio]&gt;0)*ISNUMBER(SEARCH("job creation",Table9[Primary Objective]))),MEDIAN(ABS(_xlpm.data-MEDIAN(_xlpm.data))))</f>
        <v>1.5891565127211703E-2</v>
      </c>
      <c r="Q33" s="195">
        <f>P33/M33</f>
        <v>0.62822442786257526</v>
      </c>
      <c r="R33" s="195">
        <f t="array" ref="R33">_xlfn.LET(_xlpm.data,_xlfn._xlws.FILTER(Table9[Normalised Income Impact Ratio],ISNUMBER(Table9[Normalised Income Impact Ratio])*(Table9[Normalised Income Impact Ratio]&gt;0)*ISNUMBER(SEARCH("job creation",Table9[Primary Objective]))),_xlpm.med,MEDIAN(_xlpm.data),_xlpm.mad,MEDIAN(ABS(_xlpm.data-_xlpm.med)),SUMPRODUCT(--(ABS(_xlpm.data-_xlpm.med)&gt;2.5*_xlpm.mad))/COUNT(_xlpm.data))</f>
        <v>0.2857142857142857</v>
      </c>
      <c r="S33" s="15">
        <f t="array" ref="S33">_xlfn.LET(_xlpm.data,_xlfn._xlws.FILTER(Table9[Normalised Income Impact Ratio],ISNUMBER(Table9[Normalised Income Impact Ratio])*(Table9[Normalised Income Impact Ratio]&gt;0)*ISNUMBER(SEARCH("job creation",Table9[Primary Objective]))),_xlpm.med,MEDIAN(_xlpm.data),_xlpm.mad,MEDIAN(ABS(_xlpm.data-_xlpm.med)),SUMPRODUCT(--(ABS(_xlpm.data-_xlpm.med)&gt;2.5*_xlpm.mad)))</f>
        <v>6</v>
      </c>
      <c r="T33" s="203">
        <f t="array" ref="T33">_xlfn.LET(_xlpm.data,_xlfn._xlws.FILTER(Table9[Normalised Income Impact Ratio],ISNUMBER(Table9[Normalised Income Impact Ratio])*(Table9[Normalised Income Impact Ratio]&gt;0)*ISNUMBER(SEARCH("job creation",Table9[Primary Objective]))),_xlpm.med,MEDIAN(_xlpm.data),_xlpm.mad,MEDIAN(ABS(_xlpm.data-_xlpm.med)),AVERAGE(_xlfn._xlws.FILTER(_xlpm.data,ABS(_xlpm.data-_xlpm.med)&lt;=2.5*_xlpm.mad)))</f>
        <v>2.0102962624800894E-2</v>
      </c>
      <c r="U33" s="232">
        <f>O33-S33</f>
        <v>15</v>
      </c>
      <c r="V33" s="191"/>
      <c r="W33" s="370">
        <f t="array" ref="W33">MEDIAN(
_xlfn._xlws.FILTER(
Table9[Private Sector Investment (USD) / Project cost ],
ISNUMBER(Table9[Private Sector Investment (USD) / Project cost ])*
(Table9[Private Sector Investment (USD) / Project cost ]&gt;0)*
ISNUMBER(SEARCH("job creation",Table9[Primary Objective]))
)
)</f>
        <v>0.81891687625434328</v>
      </c>
      <c r="X33" s="203">
        <f t="array" ref="X33">AVERAGE(
_xlfn._xlws.FILTER(
Table9[Private Sector Investment (USD) / Project cost ],
ISNUMBER(Table9[Private Sector Investment (USD) / Project cost ])*
(Table9[Private Sector Investment (USD) / Project cost ]&gt;0)*
ISNUMBER(SEARCH("job creation",Table9[Primary Objective]))
)
)</f>
        <v>2.3058583342713233</v>
      </c>
      <c r="Y33" s="15">
        <f>COUNTIFS(
Table9[Private Sector Investment (USD) / Project cost ],"&gt;0",
Table9[Primary Objective],"*job creation*"
)</f>
        <v>32</v>
      </c>
      <c r="Z33" s="203">
        <f t="array" ref="Z33">_xlfn.LET(
_xlpm.data,_xlfn._xlws.FILTER(
Table9[Private Sector Investment (USD) / Project cost ],
ISNUMBER(Table9[Private Sector Investment (USD) / Project cost ])*
(Table9[Private Sector Investment (USD) / Project cost ]&gt;0)*
ISNUMBER(SEARCH("job creation",Table9[Primary Objective]))
),
MEDIAN(ABS(_xlpm.data-MEDIAN(_xlpm.data)))
)</f>
        <v>0.57600320665680815</v>
      </c>
      <c r="AA33" s="195">
        <f>Z33/W33</f>
        <v>0.70337200680415601</v>
      </c>
      <c r="AB33" s="195">
        <f t="array" ref="AB33">_xlfn.LET(
_xlpm.data,_xlfn._xlws.FILTER(
Table9[Private Sector Investment (USD) / Project cost ],
ISNUMBER(Table9[Private Sector Investment (USD) / Project cost ])*
(Table9[Private Sector Investment (USD) / Project cost ]&gt;0)*
ISNUMBER(SEARCH("job creation",Table9[Primary Objective]))
),
_xlpm.med,MEDIAN(_xlpm.data),
_xlpm.mad,MEDIAN(ABS(_xlpm.data-_xlpm.med)),
SUMPRODUCT(--(ABS(_xlpm.data-_xlpm.med)&gt;2.5*_xlpm.mad))/COUNT(_xlpm.data)
)</f>
        <v>0.1875</v>
      </c>
      <c r="AC33" s="15">
        <f t="array" ref="AC33">_xlfn.LET(
_xlpm.data,_xlfn._xlws.FILTER(
Table9[Private Sector Investment (USD) / Project cost ],
ISNUMBER(Table9[Private Sector Investment (USD) / Project cost ])*
(Table9[Private Sector Investment (USD) / Project cost ]&gt;0)*
ISNUMBER(SEARCH("job creation",Table9[Primary Objective]))
),
_xlpm.med,MEDIAN(_xlpm.data),
_xlpm.mad,MEDIAN(ABS(_xlpm.data-_xlpm.med)),
SUMPRODUCT(--(ABS(_xlpm.data-_xlpm.med)&gt;2.5*_xlpm.mad))
)</f>
        <v>6</v>
      </c>
      <c r="AD33" s="203">
        <f t="array" ref="AD33">_xlfn.LET(
_xlpm.data,_xlfn._xlws.FILTER(
Table9[Private Sector Investment (USD) / Project cost ],
ISNUMBER(Table9[Private Sector Investment (USD) / Project cost ])*
(Table9[Private Sector Investment (USD) / Project cost ]&gt;0)*
ISNUMBER(SEARCH("job creation",Table9[Primary Objective]))
),
_xlpm.med,MEDIAN(_xlpm.data),
_xlpm.mad,MEDIAN(ABS(_xlpm.data-_xlpm.med)),
AVERAGE(_xlfn._xlws.FILTER(_xlpm.data,ABS(_xlpm.data-_xlpm.med)&lt;=2.5*_xlpm.mad))
)</f>
        <v>0.70459181377280466</v>
      </c>
      <c r="AE33" s="232">
        <f>Y33-AC33</f>
        <v>26</v>
      </c>
      <c r="AF33" s="191"/>
      <c r="AG33" s="370">
        <f t="array" ref="AG33">MEDIAN(
_xlfn._xlws.FILTER(
Table9[Private Sector Revenues Generated (USD) / Project cost],
ISNUMBER(Table9[Private Sector Revenues Generated (USD) / Project cost])*
(Table9[Private Sector Revenues Generated (USD) / Project cost]&gt;0)*
ISNUMBER(SEARCH("job creation",Table9[Primary Objective]))
)
)</f>
        <v>1.9212935826045361</v>
      </c>
      <c r="AH33" s="203">
        <f t="array" ref="AH33">AVERAGE(
_xlfn._xlws.FILTER(
Table9[Private Sector Revenues Generated (USD) / Project cost],
ISNUMBER(Table9[Private Sector Revenues Generated (USD) / Project cost])*
(Table9[Private Sector Revenues Generated (USD) / Project cost]&gt;0)*
ISNUMBER(SEARCH("job creation",Table9[Primary Objective]))
)
)</f>
        <v>3.9556704207931435</v>
      </c>
      <c r="AI33" s="15">
        <f>COUNTIFS(
Table9[Private Sector Revenues Generated (USD) / Project cost],"&gt;0",
Table9[Primary Objective],"*job creation*"
)</f>
        <v>26</v>
      </c>
      <c r="AJ33" s="203">
        <f t="array" ref="AJ33">_xlfn.LET(
_xlpm.data,_xlfn._xlws.FILTER(
Table9[Private Sector Revenues Generated (USD) / Project cost],
ISNUMBER(Table9[Private Sector Revenues Generated (USD) / Project cost])*
(Table9[Private Sector Revenues Generated (USD) / Project cost]&gt;0)*
ISNUMBER(SEARCH("job creation",Table9[Primary Objective]))
),
MEDIAN(ABS(_xlpm.data-MEDIAN(_xlpm.data)))
)</f>
        <v>1.5715412657894734</v>
      </c>
      <c r="AK33" s="343">
        <f>AJ33/AG33</f>
        <v>0.81795998280443283</v>
      </c>
      <c r="AL33" s="195">
        <f t="array" ref="AL33">_xlfn.LET(
_xlpm.data,_xlfn._xlws.FILTER(
Table9[Private Sector Revenues Generated (USD) / Project cost],
ISNUMBER(Table9[Private Sector Revenues Generated (USD) / Project cost])*
(Table9[Private Sector Revenues Generated (USD) / Project cost]&gt;0)*
ISNUMBER(SEARCH("job creation",Table9[Primary Objective]))
),
_xlpm.med,MEDIAN(_xlpm.data),
_xlpm.mad,MEDIAN(ABS(_xlpm.data-_xlpm.med)),
SUMPRODUCT(--(ABS(_xlpm.data-_xlpm.med)&gt;2.5*_xlpm.mad))/COUNT(_xlpm.data)
)</f>
        <v>0.23076923076923078</v>
      </c>
      <c r="AM33" s="15">
        <f t="array" ref="AM33">_xlfn.LET(
_xlpm.data,_xlfn._xlws.FILTER(
Table9[Private Sector Revenues Generated (USD) / Project cost],
ISNUMBER(Table9[Private Sector Revenues Generated (USD) / Project cost])*
(Table9[Private Sector Revenues Generated (USD) / Project cost]&gt;0)*
ISNUMBER(SEARCH("job creation",Table9[Primary Objective]))
),
_xlpm.med,MEDIAN(_xlpm.data),
_xlpm.mad,MEDIAN(ABS(_xlpm.data-_xlpm.med)),
SUMPRODUCT(--(ABS(_xlpm.data-_xlpm.med)&gt;2.5*_xlpm.mad))
)</f>
        <v>6</v>
      </c>
      <c r="AN33" s="203">
        <f t="array" ref="AN33">_xlfn.LET(
_xlpm.data,_xlfn._xlws.FILTER(
Table9[Private Sector Revenues Generated (USD) / Project cost],
ISNUMBER(Table9[Private Sector Revenues Generated (USD) / Project cost])*
(Table9[Private Sector Revenues Generated (USD) / Project cost]&gt;0)*
ISNUMBER(SEARCH("job creation",Table9[Primary Objective]))
),
_xlpm.med,MEDIAN(_xlpm.data),
_xlpm.mad,MEDIAN(ABS(_xlpm.data-_xlpm.med)),
AVERAGE(_xlfn._xlws.FILTER(_xlpm.data,ABS(_xlpm.data-_xlpm.med)&lt;=2.5*_xlpm.mad))
)</f>
        <v>1.3200447411983578</v>
      </c>
      <c r="AO33" s="232">
        <f>AI33-AM33</f>
        <v>20</v>
      </c>
      <c r="AP33" s="191"/>
      <c r="AQ33" s="370">
        <f t="array" ref="AQ33">MEDIAN(
_xlfn._xlws.FILTER(
Table9[Export Revenue Generated (USD) /Project Cost],
ISNUMBER(Table9[Export Revenue Generated (USD) /Project Cost])*
(Table9[Export Revenue Generated (USD) /Project Cost]&gt;0)*
ISNUMBER(SEARCH("job creation",Table9[Primary Objective]))
)
)</f>
        <v>0.10208563993256134</v>
      </c>
      <c r="AR33" s="203">
        <f t="array" ref="AR33">AVERAGE(
_xlfn._xlws.FILTER(
Table9[Export Revenue Generated (USD) /Project Cost],
ISNUMBER(Table9[Export Revenue Generated (USD) /Project Cost])*
(Table9[Export Revenue Generated (USD) /Project Cost]&gt;0)*
ISNUMBER(SEARCH("job creation",Table9[Primary Objective]))
)
)</f>
        <v>8.3217404856190882</v>
      </c>
      <c r="AS33" s="15">
        <f>COUNTIFS(
Table9[Export Revenue Generated (USD) /Project Cost],"&gt;0",
Table9[Primary Objective],"*job creation*"
)</f>
        <v>10</v>
      </c>
      <c r="AT33" s="203">
        <f t="array" ref="AT33">_xlfn.LET(
_xlpm.data,_xlfn._xlws.FILTER(
Table9[Export Revenue Generated (USD) /Project Cost],
ISNUMBER(Table9[Export Revenue Generated (USD) /Project Cost])*
(Table9[Export Revenue Generated (USD) /Project Cost]&gt;0)*
ISNUMBER(SEARCH("job creation",Table9[Primary Objective]))
),
MEDIAN(ABS(_xlpm.data-MEDIAN(_xlpm.data)))
)</f>
        <v>6.3080579875763154E-2</v>
      </c>
      <c r="AU33" s="195">
        <f>AT33/AQ33</f>
        <v>0.61791824900578307</v>
      </c>
      <c r="AV33" s="195">
        <f t="array" ref="AV33">_xlfn.LET(
_xlpm.data,_xlfn._xlws.FILTER(
Table9[Export Revenue Generated (USD) /Project Cost],
ISNUMBER(Table9[Export Revenue Generated (USD) /Project Cost])*
(Table9[Export Revenue Generated (USD) /Project Cost]&gt;0)*
ISNUMBER(SEARCH("job creation",Table9[Primary Objective]))
),
_xlpm.med,MEDIAN(_xlpm.data),
_xlpm.mad,MEDIAN(ABS(_xlpm.data-_xlpm.med)),
SUMPRODUCT(--(ABS(_xlpm.data-_xlpm.med)&gt;2.5*_xlpm.mad))/COUNT(_xlpm.data)
)</f>
        <v>0.3</v>
      </c>
      <c r="AW33" s="15">
        <f t="array" ref="AW33">_xlfn.LET(
_xlpm.data,_xlfn._xlws.FILTER(
Table9[Export Revenue Generated (USD) /Project Cost],
ISNUMBER(Table9[Export Revenue Generated (USD) /Project Cost])*
(Table9[Export Revenue Generated (USD) /Project Cost]&gt;0)*
ISNUMBER(SEARCH("job creation",Table9[Primary Objective]))
),
_xlpm.med,MEDIAN(_xlpm.data),
_xlpm.mad,MEDIAN(ABS(_xlpm.data-_xlpm.med)),
SUMPRODUCT(--(ABS(_xlpm.data-_xlpm.med)&gt;2.5*_xlpm.mad))
)</f>
        <v>3</v>
      </c>
      <c r="AX33" s="203">
        <f t="array" ref="AX33">_xlfn.LET(
_xlpm.data,_xlfn._xlws.FILTER(
Table9[Export Revenue Generated (USD) /Project Cost],
ISNUMBER(Table9[Export Revenue Generated (USD) /Project Cost])*
(Table9[Export Revenue Generated (USD) /Project Cost]&gt;0)*
ISNUMBER(SEARCH("job creation",Table9[Primary Objective]))
),
_xlpm.med,MEDIAN(_xlpm.data),
_xlpm.mad,MEDIAN(ABS(_xlpm.data-_xlpm.med)),
AVERAGE(_xlfn._xlws.FILTER(_xlpm.data,ABS(_xlpm.data-_xlpm.med)&lt;=2.5*_xlpm.mad))
)</f>
        <v>7.4373766549661421E-2</v>
      </c>
      <c r="AY33" s="232">
        <f>AS33-AW33</f>
        <v>7</v>
      </c>
      <c r="AZ33" s="142"/>
      <c r="BA33" s="202"/>
      <c r="BB33" s="202"/>
      <c r="BC33" s="15"/>
      <c r="BD33" s="15"/>
      <c r="BE33" s="15"/>
      <c r="BF33" s="15"/>
      <c r="BG33" s="15"/>
      <c r="BH33" s="15"/>
      <c r="BI33" s="15"/>
      <c r="BJ33" s="15"/>
      <c r="BK33" s="15"/>
      <c r="BL33" s="15"/>
      <c r="BM33" s="15"/>
      <c r="BN33" s="15"/>
      <c r="BO33" s="15"/>
      <c r="BP33" s="15"/>
      <c r="BQ33" s="15"/>
      <c r="BR33" s="15"/>
      <c r="BS33" s="15"/>
      <c r="BT33" s="15"/>
      <c r="BU33" s="202"/>
      <c r="BV33" s="202"/>
      <c r="BW33" s="15"/>
      <c r="BX33" s="15"/>
      <c r="BY33" s="15"/>
      <c r="BZ33" s="15"/>
      <c r="CA33" s="15"/>
      <c r="CB33" s="15"/>
      <c r="CC33" s="15"/>
      <c r="CD33" s="15"/>
      <c r="CE33" s="15"/>
      <c r="CF33" s="15"/>
      <c r="CG33" s="15"/>
      <c r="CH33" s="15"/>
      <c r="CI33" s="15"/>
      <c r="CJ33" s="15"/>
      <c r="CK33" s="15"/>
      <c r="CL33" s="15"/>
      <c r="CM33" s="15"/>
      <c r="CN33" s="135"/>
      <c r="CO33" s="203"/>
      <c r="CP33" s="203"/>
      <c r="CQ33" s="15"/>
      <c r="CR33" s="15"/>
      <c r="CS33" s="15"/>
      <c r="CT33" s="15"/>
      <c r="CU33" s="15"/>
      <c r="CV33" s="15"/>
      <c r="CW33" s="15"/>
    </row>
    <row r="34" spans="2:101" x14ac:dyDescent="0.25">
      <c r="B34" s="205" t="s">
        <v>648</v>
      </c>
      <c r="C34" s="363">
        <f t="array" ref="C34">MEDIAN(_xlfn._xlws.FILTER(Table9[Income per beneficiary (USD)],(Table9[Income per beneficiary (USD)]&gt;0)*ISNUMBER(SEARCH("income improvement",Table9[Primary Objective]))))</f>
        <v>189.99599231861066</v>
      </c>
      <c r="D34" s="202">
        <f t="array" ref="D34">AVERAGE(_xlfn._xlws.FILTER(Table9[Income per beneficiary (USD)],(Table9[Income per beneficiary (USD)]&gt;0)*ISNUMBER(SEARCH("income improvement",Table9[Primary Objective]))))</f>
        <v>446.14076697653491</v>
      </c>
      <c r="E34" s="15">
        <f>COUNTIFS(Table9[Income per beneficiary (USD)],"&gt;0",Table9[Primary Objective],"*income improvement*")</f>
        <v>44</v>
      </c>
      <c r="F34" s="202">
        <f t="array" ref="F34">_xlfn.LET(
_xlpm.data,_xlfn._xlws.FILTER(
Table9[Income per beneficiary (USD)],
(Table9[Income per beneficiary (USD)]&gt;0)*
ISNUMBER(SEARCH("income improvement",Table9[Primary Objective]))
),
MEDIAN(ABS(_xlpm.data-MEDIAN(_xlpm.data)))
)</f>
        <v>139.41004596096892</v>
      </c>
      <c r="G34" s="195">
        <f>F34/C34</f>
        <v>0.7337525610918546</v>
      </c>
      <c r="H34" s="195">
        <f t="array" ref="H34">_xlfn.LET(
_xlpm.data,_xlfn._xlws.FILTER(
Table9[Income per beneficiary (USD)],
(Table9[Income per beneficiary (USD)]&gt;0)*
ISNUMBER(SEARCH("income improvement",Table9[Primary Objective]))
),
_xlpm.med,MEDIAN(_xlpm.data),
_xlpm.mad,MEDIAN(ABS(_xlpm.data-_xlpm.med)),
SUMPRODUCT(--(ABS(_xlpm.data-_xlpm.med)&gt;2.5*_xlpm.mad))/COUNT(_xlpm.data)
)</f>
        <v>0.20454545454545456</v>
      </c>
      <c r="I34" s="15">
        <f t="array" ref="I34">_xlfn.LET(
_xlpm.data,_xlfn._xlws.FILTER(
Table9[Income per beneficiary (USD)],
(Table9[Income per beneficiary (USD)]&gt;0)*
ISNUMBER(SEARCH("income improvement",Table9[Primary Objective]))
),
_xlpm.med,MEDIAN(_xlpm.data),
_xlpm.mad,MEDIAN(ABS(_xlpm.data-_xlpm.med)),
SUMPRODUCT(--(ABS(_xlpm.data-_xlpm.med)&gt;2.5*_xlpm.mad))
)</f>
        <v>9</v>
      </c>
      <c r="J34" s="202">
        <f t="array" ref="J34">_xlfn.LET(
_xlpm.data,_xlfn._xlws.FILTER(
Table9[Income per beneficiary (USD)],
(Table9[Income per beneficiary (USD)]&gt;0)*
ISNUMBER(SEARCH("income improvement",Table9[Primary Objective]))
),
_xlpm.med,MEDIAN(_xlpm.data),
_xlpm.mad,MEDIAN(ABS(_xlpm.data-_xlpm.med)),
AVERAGE(_xlfn._xlws.FILTER(_xlpm.data,ABS(_xlpm.data-_xlpm.med)&lt;=2.5*_xlpm.mad))
)</f>
        <v>193.20709578774699</v>
      </c>
      <c r="K34" s="364">
        <f>E34-I34</f>
        <v>35</v>
      </c>
      <c r="L34" s="192"/>
      <c r="M34" s="370">
        <f t="array" ref="M34">MEDIAN(_xlfn._xlws.FILTER(Table9[Normalised Income Impact Ratio],ISNUMBER(Table9[Normalised Income Impact Ratio])*(Table9[Normalised Income Impact Ratio]&gt;0)*ISNUMBER(SEARCH("income improvement",Table9[Primary Objective]))))</f>
        <v>2.5295999999999999E-2</v>
      </c>
      <c r="N34" s="203">
        <f t="array" ref="N34">AVERAGE(_xlfn._xlws.FILTER(Table9[Normalised Income Impact Ratio],ISNUMBER(Table9[Normalised Income Impact Ratio])*(Table9[Normalised Income Impact Ratio]&gt;0)*ISNUMBER(SEARCH("income improvement",Table9[Primary Objective]))))</f>
        <v>7.5719240859744436E-2</v>
      </c>
      <c r="O34" s="15">
        <f>COUNTIFS(Table9[Normalised Income Impact Ratio],"&gt;0",Table9[Primary Objective],"*income improvement*")</f>
        <v>43</v>
      </c>
      <c r="P34" s="203">
        <f t="array" ref="P34">_xlfn.LET(_xlpm.data,_xlfn._xlws.FILTER(Table9[Normalised Income Impact Ratio],ISNUMBER(Table9[Normalised Income Impact Ratio])*(Table9[Normalised Income Impact Ratio]&gt;0)*ISNUMBER(SEARCH("income improvement",Table9[Primary Objective]))),MEDIAN(ABS(_xlpm.data-MEDIAN(_xlpm.data))))</f>
        <v>1.7339010752688171E-2</v>
      </c>
      <c r="Q34" s="195">
        <f>P34/M34</f>
        <v>0.68544476410057609</v>
      </c>
      <c r="R34" s="195">
        <f t="array" ref="R34">_xlfn.LET(_xlpm.data,_xlfn._xlws.FILTER(Table9[Normalised Income Impact Ratio],ISNUMBER(Table9[Normalised Income Impact Ratio])*(Table9[Normalised Income Impact Ratio]&gt;0)*ISNUMBER(SEARCH("income improvement",Table9[Primary Objective]))),_xlpm.med,MEDIAN(_xlpm.data),_xlpm.mad,MEDIAN(ABS(_xlpm.data-_xlpm.med)),SUMPRODUCT(--(ABS(_xlpm.data-_xlpm.med)&gt;2.5*_xlpm.mad))/COUNT(_xlpm.data))</f>
        <v>0.30232558139534882</v>
      </c>
      <c r="S34" s="15">
        <f t="array" ref="S34">_xlfn.LET(_xlpm.data,_xlfn._xlws.FILTER(Table9[Normalised Income Impact Ratio],ISNUMBER(Table9[Normalised Income Impact Ratio])*(Table9[Normalised Income Impact Ratio]&gt;0)*ISNUMBER(SEARCH("income improvement",Table9[Primary Objective]))),_xlpm.med,MEDIAN(_xlpm.data),_xlpm.mad,MEDIAN(ABS(_xlpm.data-_xlpm.med)),SUMPRODUCT(--(ABS(_xlpm.data-_xlpm.med)&gt;2.5*_xlpm.mad)))</f>
        <v>13</v>
      </c>
      <c r="T34" s="203">
        <f t="array" ref="T34">_xlfn.LET(_xlpm.data,_xlfn._xlws.FILTER(Table9[Normalised Income Impact Ratio],ISNUMBER(Table9[Normalised Income Impact Ratio])*(Table9[Normalised Income Impact Ratio]&gt;0)*ISNUMBER(SEARCH("income improvement",Table9[Primary Objective]))),_xlpm.med,MEDIAN(_xlpm.data),_xlpm.mad,MEDIAN(ABS(_xlpm.data-_xlpm.med)),AVERAGE(_xlfn._xlws.FILTER(_xlpm.data,ABS(_xlpm.data-_xlpm.med)&lt;=2.5*_xlpm.mad)))</f>
        <v>1.9804711722936529E-2</v>
      </c>
      <c r="U34" s="232">
        <f>O34-S34</f>
        <v>30</v>
      </c>
      <c r="V34" s="191"/>
      <c r="W34" s="370">
        <f t="array" ref="W34">MEDIAN(
_xlfn._xlws.FILTER(
Table9[Private Sector Investment (USD) / Project cost ],
ISNUMBER(Table9[Private Sector Investment (USD) / Project cost ])*
(Table9[Private Sector Investment (USD) / Project cost ]&gt;0)*
ISNUMBER(SEARCH("income improvement",Table9[Primary Objective]))
)
)</f>
        <v>0.48221049077583339</v>
      </c>
      <c r="X34" s="203">
        <f t="array" ref="X34">AVERAGE(
_xlfn._xlws.FILTER(
Table9[Private Sector Investment (USD) / Project cost ],
ISNUMBER(Table9[Private Sector Investment (USD) / Project cost ])*
(Table9[Private Sector Investment (USD) / Project cost ]&gt;0)*
ISNUMBER(SEARCH("income improvement",Table9[Primary Objective]))
)
)</f>
        <v>1.6060820741413953</v>
      </c>
      <c r="Y34" s="15">
        <f>COUNTIFS(
Table9[Private Sector Investment (USD) / Project cost ],"&gt;0",
Table9[Primary Objective],"*income improvement*"
)</f>
        <v>53</v>
      </c>
      <c r="Z34" s="203">
        <f t="array" ref="Z34">_xlfn.LET(
_xlpm.data,_xlfn._xlws.FILTER(
Table9[Private Sector Investment (USD) / Project cost ],
ISNUMBER(Table9[Private Sector Investment (USD) / Project cost ])*
(Table9[Private Sector Investment (USD) / Project cost ]&gt;0)*
ISNUMBER(SEARCH("income improvement",Table9[Primary Objective]))
),
MEDIAN(ABS(_xlpm.data-MEDIAN(_xlpm.data)))
)</f>
        <v>0.39130139986674251</v>
      </c>
      <c r="AA34" s="195">
        <f>Z34/W34</f>
        <v>0.81147425730446821</v>
      </c>
      <c r="AB34" s="195">
        <f t="array" ref="AB34">_xlfn.LET(
_xlpm.data,_xlfn._xlws.FILTER(
Table9[Private Sector Investment (USD) / Project cost ],
ISNUMBER(Table9[Private Sector Investment (USD) / Project cost ])*
(Table9[Private Sector Investment (USD) / Project cost ]&gt;0)*
ISNUMBER(SEARCH("income improvement",Table9[Primary Objective]))
),
_xlpm.med,MEDIAN(_xlpm.data),
_xlpm.mad,MEDIAN(ABS(_xlpm.data-_xlpm.med)),
SUMPRODUCT(--(ABS(_xlpm.data-_xlpm.med)&gt;2.5*_xlpm.mad))/COUNT(_xlpm.data)
)</f>
        <v>0.18867924528301888</v>
      </c>
      <c r="AC34" s="15">
        <f t="array" ref="AC34">_xlfn.LET(
_xlpm.data,_xlfn._xlws.FILTER(
Table9[Private Sector Investment (USD) / Project cost ],
ISNUMBER(Table9[Private Sector Investment (USD) / Project cost ])*
(Table9[Private Sector Investment (USD) / Project cost ]&gt;0)*
ISNUMBER(SEARCH("income improvement",Table9[Primary Objective]))
),
_xlpm.med,MEDIAN(_xlpm.data),
_xlpm.mad,MEDIAN(ABS(_xlpm.data-_xlpm.med)),
SUMPRODUCT(--(ABS(_xlpm.data-_xlpm.med)&gt;2.5*_xlpm.mad))
)</f>
        <v>10</v>
      </c>
      <c r="AD34" s="203">
        <f t="array" ref="AD34">_xlfn.LET(
_xlpm.data,_xlfn._xlws.FILTER(
Table9[Private Sector Investment (USD) / Project cost ],
ISNUMBER(Table9[Private Sector Investment (USD) / Project cost ])*
(Table9[Private Sector Investment (USD) / Project cost ]&gt;0)*
ISNUMBER(SEARCH("income improvement",Table9[Primary Objective]))
),
_xlpm.med,MEDIAN(_xlpm.data),
_xlpm.mad,MEDIAN(ABS(_xlpm.data-_xlpm.med)),
AVERAGE(_xlfn._xlws.FILTER(_xlpm.data,ABS(_xlpm.data-_xlpm.med)&lt;=2.5*_xlpm.mad))
)</f>
        <v>0.47142979802855783</v>
      </c>
      <c r="AE34" s="232">
        <f>Y34-AC34</f>
        <v>43</v>
      </c>
      <c r="AF34" s="191"/>
      <c r="AG34" s="370">
        <f t="array" ref="AG34">MEDIAN(
_xlfn._xlws.FILTER(
Table9[Private Sector Revenues Generated (USD) / Project cost],
ISNUMBER(Table9[Private Sector Revenues Generated (USD) / Project cost])*
(Table9[Private Sector Revenues Generated (USD) / Project cost]&gt;0)*
ISNUMBER(SEARCH("income improvement",Table9[Primary Objective]))
)
)</f>
        <v>1.5105740181268881</v>
      </c>
      <c r="AH34" s="203">
        <f t="array" ref="AH34">AVERAGE(
_xlfn._xlws.FILTER(
Table9[Private Sector Revenues Generated (USD) / Project cost],
ISNUMBER(Table9[Private Sector Revenues Generated (USD) / Project cost])*
(Table9[Private Sector Revenues Generated (USD) / Project cost]&gt;0)*
ISNUMBER(SEARCH("income improvement",Table9[Primary Objective]))
)
)</f>
        <v>3.0204195685875233</v>
      </c>
      <c r="AI34" s="15">
        <f>COUNTIFS(
Table9[Private Sector Revenues Generated (USD) / Project cost],"&gt;0",
Table9[Primary Objective],"*income improvement*"
)</f>
        <v>45</v>
      </c>
      <c r="AJ34" s="203">
        <f t="array" ref="AJ34">_xlfn.LET(
_xlpm.data,_xlfn._xlws.FILTER(
Table9[Private Sector Revenues Generated (USD) / Project cost],
ISNUMBER(Table9[Private Sector Revenues Generated (USD) / Project cost])*
(Table9[Private Sector Revenues Generated (USD) / Project cost]&gt;0)*
ISNUMBER(SEARCH("income improvement",Table9[Primary Objective]))
),
MEDIAN(ABS(_xlpm.data-MEDIAN(_xlpm.data)))
)</f>
        <v>1.232603918126888</v>
      </c>
      <c r="AK34" s="343">
        <f>AJ34/AG34</f>
        <v>0.81598379379999986</v>
      </c>
      <c r="AL34" s="195">
        <f t="array" ref="AL34">_xlfn.LET(
_xlpm.data,_xlfn._xlws.FILTER(
Table9[Private Sector Revenues Generated (USD) / Project cost],
ISNUMBER(Table9[Private Sector Revenues Generated (USD) / Project cost])*
(Table9[Private Sector Revenues Generated (USD) / Project cost]&gt;0)*
ISNUMBER(SEARCH("income improvement",Table9[Primary Objective]))
),
_xlpm.med,MEDIAN(_xlpm.data),
_xlpm.mad,MEDIAN(ABS(_xlpm.data-_xlpm.med)),
SUMPRODUCT(--(ABS(_xlpm.data-_xlpm.med)&gt;2.5*_xlpm.mad))/COUNT(_xlpm.data)
)</f>
        <v>0.15555555555555556</v>
      </c>
      <c r="AM34" s="15">
        <f t="array" ref="AM34">_xlfn.LET(
_xlpm.data,_xlfn._xlws.FILTER(
Table9[Private Sector Revenues Generated (USD) / Project cost],
ISNUMBER(Table9[Private Sector Revenues Generated (USD) / Project cost])*
(Table9[Private Sector Revenues Generated (USD) / Project cost]&gt;0)*
ISNUMBER(SEARCH("income improvement",Table9[Primary Objective]))
),
_xlpm.med,MEDIAN(_xlpm.data),
_xlpm.mad,MEDIAN(ABS(_xlpm.data-_xlpm.med)),
SUMPRODUCT(--(ABS(_xlpm.data-_xlpm.med)&gt;2.5*_xlpm.mad))
)</f>
        <v>7</v>
      </c>
      <c r="AN34" s="203">
        <f t="array" ref="AN34">_xlfn.LET(
_xlpm.data,_xlfn._xlws.FILTER(
Table9[Private Sector Revenues Generated (USD) / Project cost],
ISNUMBER(Table9[Private Sector Revenues Generated (USD) / Project cost])*
(Table9[Private Sector Revenues Generated (USD) / Project cost]&gt;0)*
ISNUMBER(SEARCH("income improvement",Table9[Primary Objective]))
),
_xlpm.med,MEDIAN(_xlpm.data),
_xlpm.mad,MEDIAN(ABS(_xlpm.data-_xlpm.med)),
AVERAGE(_xlfn._xlws.FILTER(_xlpm.data,ABS(_xlpm.data-_xlpm.med)&lt;=2.5*_xlpm.mad))
)</f>
        <v>1.1573244911209064</v>
      </c>
      <c r="AO34" s="232">
        <f>AI34-AM34</f>
        <v>38</v>
      </c>
      <c r="AP34" s="191"/>
      <c r="AQ34" s="370">
        <f t="array" ref="AQ34">MEDIAN(
_xlfn._xlws.FILTER(
Table9[Export Revenue Generated (USD) /Project Cost],
ISNUMBER(Table9[Export Revenue Generated (USD) /Project Cost])*
(Table9[Export Revenue Generated (USD) /Project Cost]&gt;0)*
ISNUMBER(SEARCH("income improvement",Table9[Primary Objective]))
)
)</f>
        <v>0.14420347058823529</v>
      </c>
      <c r="AR34" s="203">
        <f t="array" ref="AR34">AVERAGE(
_xlfn._xlws.FILTER(
Table9[Export Revenue Generated (USD) /Project Cost],
ISNUMBER(Table9[Export Revenue Generated (USD) /Project Cost])*
(Table9[Export Revenue Generated (USD) /Project Cost]&gt;0)*
ISNUMBER(SEARCH("income improvement",Table9[Primary Objective]))
)
)</f>
        <v>7.6253269467308433</v>
      </c>
      <c r="AS34" s="15">
        <f>COUNTIFS(
Table9[Export Revenue Generated (USD) /Project Cost],"&gt;0",
Table9[Primary Objective],"*income improvement*"
)</f>
        <v>13</v>
      </c>
      <c r="AT34" s="203">
        <f t="array" ref="AT34">_xlfn.LET(
_xlpm.data,_xlfn._xlws.FILTER(
Table9[Export Revenue Generated (USD) /Project Cost],
ISNUMBER(Table9[Export Revenue Generated (USD) /Project Cost])*
(Table9[Export Revenue Generated (USD) /Project Cost]&gt;0)*
ISNUMBER(SEARCH("income improvement",Table9[Primary Objective]))
),
MEDIAN(ABS(_xlpm.data-MEDIAN(_xlpm.data)))
)</f>
        <v>0.14088106621665059</v>
      </c>
      <c r="AU34" s="195">
        <f>AT34/AQ34</f>
        <v>0.97696030228654041</v>
      </c>
      <c r="AV34" s="195">
        <f t="array" ref="AV34">_xlfn.LET(
_xlpm.data,_xlfn._xlws.FILTER(
Table9[Export Revenue Generated (USD) /Project Cost],
ISNUMBER(Table9[Export Revenue Generated (USD) /Project Cost])*
(Table9[Export Revenue Generated (USD) /Project Cost]&gt;0)*
ISNUMBER(SEARCH("income improvement",Table9[Primary Objective]))
),
_xlpm.med,MEDIAN(_xlpm.data),
_xlpm.mad,MEDIAN(ABS(_xlpm.data-_xlpm.med)),
SUMPRODUCT(--(ABS(_xlpm.data-_xlpm.med)&gt;2.5*_xlpm.mad))/COUNT(_xlpm.data)
)</f>
        <v>0.23076923076923078</v>
      </c>
      <c r="AW34" s="15">
        <f t="array" ref="AW34">_xlfn.LET(
_xlpm.data,_xlfn._xlws.FILTER(
Table9[Export Revenue Generated (USD) /Project Cost],
ISNUMBER(Table9[Export Revenue Generated (USD) /Project Cost])*
(Table9[Export Revenue Generated (USD) /Project Cost]&gt;0)*
ISNUMBER(SEARCH("income improvement",Table9[Primary Objective]))
),
_xlpm.med,MEDIAN(_xlpm.data),
_xlpm.mad,MEDIAN(ABS(_xlpm.data-_xlpm.med)),
SUMPRODUCT(--(ABS(_xlpm.data-_xlpm.med)&gt;2.5*_xlpm.mad))
)</f>
        <v>3</v>
      </c>
      <c r="AX34" s="203">
        <f t="array" ref="AX34">_xlfn.LET(
_xlpm.data,_xlfn._xlws.FILTER(
Table9[Export Revenue Generated (USD) /Project Cost],
ISNUMBER(Table9[Export Revenue Generated (USD) /Project Cost])*
(Table9[Export Revenue Generated (USD) /Project Cost]&gt;0)*
ISNUMBER(SEARCH("income improvement",Table9[Primary Objective]))
),
_xlpm.med,MEDIAN(_xlpm.data),
_xlpm.mad,MEDIAN(ABS(_xlpm.data-_xlpm.med)),
AVERAGE(_xlfn._xlws.FILTER(_xlpm.data,ABS(_xlpm.data-_xlpm.med)&lt;=2.5*_xlpm.mad))
)</f>
        <v>0.13784480099681701</v>
      </c>
      <c r="AY34" s="232">
        <f>AS34-AW34</f>
        <v>10</v>
      </c>
      <c r="AZ34" s="142"/>
      <c r="BA34" s="202"/>
      <c r="BB34" s="202"/>
      <c r="BC34" s="15"/>
      <c r="BD34" s="15"/>
      <c r="BE34" s="15"/>
      <c r="BF34" s="15"/>
      <c r="BG34" s="15"/>
      <c r="BH34" s="15"/>
      <c r="BI34" s="15"/>
      <c r="BJ34" s="15"/>
      <c r="BK34" s="15"/>
      <c r="BL34" s="15"/>
      <c r="BM34" s="15"/>
      <c r="BN34" s="15"/>
      <c r="BO34" s="15"/>
      <c r="BP34" s="15"/>
      <c r="BQ34" s="15"/>
      <c r="BR34" s="15"/>
      <c r="BS34" s="15"/>
      <c r="BT34" s="15"/>
      <c r="BU34" s="202"/>
      <c r="BV34" s="202"/>
      <c r="BW34" s="15"/>
      <c r="BX34" s="15"/>
      <c r="BY34" s="15"/>
      <c r="BZ34" s="15"/>
      <c r="CA34" s="15"/>
      <c r="CB34" s="15"/>
      <c r="CC34" s="15"/>
      <c r="CD34" s="15"/>
      <c r="CE34" s="15"/>
      <c r="CF34" s="15"/>
      <c r="CG34" s="15"/>
      <c r="CH34" s="15"/>
      <c r="CI34" s="15"/>
      <c r="CJ34" s="15"/>
      <c r="CK34" s="15"/>
      <c r="CL34" s="15"/>
      <c r="CM34" s="15"/>
      <c r="CN34" s="135"/>
      <c r="CO34" s="203"/>
      <c r="CP34" s="203"/>
      <c r="CQ34" s="15"/>
      <c r="CR34" s="15"/>
      <c r="CS34" s="15"/>
      <c r="CT34" s="15"/>
      <c r="CU34" s="15"/>
      <c r="CV34" s="15"/>
      <c r="CW34" s="15"/>
    </row>
    <row r="35" spans="2:101" ht="15" customHeight="1" thickBot="1" x14ac:dyDescent="0.3">
      <c r="B35" s="205" t="s">
        <v>649</v>
      </c>
      <c r="C35" s="366">
        <f t="array" ref="C35">MEDIAN(_xlfn._xlws.FILTER(Table9[Income per beneficiary (USD)],(Table9[Income per beneficiary (USD)]&gt;0)*ISNUMBER(SEARCH("food security &amp; resilience",Table9[Primary Objective]))))</f>
        <v>191.32203389830511</v>
      </c>
      <c r="D35" s="367">
        <f t="array" ref="D35">AVERAGE(_xlfn._xlws.FILTER(Table9[Income per beneficiary (USD)],(Table9[Income per beneficiary (USD)]&gt;0)*ISNUMBER(SEARCH("food security &amp; resilience",Table9[Primary Objective]))))</f>
        <v>513.74298566480309</v>
      </c>
      <c r="E35" s="231">
        <f>COUNTIFS(Table9[Income per beneficiary (USD)],"&gt;0",Table9[Primary Objective],"*food security &amp; resilience*")</f>
        <v>31</v>
      </c>
      <c r="F35" s="367">
        <f t="array" ref="F35">_xlfn.LET(
_xlpm.data,_xlfn._xlws.FILTER(
Table9[Income per beneficiary (USD)],
(Table9[Income per beneficiary (USD)]&gt;0)*
ISNUMBER(SEARCH("food security &amp; resilience",Table9[Primary Objective]))
),
MEDIAN(ABS(_xlpm.data-MEDIAN(_xlpm.data)))
)</f>
        <v>144.67796610169489</v>
      </c>
      <c r="G35" s="368">
        <f>F35/C35</f>
        <v>0.75620127569099904</v>
      </c>
      <c r="H35" s="368">
        <f t="array" ref="H35">_xlfn.LET(
_xlpm.data,_xlfn._xlws.FILTER(
Table9[Income per beneficiary (USD)],
(Table9[Income per beneficiary (USD)]&gt;0)*
ISNUMBER(SEARCH("food security &amp; resilience",Table9[Primary Objective]))
),
_xlpm.med,MEDIAN(_xlpm.data),
_xlpm.mad,MEDIAN(ABS(_xlpm.data-_xlpm.med)),
SUMPRODUCT(--(ABS(_xlpm.data-_xlpm.med)&gt;2.5*_xlpm.mad))/COUNT(_xlpm.data)
)</f>
        <v>0.25806451612903225</v>
      </c>
      <c r="I35" s="231">
        <f t="array" ref="I35">_xlfn.LET(
_xlpm.data,_xlfn._xlws.FILTER(
Table9[Income per beneficiary (USD)],
(Table9[Income per beneficiary (USD)]&gt;0)*
ISNUMBER(SEARCH("food security &amp; resilience",Table9[Primary Objective]))
),
_xlpm.med,MEDIAN(_xlpm.data),
_xlpm.mad,MEDIAN(ABS(_xlpm.data-_xlpm.med)),
SUMPRODUCT(--(ABS(_xlpm.data-_xlpm.med)&gt;2.5*_xlpm.mad))
)</f>
        <v>8</v>
      </c>
      <c r="J35" s="367">
        <f t="array" ref="J35">_xlfn.LET(
_xlpm.data,_xlfn._xlws.FILTER(
Table9[Income per beneficiary (USD)],
(Table9[Income per beneficiary (USD)]&gt;0)*
ISNUMBER(SEARCH("food security &amp; resilience",Table9[Primary Objective]))
),
_xlpm.med,MEDIAN(_xlpm.data),
_xlpm.mad,MEDIAN(ABS(_xlpm.data-_xlpm.med)),
AVERAGE(_xlfn._xlws.FILTER(_xlpm.data,ABS(_xlpm.data-_xlpm.med)&lt;=2.5*_xlpm.mad))
)</f>
        <v>172.50796991015258</v>
      </c>
      <c r="K35" s="391">
        <f>E35-I35</f>
        <v>23</v>
      </c>
      <c r="L35" s="388"/>
      <c r="M35" s="378">
        <f t="array" ref="M35">MEDIAN(_xlfn._xlws.FILTER(Table9[Normalised Income Impact Ratio],ISNUMBER(Table9[Normalised Income Impact Ratio])*(Table9[Normalised Income Impact Ratio]&gt;0)*ISNUMBER(SEARCH("food security &amp; resilience",Table9[Primary Objective]))))</f>
        <v>2.5112285714285712E-2</v>
      </c>
      <c r="N35" s="379">
        <f t="array" ref="N35">AVERAGE(_xlfn._xlws.FILTER(Table9[Normalised Income Impact Ratio],ISNUMBER(Table9[Normalised Income Impact Ratio])*(Table9[Normalised Income Impact Ratio]&gt;0)*ISNUMBER(SEARCH("food security &amp; resilience",Table9[Primary Objective]))))</f>
        <v>6.8822387232483059E-2</v>
      </c>
      <c r="O35" s="231">
        <f>COUNTIFS(Table9[Normalised Income Impact Ratio],"&gt;0",Table9[Primary Objective],"*food security &amp; resilience*")</f>
        <v>30</v>
      </c>
      <c r="P35" s="379">
        <f t="array" ref="P35">_xlfn.LET(_xlpm.data,_xlfn._xlws.FILTER(Table9[Normalised Income Impact Ratio],ISNUMBER(Table9[Normalised Income Impact Ratio])*(Table9[Normalised Income Impact Ratio]&gt;0)*ISNUMBER(SEARCH("food security &amp; resilience",Table9[Primary Objective]))),MEDIAN(ABS(_xlpm.data-MEDIAN(_xlpm.data))))</f>
        <v>1.7574204308369448E-2</v>
      </c>
      <c r="Q35" s="368">
        <f>P35/M35</f>
        <v>0.69982495852107762</v>
      </c>
      <c r="R35" s="368">
        <f t="array" ref="R35">_xlfn.LET(_xlpm.data,_xlfn._xlws.FILTER(Table9[Normalised Income Impact Ratio],ISNUMBER(Table9[Normalised Income Impact Ratio])*(Table9[Normalised Income Impact Ratio]&gt;0)*ISNUMBER(SEARCH("food security &amp; resilience",Table9[Primary Objective]))),_xlpm.med,MEDIAN(_xlpm.data),_xlpm.mad,MEDIAN(ABS(_xlpm.data-_xlpm.med)),SUMPRODUCT(--(ABS(_xlpm.data-_xlpm.med)&gt;2.5*_xlpm.mad))/COUNT(_xlpm.data))</f>
        <v>0.33333333333333331</v>
      </c>
      <c r="S35" s="231">
        <f t="array" ref="S35">_xlfn.LET(_xlpm.data,_xlfn._xlws.FILTER(Table9[Normalised Income Impact Ratio],ISNUMBER(Table9[Normalised Income Impact Ratio])*(Table9[Normalised Income Impact Ratio]&gt;0)*ISNUMBER(SEARCH("food security &amp; resilience",Table9[Primary Objective]))),_xlpm.med,MEDIAN(_xlpm.data),_xlpm.mad,MEDIAN(ABS(_xlpm.data-_xlpm.med)),SUMPRODUCT(--(ABS(_xlpm.data-_xlpm.med)&gt;2.5*_xlpm.mad)))</f>
        <v>10</v>
      </c>
      <c r="T35" s="379">
        <f t="array" ref="T35">_xlfn.LET(_xlpm.data,_xlfn._xlws.FILTER(Table9[Normalised Income Impact Ratio],ISNUMBER(Table9[Normalised Income Impact Ratio])*(Table9[Normalised Income Impact Ratio]&gt;0)*ISNUMBER(SEARCH("food security &amp; resilience",Table9[Primary Objective]))),_xlpm.med,MEDIAN(_xlpm.data),_xlpm.mad,MEDIAN(ABS(_xlpm.data-_xlpm.med)),AVERAGE(_xlfn._xlws.FILTER(_xlpm.data,ABS(_xlpm.data-_xlpm.med)&lt;=2.5*_xlpm.mad)))</f>
        <v>1.7656744690355507E-2</v>
      </c>
      <c r="U35" s="233">
        <f>O35-S35</f>
        <v>20</v>
      </c>
      <c r="V35" s="30"/>
      <c r="W35" s="378">
        <f t="array" ref="W35">MEDIAN(
_xlfn._xlws.FILTER(
Table9[Private Sector Investment (USD) / Project cost ],
ISNUMBER(Table9[Private Sector Investment (USD) / Project cost ])*
(Table9[Private Sector Investment (USD) / Project cost ]&gt;0)*
ISNUMBER(SEARCH("food security &amp; resilience",Table9[Primary Objective]))
)
)</f>
        <v>0.28582992421567488</v>
      </c>
      <c r="X35" s="379">
        <f t="array" ref="X35">AVERAGE(
_xlfn._xlws.FILTER(
Table9[Private Sector Investment (USD) / Project cost ],
ISNUMBER(Table9[Private Sector Investment (USD) / Project cost ])*
(Table9[Private Sector Investment (USD) / Project cost ]&gt;0)*
ISNUMBER(SEARCH("food security &amp; resilience",Table9[Primary Objective]))
)
)</f>
        <v>0.81522216417355964</v>
      </c>
      <c r="Y35" s="231">
        <f>COUNTIFS(
Table9[Private Sector Investment (USD) / Project cost ],"&gt;0",
Table9[Primary Objective],"*food security &amp; resilience*"
)</f>
        <v>44</v>
      </c>
      <c r="Z35" s="379">
        <f t="array" ref="Z35">_xlfn.LET(
_xlpm.data,_xlfn._xlws.FILTER(
Table9[Private Sector Investment (USD) / Project cost ],
ISNUMBER(Table9[Private Sector Investment (USD) / Project cost ])*
(Table9[Private Sector Investment (USD) / Project cost ]&gt;0)*
ISNUMBER(SEARCH("food security &amp; resilience",Table9[Primary Objective]))
),
MEDIAN(ABS(_xlpm.data-MEDIAN(_xlpm.data)))
)</f>
        <v>0.23919308943089426</v>
      </c>
      <c r="AA35" s="368">
        <f>Z35/W35</f>
        <v>0.83683711594314913</v>
      </c>
      <c r="AB35" s="368">
        <f t="array" ref="AB35">_xlfn.LET(
_xlpm.data,_xlfn._xlws.FILTER(
Table9[Private Sector Investment (USD) / Project cost ],
ISNUMBER(Table9[Private Sector Investment (USD) / Project cost ])*
(Table9[Private Sector Investment (USD) / Project cost ]&gt;0)*
ISNUMBER(SEARCH("food security &amp; resilience",Table9[Primary Objective]))
),
_xlpm.med,MEDIAN(_xlpm.data),
_xlpm.mad,MEDIAN(ABS(_xlpm.data-_xlpm.med)),
SUMPRODUCT(--(ABS(_xlpm.data-_xlpm.med)&gt;2.5*_xlpm.mad))/COUNT(_xlpm.data)
)</f>
        <v>0.25</v>
      </c>
      <c r="AC35" s="231">
        <f t="array" ref="AC35">_xlfn.LET(
_xlpm.data,_xlfn._xlws.FILTER(
Table9[Private Sector Investment (USD) / Project cost ],
ISNUMBER(Table9[Private Sector Investment (USD) / Project cost ])*
(Table9[Private Sector Investment (USD) / Project cost ]&gt;0)*
ISNUMBER(SEARCH("food security &amp; resilience",Table9[Primary Objective]))
),
_xlpm.med,MEDIAN(_xlpm.data),
_xlpm.mad,MEDIAN(ABS(_xlpm.data-_xlpm.med)),
SUMPRODUCT(--(ABS(_xlpm.data-_xlpm.med)&gt;2.5*_xlpm.mad))
)</f>
        <v>11</v>
      </c>
      <c r="AD35" s="379">
        <f t="array" ref="AD35">_xlfn.LET(
_xlpm.data,_xlfn._xlws.FILTER(
Table9[Private Sector Investment (USD) / Project cost ],
ISNUMBER(Table9[Private Sector Investment (USD) / Project cost ])*
(Table9[Private Sector Investment (USD) / Project cost ]&gt;0)*
ISNUMBER(SEARCH("food security &amp; resilience",Table9[Primary Objective]))
),
_xlpm.med,MEDIAN(_xlpm.data),
_xlpm.mad,MEDIAN(ABS(_xlpm.data-_xlpm.med)),
AVERAGE(_xlfn._xlws.FILTER(_xlpm.data,ABS(_xlpm.data-_xlpm.med)&lt;=2.5*_xlpm.mad))
)</f>
        <v>0.27556891442119158</v>
      </c>
      <c r="AE35" s="233">
        <f>Y35-AC35</f>
        <v>33</v>
      </c>
      <c r="AF35" s="191"/>
      <c r="AG35" s="378">
        <f t="array" ref="AG35">MEDIAN(
_xlfn._xlws.FILTER(
Table9[Private Sector Revenues Generated (USD) / Project cost],
ISNUMBER(Table9[Private Sector Revenues Generated (USD) / Project cost])*
(Table9[Private Sector Revenues Generated (USD) / Project cost]&gt;0)*
ISNUMBER(SEARCH("food security &amp; resilience",Table9[Primary Objective]))
)
)</f>
        <v>1.33125</v>
      </c>
      <c r="AH35" s="379">
        <f t="array" ref="AH35">AVERAGE(
_xlfn._xlws.FILTER(
Table9[Private Sector Revenues Generated (USD) / Project cost],
ISNUMBER(Table9[Private Sector Revenues Generated (USD) / Project cost])*
(Table9[Private Sector Revenues Generated (USD) / Project cost]&gt;0)*
ISNUMBER(SEARCH("food security &amp; resilience",Table9[Primary Objective]))
)
)</f>
        <v>3.2104940965352342</v>
      </c>
      <c r="AI35" s="231">
        <f>COUNTIFS(
Table9[Private Sector Revenues Generated (USD) / Project cost],"&gt;0",
Table9[Primary Objective],"*food security &amp; resilience*"
)</f>
        <v>35</v>
      </c>
      <c r="AJ35" s="379">
        <f t="array" ref="AJ35">_xlfn.LET(
_xlpm.data,_xlfn._xlws.FILTER(
Table9[Private Sector Revenues Generated (USD) / Project cost],
ISNUMBER(Table9[Private Sector Revenues Generated (USD) / Project cost])*
(Table9[Private Sector Revenues Generated (USD) / Project cost]&gt;0)*
ISNUMBER(SEARCH("food security &amp; resilience",Table9[Primary Objective]))
),
MEDIAN(ABS(_xlpm.data-MEDIAN(_xlpm.data)))
)</f>
        <v>1.0925833333333332</v>
      </c>
      <c r="AK35" s="404">
        <f>AJ35/AG35</f>
        <v>0.8207198748043818</v>
      </c>
      <c r="AL35" s="368">
        <f t="array" ref="AL35">_xlfn.LET(
_xlpm.data,_xlfn._xlws.FILTER(
Table9[Private Sector Revenues Generated (USD) / Project cost],
ISNUMBER(Table9[Private Sector Revenues Generated (USD) / Project cost])*
(Table9[Private Sector Revenues Generated (USD) / Project cost]&gt;0)*
ISNUMBER(SEARCH("food security &amp; resilience",Table9[Primary Objective]))
),
_xlpm.med,MEDIAN(_xlpm.data),
_xlpm.mad,MEDIAN(ABS(_xlpm.data-_xlpm.med)),
SUMPRODUCT(--(ABS(_xlpm.data-_xlpm.med)&gt;2.5*_xlpm.mad))/COUNT(_xlpm.data)
)</f>
        <v>0.2</v>
      </c>
      <c r="AM35" s="231">
        <f t="array" ref="AM35">_xlfn.LET(
_xlpm.data,_xlfn._xlws.FILTER(
Table9[Private Sector Revenues Generated (USD) / Project cost],
ISNUMBER(Table9[Private Sector Revenues Generated (USD) / Project cost])*
(Table9[Private Sector Revenues Generated (USD) / Project cost]&gt;0)*
ISNUMBER(SEARCH("food security &amp; resilience",Table9[Primary Objective]))
),
_xlpm.med,MEDIAN(_xlpm.data),
_xlpm.mad,MEDIAN(ABS(_xlpm.data-_xlpm.med)),
SUMPRODUCT(--(ABS(_xlpm.data-_xlpm.med)&gt;2.5*_xlpm.mad))
)</f>
        <v>7</v>
      </c>
      <c r="AN35" s="379">
        <f t="array" ref="AN35">_xlfn.LET(
_xlpm.data,_xlfn._xlws.FILTER(
Table9[Private Sector Revenues Generated (USD) / Project cost],
ISNUMBER(Table9[Private Sector Revenues Generated (USD) / Project cost])*
(Table9[Private Sector Revenues Generated (USD) / Project cost]&gt;0)*
ISNUMBER(SEARCH("food security &amp; resilience",Table9[Primary Objective]))
),
_xlpm.med,MEDIAN(_xlpm.data),
_xlpm.mad,MEDIAN(ABS(_xlpm.data-_xlpm.med)),
AVERAGE(_xlfn._xlws.FILTER(_xlpm.data,ABS(_xlpm.data-_xlpm.med)&lt;=2.5*_xlpm.mad))
)</f>
        <v>0.96437710193991266</v>
      </c>
      <c r="AO35" s="233">
        <f>AI35-AM35</f>
        <v>28</v>
      </c>
      <c r="AP35" s="191"/>
      <c r="AQ35" s="378">
        <f t="array" ref="AQ35">MEDIAN(
_xlfn._xlws.FILTER(
Table9[Export Revenue Generated (USD) /Project Cost],
ISNUMBER(Table9[Export Revenue Generated (USD) /Project Cost])*
(Table9[Export Revenue Generated (USD) /Project Cost]&gt;0)*
ISNUMBER(SEARCH("food security &amp; resilience",Table9[Primary Objective]))
)
)</f>
        <v>0.15241991711229946</v>
      </c>
      <c r="AR35" s="379">
        <f t="array" ref="AR35">AVERAGE(
_xlfn._xlws.FILTER(
Table9[Export Revenue Generated (USD) /Project Cost],
ISNUMBER(Table9[Export Revenue Generated (USD) /Project Cost])*
(Table9[Export Revenue Generated (USD) /Project Cost]&gt;0)*
ISNUMBER(SEARCH("food security &amp; resilience",Table9[Primary Objective]))
)
)</f>
        <v>9.864328057889761</v>
      </c>
      <c r="AS35" s="231">
        <f>COUNTIFS(
Table9[Export Revenue Generated (USD) /Project Cost],"&gt;0",
Table9[Primary Objective],"*food security &amp; resilience*"
)</f>
        <v>10</v>
      </c>
      <c r="AT35" s="379">
        <f t="array" ref="AT35">_xlfn.LET(
_xlpm.data,_xlfn._xlws.FILTER(
Table9[Export Revenue Generated (USD) /Project Cost],
ISNUMBER(Table9[Export Revenue Generated (USD) /Project Cost])*
(Table9[Export Revenue Generated (USD) /Project Cost]&gt;0)*
ISNUMBER(SEARCH("food security &amp; resilience",Table9[Primary Objective]))
),
MEDIAN(ABS(_xlpm.data-MEDIAN(_xlpm.data)))
)</f>
        <v>0.13390761819735914</v>
      </c>
      <c r="AU35" s="368">
        <f>AT35/AQ35</f>
        <v>0.87854409538025868</v>
      </c>
      <c r="AV35" s="368">
        <f t="array" ref="AV35">_xlfn.LET(
_xlpm.data,_xlfn._xlws.FILTER(
Table9[Export Revenue Generated (USD) /Project Cost],
ISNUMBER(Table9[Export Revenue Generated (USD) /Project Cost])*
(Table9[Export Revenue Generated (USD) /Project Cost]&gt;0)*
ISNUMBER(SEARCH("food security &amp; resilience",Table9[Primary Objective]))
),
_xlpm.med,MEDIAN(_xlpm.data),
_xlpm.mad,MEDIAN(ABS(_xlpm.data-_xlpm.med)),
SUMPRODUCT(--(ABS(_xlpm.data-_xlpm.med)&gt;2.5*_xlpm.mad))/COUNT(_xlpm.data)
)</f>
        <v>0.3</v>
      </c>
      <c r="AW35" s="231">
        <f t="array" ref="AW35">_xlfn.LET(
_xlpm.data,_xlfn._xlws.FILTER(
Table9[Export Revenue Generated (USD) /Project Cost],
ISNUMBER(Table9[Export Revenue Generated (USD) /Project Cost])*
(Table9[Export Revenue Generated (USD) /Project Cost]&gt;0)*
ISNUMBER(SEARCH("food security &amp; resilience",Table9[Primary Objective]))
),
_xlpm.med,MEDIAN(_xlpm.data),
_xlpm.mad,MEDIAN(ABS(_xlpm.data-_xlpm.med)),
SUMPRODUCT(--(ABS(_xlpm.data-_xlpm.med)&gt;2.5*_xlpm.mad))
)</f>
        <v>3</v>
      </c>
      <c r="AX35" s="379">
        <f t="array" ref="AX35">_xlfn.LET(
_xlpm.data,_xlfn._xlws.FILTER(
Table9[Export Revenue Generated (USD) /Project Cost],
ISNUMBER(Table9[Export Revenue Generated (USD) /Project Cost])*
(Table9[Export Revenue Generated (USD) /Project Cost]&gt;0)*
ISNUMBER(SEARCH("food security &amp; resilience",Table9[Primary Objective]))
),
_xlpm.med,MEDIAN(_xlpm.data),
_xlpm.mad,MEDIAN(ABS(_xlpm.data-_xlpm.med)),
AVERAGE(_xlfn._xlws.FILTER(_xlpm.data,ABS(_xlpm.data-_xlpm.med)&lt;=2.5*_xlpm.mad))
)</f>
        <v>0.12749689733783112</v>
      </c>
      <c r="AY35" s="233">
        <f>AS35-AW35</f>
        <v>7</v>
      </c>
      <c r="AZ35" s="142"/>
      <c r="BA35" s="202"/>
      <c r="BB35" s="202"/>
      <c r="BC35" s="15"/>
      <c r="BD35" s="15"/>
      <c r="BE35" s="15"/>
      <c r="BF35" s="15"/>
      <c r="BG35" s="15"/>
      <c r="BH35" s="15"/>
      <c r="BI35" s="15"/>
      <c r="BJ35" s="15"/>
      <c r="BK35" s="15"/>
      <c r="BL35" s="15"/>
      <c r="BM35" s="15"/>
      <c r="BN35" s="15"/>
      <c r="BO35" s="15"/>
      <c r="BP35" s="15"/>
      <c r="BQ35" s="15"/>
      <c r="BR35" s="15"/>
      <c r="BS35" s="15"/>
      <c r="BT35" s="15"/>
      <c r="BU35" s="202"/>
      <c r="BV35" s="202"/>
      <c r="BW35" s="15"/>
      <c r="BX35" s="15"/>
      <c r="BY35" s="15"/>
      <c r="BZ35" s="15"/>
      <c r="CA35" s="15"/>
      <c r="CB35" s="15"/>
      <c r="CC35" s="15"/>
      <c r="CD35" s="15"/>
      <c r="CE35" s="15"/>
      <c r="CF35" s="15"/>
      <c r="CG35" s="15"/>
      <c r="CH35" s="15"/>
      <c r="CI35" s="15"/>
      <c r="CJ35" s="15"/>
      <c r="CK35" s="15"/>
      <c r="CL35" s="15"/>
      <c r="CM35" s="15"/>
      <c r="CN35" s="135"/>
      <c r="CO35" s="203"/>
      <c r="CP35" s="203"/>
      <c r="CQ35" s="15"/>
      <c r="CR35" s="15"/>
      <c r="CS35" s="15"/>
      <c r="CT35" s="15"/>
      <c r="CU35" s="15"/>
      <c r="CV35" s="15"/>
      <c r="CW35" s="15"/>
    </row>
    <row r="37" spans="2:101" ht="31.9" customHeight="1" x14ac:dyDescent="0.25">
      <c r="B37" s="330" t="s">
        <v>707</v>
      </c>
      <c r="C37" s="528" t="s">
        <v>622</v>
      </c>
      <c r="D37" s="529"/>
      <c r="F37" s="533" t="s">
        <v>654</v>
      </c>
      <c r="G37" s="515"/>
      <c r="I37" s="533" t="s">
        <v>623</v>
      </c>
      <c r="J37" s="515"/>
      <c r="M37" s="533" t="s">
        <v>624</v>
      </c>
      <c r="N37" s="515"/>
      <c r="P37" s="533" t="s">
        <v>562</v>
      </c>
      <c r="Q37" s="515"/>
    </row>
    <row r="38" spans="2:101" ht="25.9" customHeight="1" x14ac:dyDescent="0.25">
      <c r="B38" s="201" t="s">
        <v>627</v>
      </c>
      <c r="C38" s="200" t="s">
        <v>628</v>
      </c>
      <c r="D38" s="357" t="s">
        <v>698</v>
      </c>
      <c r="F38" s="200" t="s">
        <v>628</v>
      </c>
      <c r="G38" s="357" t="s">
        <v>698</v>
      </c>
      <c r="I38" s="200" t="s">
        <v>628</v>
      </c>
      <c r="J38" s="357" t="s">
        <v>698</v>
      </c>
      <c r="M38" s="200" t="s">
        <v>628</v>
      </c>
      <c r="N38" s="357" t="s">
        <v>698</v>
      </c>
      <c r="P38" s="200" t="s">
        <v>628</v>
      </c>
      <c r="Q38" s="357" t="s">
        <v>698</v>
      </c>
    </row>
    <row r="39" spans="2:101" ht="27" customHeight="1" x14ac:dyDescent="0.25">
      <c r="B39" s="372" t="s">
        <v>631</v>
      </c>
      <c r="C39" s="202">
        <f>C4</f>
        <v>189.99599231861066</v>
      </c>
      <c r="D39" s="202">
        <f>J4</f>
        <v>193.20709578774699</v>
      </c>
      <c r="F39" s="203">
        <f>M4</f>
        <v>2.5295999999999999E-2</v>
      </c>
      <c r="G39" s="203">
        <f>T4</f>
        <v>1.9804711722936529E-2</v>
      </c>
      <c r="I39" s="203">
        <f>W4</f>
        <v>0.43977591240875907</v>
      </c>
      <c r="J39" s="203">
        <f>AD4</f>
        <v>0.42706102368504933</v>
      </c>
      <c r="M39" s="203">
        <f>AG4</f>
        <v>1.33125</v>
      </c>
      <c r="N39" s="203">
        <f>AN4</f>
        <v>1.0470640789475101</v>
      </c>
      <c r="P39" s="203">
        <f>AQ4</f>
        <v>0.12824730379810756</v>
      </c>
      <c r="Q39" s="203">
        <f>AX4</f>
        <v>0.1029357100877261</v>
      </c>
    </row>
    <row r="40" spans="2:101" x14ac:dyDescent="0.25">
      <c r="B40" s="373" t="s">
        <v>700</v>
      </c>
      <c r="C40" s="373"/>
      <c r="D40" s="373"/>
      <c r="F40" s="373"/>
      <c r="G40" s="373"/>
      <c r="I40" s="373"/>
      <c r="J40" s="373"/>
      <c r="M40" s="373"/>
      <c r="N40" s="373"/>
      <c r="P40" s="373"/>
      <c r="Q40" s="373"/>
    </row>
    <row r="41" spans="2:101" x14ac:dyDescent="0.25">
      <c r="B41" s="206" t="s">
        <v>633</v>
      </c>
      <c r="C41" s="202">
        <f>C6</f>
        <v>125.03383604055691</v>
      </c>
      <c r="D41" s="202">
        <f>J6</f>
        <v>101.12335105001353</v>
      </c>
      <c r="F41" s="203">
        <f>M6</f>
        <v>2.4128012820512822E-2</v>
      </c>
      <c r="G41" s="203">
        <f>T6</f>
        <v>1.7921764853599875E-2</v>
      </c>
      <c r="I41" s="203">
        <f>W6</f>
        <v>0.30848466448692158</v>
      </c>
      <c r="J41" s="203">
        <f>AD6</f>
        <v>0.2483186867653196</v>
      </c>
      <c r="M41" s="203">
        <f>AG6</f>
        <v>1.33125</v>
      </c>
      <c r="N41" s="203">
        <f>AN6</f>
        <v>0.99383734268372981</v>
      </c>
      <c r="P41" s="203">
        <f>AQ6</f>
        <v>0.10208563993256134</v>
      </c>
      <c r="Q41" s="203">
        <f>AX6</f>
        <v>7.5771497720443726E-2</v>
      </c>
    </row>
    <row r="42" spans="2:101" x14ac:dyDescent="0.25">
      <c r="B42" s="332" t="s">
        <v>708</v>
      </c>
      <c r="C42" s="202">
        <f>C7</f>
        <v>188.1985</v>
      </c>
      <c r="D42" s="202">
        <f>J7</f>
        <v>167.19729270301286</v>
      </c>
      <c r="F42" s="203">
        <f>M7</f>
        <v>2.5112285714285712E-2</v>
      </c>
      <c r="G42" s="203">
        <f>T7</f>
        <v>1.9480934733675261E-2</v>
      </c>
      <c r="I42" s="203">
        <f>W7</f>
        <v>0.41538795620437952</v>
      </c>
      <c r="J42" s="203">
        <f>AD7</f>
        <v>0.37416424271518844</v>
      </c>
      <c r="M42" s="203">
        <f>AG7</f>
        <v>1.4209120090634442</v>
      </c>
      <c r="N42" s="203">
        <f>AN7</f>
        <v>1.1402152485878676</v>
      </c>
      <c r="P42" s="203">
        <f>AQ7</f>
        <v>0.1122911370079798</v>
      </c>
      <c r="Q42" s="203">
        <f>AX7</f>
        <v>7.5771497720443726E-2</v>
      </c>
    </row>
    <row r="43" spans="2:101" x14ac:dyDescent="0.25">
      <c r="B43" s="206" t="s">
        <v>634</v>
      </c>
      <c r="C43" s="202">
        <f>C8</f>
        <v>524.57566534914361</v>
      </c>
      <c r="D43" s="202">
        <f>J8</f>
        <v>441.96749303736613</v>
      </c>
      <c r="F43" s="203">
        <f>M8</f>
        <v>2.6817859755640938E-2</v>
      </c>
      <c r="G43" s="203">
        <f>T8</f>
        <v>2.4337589572594295E-2</v>
      </c>
      <c r="I43" s="203">
        <f>W8</f>
        <v>0.52782178217821785</v>
      </c>
      <c r="J43" s="203">
        <f>AD8</f>
        <v>0.66207604760951688</v>
      </c>
      <c r="M43" s="203">
        <f>AG8</f>
        <v>1.0723423999999999</v>
      </c>
      <c r="N43" s="203">
        <f>AN8</f>
        <v>1.0159725094059406</v>
      </c>
      <c r="P43" s="203">
        <f>AQ8</f>
        <v>79.736000000000004</v>
      </c>
      <c r="Q43" s="203">
        <f>AX8</f>
        <v>79.736000000000004</v>
      </c>
    </row>
    <row r="44" spans="2:101" x14ac:dyDescent="0.25">
      <c r="B44" s="373" t="s">
        <v>635</v>
      </c>
      <c r="C44" s="373"/>
      <c r="D44" s="373"/>
      <c r="F44" s="373"/>
      <c r="G44" s="373"/>
      <c r="I44" s="373"/>
      <c r="J44" s="373"/>
      <c r="M44" s="373"/>
      <c r="N44" s="373"/>
      <c r="P44" s="373"/>
      <c r="Q44" s="373"/>
    </row>
    <row r="45" spans="2:101" x14ac:dyDescent="0.25">
      <c r="B45" s="206" t="s">
        <v>636</v>
      </c>
      <c r="C45" s="202" t="e">
        <f>C10</f>
        <v>#VALUE!</v>
      </c>
      <c r="D45" s="202">
        <f>J10</f>
        <v>343.72016293520738</v>
      </c>
      <c r="F45" s="203">
        <f>M10</f>
        <v>3.3591108910614828E-2</v>
      </c>
      <c r="G45" s="203">
        <f>T10</f>
        <v>1.9426895702907766E-2</v>
      </c>
      <c r="I45" s="203">
        <f>W10</f>
        <v>0.50501613647702559</v>
      </c>
      <c r="J45" s="203">
        <f>AD10</f>
        <v>0.39001075765135046</v>
      </c>
      <c r="M45" s="203">
        <f>AG10</f>
        <v>0.48617511520737328</v>
      </c>
      <c r="N45" s="203">
        <f>AN10</f>
        <v>0.20951711761037858</v>
      </c>
      <c r="P45" s="203">
        <f>AQ10</f>
        <v>0.24083813614185784</v>
      </c>
      <c r="Q45" s="203">
        <f>AX10</f>
        <v>0.24083813614185787</v>
      </c>
    </row>
    <row r="46" spans="2:101" x14ac:dyDescent="0.25">
      <c r="B46" s="206" t="s">
        <v>637</v>
      </c>
      <c r="C46" s="202" t="e">
        <f>C11</f>
        <v>#VALUE!</v>
      </c>
      <c r="D46" s="202">
        <f>J11</f>
        <v>110.64080922329943</v>
      </c>
      <c r="F46" s="203">
        <f>M11</f>
        <v>3.4613189173909979E-2</v>
      </c>
      <c r="G46" s="203">
        <f>T11</f>
        <v>3.3680765987567987E-2</v>
      </c>
      <c r="I46" s="203">
        <f>W11</f>
        <v>0.70857276000000002</v>
      </c>
      <c r="J46" s="203">
        <f>AD11</f>
        <v>0.68347033875225394</v>
      </c>
      <c r="M46" s="203">
        <f>AG11</f>
        <v>1.93865246449457</v>
      </c>
      <c r="N46" s="203">
        <f>AN11</f>
        <v>1.5287888899434554</v>
      </c>
      <c r="P46" s="203">
        <f>AQ11</f>
        <v>0.12625825324675324</v>
      </c>
      <c r="Q46" s="203">
        <f>AX11</f>
        <v>0.12625825324675324</v>
      </c>
    </row>
    <row r="47" spans="2:101" x14ac:dyDescent="0.25">
      <c r="B47" s="206" t="s">
        <v>638</v>
      </c>
      <c r="C47" s="202">
        <f>C12</f>
        <v>191.32203389830511</v>
      </c>
      <c r="D47" s="202">
        <f>J12</f>
        <v>214.44363945329894</v>
      </c>
      <c r="F47" s="203">
        <f>M12</f>
        <v>2.341663050893052E-2</v>
      </c>
      <c r="G47" s="203">
        <f>T12</f>
        <v>2.0185337129445851E-2</v>
      </c>
      <c r="I47" s="203">
        <f>W12</f>
        <v>0.30848466448692158</v>
      </c>
      <c r="J47" s="203">
        <f>AD12</f>
        <v>0.25102907132053359</v>
      </c>
      <c r="M47" s="203">
        <f>AG12</f>
        <v>1.0723423999999999</v>
      </c>
      <c r="N47" s="203">
        <f>AN12</f>
        <v>0.84977767775997204</v>
      </c>
      <c r="P47" s="203">
        <f>AQ12</f>
        <v>0.12824730379810756</v>
      </c>
      <c r="Q47" s="203">
        <f>AX12</f>
        <v>0.10502347458571984</v>
      </c>
    </row>
    <row r="48" spans="2:101" ht="15" customHeight="1" x14ac:dyDescent="0.25">
      <c r="B48" s="376" t="s">
        <v>639</v>
      </c>
      <c r="C48" s="374"/>
      <c r="D48" s="374"/>
      <c r="F48" s="373"/>
      <c r="G48" s="373"/>
      <c r="I48" s="373"/>
      <c r="J48" s="373"/>
      <c r="M48" s="373"/>
      <c r="N48" s="373"/>
      <c r="P48" s="373"/>
      <c r="Q48" s="373"/>
    </row>
    <row r="49" spans="2:17" x14ac:dyDescent="0.25">
      <c r="B49" s="332" t="s">
        <v>569</v>
      </c>
      <c r="C49" s="202">
        <f>C14</f>
        <v>108.65816765946225</v>
      </c>
      <c r="D49" s="202">
        <f>J14</f>
        <v>78.476919036384587</v>
      </c>
      <c r="F49" s="203">
        <f>M14</f>
        <v>1.8666992000736318E-2</v>
      </c>
      <c r="G49" s="203">
        <f>T14</f>
        <v>2.1521500998600163E-2</v>
      </c>
      <c r="I49" s="203">
        <f>W14</f>
        <v>0.2697065081379364</v>
      </c>
      <c r="J49" s="203">
        <f>AD14</f>
        <v>0.18838534009125088</v>
      </c>
      <c r="M49" s="203">
        <f>AG14</f>
        <v>0.68604651162790697</v>
      </c>
      <c r="N49" s="203">
        <f>AN14</f>
        <v>0.79243985376346848</v>
      </c>
      <c r="P49" s="203">
        <f>AQ14</f>
        <v>3.6333847829880667E-2</v>
      </c>
      <c r="Q49" s="203">
        <f>AX14</f>
        <v>3.6333847829880667E-2</v>
      </c>
    </row>
    <row r="50" spans="2:17" x14ac:dyDescent="0.25">
      <c r="B50" s="332" t="s">
        <v>658</v>
      </c>
      <c r="C50" s="202">
        <f>C15</f>
        <v>198.7638426627511</v>
      </c>
      <c r="D50" s="202">
        <f>J15</f>
        <v>217.63550829196475</v>
      </c>
      <c r="F50" s="203">
        <f>M15</f>
        <v>2.6056929877820469E-2</v>
      </c>
      <c r="G50" s="203">
        <f>T15</f>
        <v>2.1945071535214869E-2</v>
      </c>
      <c r="I50" s="203">
        <f>W15</f>
        <v>0.31970482897384311</v>
      </c>
      <c r="J50" s="203">
        <f>AD15</f>
        <v>0.27223122273315842</v>
      </c>
      <c r="M50" s="203">
        <f>AG15</f>
        <v>1.9327001256074459</v>
      </c>
      <c r="N50" s="203">
        <f>AN15</f>
        <v>1.4361326190379069</v>
      </c>
      <c r="P50" s="203">
        <f>AQ15</f>
        <v>9.1880142857142869E-2</v>
      </c>
      <c r="Q50" s="203">
        <f>AX15</f>
        <v>7.3882832622338926E-2</v>
      </c>
    </row>
    <row r="51" spans="2:17" x14ac:dyDescent="0.25">
      <c r="B51" s="332" t="s">
        <v>659</v>
      </c>
      <c r="C51" s="202">
        <f>C16</f>
        <v>270.83958837772394</v>
      </c>
      <c r="D51" s="202">
        <f>J16</f>
        <v>241.83368626197085</v>
      </c>
      <c r="F51" s="203">
        <f>M16</f>
        <v>3.923450788381494E-2</v>
      </c>
      <c r="G51" s="203">
        <f>T16</f>
        <v>4.0689375319343697E-2</v>
      </c>
      <c r="I51" s="203">
        <f>W16</f>
        <v>0.52782178217821785</v>
      </c>
      <c r="J51" s="203">
        <f>AD16</f>
        <v>0.48740605038359769</v>
      </c>
      <c r="M51" s="203">
        <f>AG16</f>
        <v>1.2038596491228071</v>
      </c>
      <c r="N51" s="203">
        <f>AN16</f>
        <v>0.97906527533860199</v>
      </c>
      <c r="P51" s="203">
        <f>AQ16</f>
        <v>0.39370681069663382</v>
      </c>
      <c r="Q51" s="203">
        <f>AX16</f>
        <v>0.24743156432833674</v>
      </c>
    </row>
    <row r="52" spans="2:17" x14ac:dyDescent="0.25">
      <c r="B52" s="332" t="s">
        <v>571</v>
      </c>
      <c r="C52" s="202">
        <f>C17</f>
        <v>310.31798831659512</v>
      </c>
      <c r="D52" s="202">
        <f>J17</f>
        <v>211.37865887773009</v>
      </c>
      <c r="F52" s="203">
        <f>M17</f>
        <v>1.5295037480412312E-2</v>
      </c>
      <c r="G52" s="203">
        <f>T17</f>
        <v>1.0522778610129948E-2</v>
      </c>
      <c r="I52" s="203">
        <f>W17</f>
        <v>1.133113833333333</v>
      </c>
      <c r="J52" s="203">
        <f>AD17</f>
        <v>0.6434649166666665</v>
      </c>
      <c r="M52" s="203">
        <f>AG17</f>
        <v>0.53767324166666663</v>
      </c>
      <c r="N52" s="203">
        <f>AN17</f>
        <v>0.53767324166666663</v>
      </c>
      <c r="P52" s="203" t="e" vm="38">
        <f>AQ17</f>
        <v>#VALUE!</v>
      </c>
      <c r="Q52" s="203" t="e" vm="38">
        <f>AX17</f>
        <v>#VALUE!</v>
      </c>
    </row>
    <row r="53" spans="2:17" x14ac:dyDescent="0.25">
      <c r="B53" s="373" t="s">
        <v>643</v>
      </c>
      <c r="C53" s="373"/>
      <c r="D53" s="373"/>
      <c r="F53" s="373"/>
      <c r="G53" s="373"/>
      <c r="I53" s="373"/>
      <c r="J53" s="373"/>
      <c r="M53" s="373"/>
      <c r="N53" s="373"/>
      <c r="P53" s="373"/>
      <c r="Q53" s="373"/>
    </row>
    <row r="54" spans="2:17" x14ac:dyDescent="0.25">
      <c r="B54" s="206" t="s">
        <v>586</v>
      </c>
      <c r="C54" s="202">
        <f>C19</f>
        <v>154.28601015043586</v>
      </c>
      <c r="D54" s="202">
        <f>J19</f>
        <v>159.72542083458265</v>
      </c>
      <c r="F54" s="203">
        <f>M19</f>
        <v>4.0204608987968862E-2</v>
      </c>
      <c r="G54" s="203">
        <f>T19</f>
        <v>2.6261486063480204E-2</v>
      </c>
      <c r="I54" s="203">
        <f>W19</f>
        <v>0.31970482897384311</v>
      </c>
      <c r="J54" s="203">
        <f>AD19</f>
        <v>0.29119939462637839</v>
      </c>
      <c r="M54" s="203">
        <f>AG19</f>
        <v>1.1209320865687951</v>
      </c>
      <c r="N54" s="203">
        <f>AN19</f>
        <v>0.9812408924125855</v>
      </c>
      <c r="P54" s="203">
        <f>AQ19</f>
        <v>0.10208563993256134</v>
      </c>
      <c r="Q54" s="203">
        <f>AX19</f>
        <v>0.11392918360264429</v>
      </c>
    </row>
    <row r="55" spans="2:17" x14ac:dyDescent="0.25">
      <c r="B55" s="206" t="s">
        <v>583</v>
      </c>
      <c r="C55" s="202">
        <f>C20</f>
        <v>191.32203389830511</v>
      </c>
      <c r="D55" s="202">
        <f>J20</f>
        <v>176.82506634490929</v>
      </c>
      <c r="F55" s="203">
        <f>M20</f>
        <v>2.6493124495294999E-2</v>
      </c>
      <c r="G55" s="203">
        <f>T20</f>
        <v>2.3891690454265181E-2</v>
      </c>
      <c r="I55" s="203">
        <f>W20</f>
        <v>0.48347128953771279</v>
      </c>
      <c r="J55" s="203">
        <f>AD20</f>
        <v>0.45013482465486071</v>
      </c>
      <c r="M55" s="203">
        <f>AG20</f>
        <v>1.959925063457816</v>
      </c>
      <c r="N55" s="203">
        <f>AN20</f>
        <v>1.266577466416499</v>
      </c>
      <c r="P55" s="203">
        <f>AQ20</f>
        <v>0.29210173529411765</v>
      </c>
      <c r="Q55" s="203">
        <f>AX20</f>
        <v>0.15530701710452899</v>
      </c>
    </row>
    <row r="56" spans="2:17" x14ac:dyDescent="0.25">
      <c r="B56" s="206" t="s">
        <v>589</v>
      </c>
      <c r="C56" s="202">
        <f>C21</f>
        <v>116.634423977346</v>
      </c>
      <c r="D56" s="202">
        <f>J21</f>
        <v>88.927485070643755</v>
      </c>
      <c r="F56" s="203">
        <f>M21</f>
        <v>8.0074098435085287E-3</v>
      </c>
      <c r="G56" s="203">
        <f>T21</f>
        <v>5.3804514356055244E-3</v>
      </c>
      <c r="I56" s="203">
        <f>W21</f>
        <v>0.97482539682539682</v>
      </c>
      <c r="J56" s="203">
        <f>AD21</f>
        <v>0.74640468125869674</v>
      </c>
      <c r="M56" s="203">
        <f>AG21</f>
        <v>0.8147368421052632</v>
      </c>
      <c r="N56" s="203">
        <f>AN21</f>
        <v>0.65143726657486856</v>
      </c>
      <c r="P56" s="203">
        <f>AQ21</f>
        <v>39.888838136141864</v>
      </c>
      <c r="Q56" s="203">
        <f>AX21</f>
        <v>39.888838136141857</v>
      </c>
    </row>
    <row r="57" spans="2:17" x14ac:dyDescent="0.25">
      <c r="B57" s="206" t="s">
        <v>597</v>
      </c>
      <c r="C57" s="202">
        <f>C22</f>
        <v>212.87799860937119</v>
      </c>
      <c r="D57" s="202">
        <f>J22</f>
        <v>232.91370595749353</v>
      </c>
      <c r="F57" s="203">
        <f>M22</f>
        <v>1.8363905735518514E-2</v>
      </c>
      <c r="G57" s="203">
        <f>T22</f>
        <v>2.1150299671132272E-2</v>
      </c>
      <c r="I57" s="203">
        <f>W22</f>
        <v>0.29404642185850494</v>
      </c>
      <c r="J57" s="203">
        <f>AD22</f>
        <v>0.21553145695419498</v>
      </c>
      <c r="M57" s="203">
        <f>AG22</f>
        <v>1.8035812692425064</v>
      </c>
      <c r="N57" s="203">
        <f>AN22</f>
        <v>1.8035812692425066</v>
      </c>
      <c r="P57" s="203" t="e" vm="38">
        <f>AQ22</f>
        <v>#VALUE!</v>
      </c>
      <c r="Q57" s="203" t="e" vm="38">
        <f>AX22</f>
        <v>#VALUE!</v>
      </c>
    </row>
    <row r="58" spans="2:17" x14ac:dyDescent="0.25">
      <c r="B58" s="373" t="s">
        <v>702</v>
      </c>
      <c r="C58" s="373"/>
      <c r="D58" s="373"/>
      <c r="F58" s="373"/>
      <c r="G58" s="373"/>
      <c r="I58" s="373"/>
      <c r="J58" s="373"/>
      <c r="M58" s="373"/>
      <c r="N58" s="373"/>
      <c r="P58" s="373"/>
      <c r="Q58" s="373"/>
    </row>
    <row r="59" spans="2:17" x14ac:dyDescent="0.25">
      <c r="B59" s="407" t="s">
        <v>703</v>
      </c>
      <c r="C59" s="202">
        <f>C24</f>
        <v>261.03095479055395</v>
      </c>
      <c r="D59" s="202">
        <f>J24</f>
        <v>276.58226598274604</v>
      </c>
      <c r="F59" s="203">
        <f>M24</f>
        <v>2.1857319389547651E-2</v>
      </c>
      <c r="G59" s="203">
        <f>T24</f>
        <v>1.7255451541505821E-2</v>
      </c>
      <c r="I59" s="203">
        <f>W24</f>
        <v>0.29726449999999999</v>
      </c>
      <c r="J59" s="203">
        <f>AD24</f>
        <v>0.26989244799009021</v>
      </c>
      <c r="M59" s="203">
        <f>AG24</f>
        <v>0.27511904761904765</v>
      </c>
      <c r="N59" s="203">
        <f>AN24</f>
        <v>0.17465274997965166</v>
      </c>
      <c r="P59" s="203">
        <f>AQ24</f>
        <v>3.6333847829880667E-2</v>
      </c>
      <c r="Q59" s="203">
        <f>AX24</f>
        <v>1.8512298914940332E-2</v>
      </c>
    </row>
    <row r="60" spans="2:17" x14ac:dyDescent="0.25">
      <c r="B60" s="407" t="s">
        <v>704</v>
      </c>
      <c r="C60" s="202">
        <f>C25</f>
        <v>247.04261754384419</v>
      </c>
      <c r="D60" s="202">
        <f>J25</f>
        <v>156.90842668420058</v>
      </c>
      <c r="F60" s="203">
        <f>M25</f>
        <v>9.9489920937024051E-2</v>
      </c>
      <c r="G60" s="203">
        <f>T25</f>
        <v>7.7653786077303236E-2</v>
      </c>
      <c r="I60" s="203">
        <f>W25</f>
        <v>0.25141106448692158</v>
      </c>
      <c r="J60" s="203">
        <f>AD25</f>
        <v>0.1833911079954508</v>
      </c>
      <c r="M60" s="203">
        <f>AG25</f>
        <v>1.9327001256074459</v>
      </c>
      <c r="N60" s="203">
        <f>AN25</f>
        <v>2.0201605716549067</v>
      </c>
      <c r="P60" s="203">
        <f>AQ25</f>
        <v>0.14420347058823529</v>
      </c>
      <c r="Q60" s="203">
        <f>AX25</f>
        <v>0.14420347058823529</v>
      </c>
    </row>
    <row r="61" spans="2:17" x14ac:dyDescent="0.25">
      <c r="B61" s="407" t="s">
        <v>705</v>
      </c>
      <c r="C61" s="202">
        <f>C26</f>
        <v>350.35714285714278</v>
      </c>
      <c r="D61" s="202">
        <f>J26</f>
        <v>400.82154224953797</v>
      </c>
      <c r="F61" s="203">
        <f>M26</f>
        <v>8.0657894736842109E-2</v>
      </c>
      <c r="G61" s="203">
        <f>T26</f>
        <v>6.1591796770617366E-2</v>
      </c>
      <c r="I61" s="203">
        <f>W26</f>
        <v>0.68600237051805535</v>
      </c>
      <c r="J61" s="203">
        <f>AD26</f>
        <v>0.60690639557495552</v>
      </c>
      <c r="M61" s="203">
        <f>AG26</f>
        <v>0.82296650717703346</v>
      </c>
      <c r="N61" s="203">
        <f>AN26</f>
        <v>0.75290243002258994</v>
      </c>
      <c r="P61" s="203">
        <f>AQ26</f>
        <v>1.340712426989807</v>
      </c>
      <c r="Q61" s="203">
        <f>AX26</f>
        <v>0.69925959883979449</v>
      </c>
    </row>
    <row r="62" spans="2:17" x14ac:dyDescent="0.25">
      <c r="B62" s="407" t="s">
        <v>706</v>
      </c>
      <c r="C62" s="202">
        <f>C27</f>
        <v>87.461244316931172</v>
      </c>
      <c r="D62" s="202">
        <f>J27</f>
        <v>75.354174530961473</v>
      </c>
      <c r="F62" s="203">
        <f>M27</f>
        <v>1.4928784258192673E-2</v>
      </c>
      <c r="G62" s="203">
        <f>T27</f>
        <v>1.4157635471086965E-2</v>
      </c>
      <c r="I62" s="203">
        <f>W27</f>
        <v>0.52136840328265355</v>
      </c>
      <c r="J62" s="203">
        <f>AD27</f>
        <v>0.54620031738909847</v>
      </c>
      <c r="M62" s="203">
        <f>AG27</f>
        <v>1.846845771728908</v>
      </c>
      <c r="N62" s="203">
        <f>AN27</f>
        <v>1.6250745576543071</v>
      </c>
      <c r="P62" s="203">
        <f>AQ27</f>
        <v>9.1394616883116897E-2</v>
      </c>
      <c r="Q62" s="203">
        <f>AX27</f>
        <v>7.4821835349983157E-2</v>
      </c>
    </row>
    <row r="63" spans="2:17" x14ac:dyDescent="0.25">
      <c r="B63" s="373" t="s">
        <v>644</v>
      </c>
      <c r="C63" s="373"/>
      <c r="D63" s="373"/>
      <c r="F63" s="373"/>
      <c r="G63" s="373"/>
      <c r="I63" s="373"/>
      <c r="J63" s="373"/>
      <c r="M63" s="373"/>
      <c r="N63" s="373"/>
      <c r="P63" s="373"/>
      <c r="Q63" s="373"/>
    </row>
    <row r="64" spans="2:17" x14ac:dyDescent="0.25">
      <c r="B64" s="206" t="s">
        <v>645</v>
      </c>
      <c r="C64" s="202">
        <f>C29</f>
        <v>132.465622476475</v>
      </c>
      <c r="D64" s="202">
        <f>J29</f>
        <v>93.455402460992175</v>
      </c>
      <c r="F64" s="203">
        <f>M29</f>
        <v>2.1857319389547651E-2</v>
      </c>
      <c r="G64" s="203">
        <f>T29</f>
        <v>1.8587579644245466E-2</v>
      </c>
      <c r="I64" s="203">
        <f>W29</f>
        <v>0.5274942244224422</v>
      </c>
      <c r="J64" s="203">
        <f>AD29</f>
        <v>0.50910058153198756</v>
      </c>
      <c r="M64" s="203">
        <f>AG29</f>
        <v>1.6775150232509577</v>
      </c>
      <c r="N64" s="203">
        <f>AN29</f>
        <v>1.2682050206300455</v>
      </c>
      <c r="P64" s="203">
        <f>AQ29</f>
        <v>0.34741362139326759</v>
      </c>
      <c r="Q64" s="203">
        <f>AX29</f>
        <v>0.20770347748492701</v>
      </c>
    </row>
    <row r="65" spans="2:17" x14ac:dyDescent="0.25">
      <c r="B65" s="206" t="s">
        <v>42</v>
      </c>
      <c r="C65" s="202" t="e">
        <f>C30</f>
        <v>#N/A</v>
      </c>
      <c r="D65" s="202">
        <f>J30</f>
        <v>240.56880647927716</v>
      </c>
      <c r="F65" s="203">
        <f>M30</f>
        <v>0.10487849853156572</v>
      </c>
      <c r="G65" s="203">
        <f>T30</f>
        <v>3.1752111139481093E-2</v>
      </c>
      <c r="I65" s="203">
        <f>W30</f>
        <v>0.26501766784452302</v>
      </c>
      <c r="J65" s="203">
        <f>AD30</f>
        <v>0.15455596198954852</v>
      </c>
      <c r="M65" s="203">
        <f>AG30</f>
        <v>0.48617511520737328</v>
      </c>
      <c r="N65" s="203">
        <f>AN30</f>
        <v>0.48707640707608274</v>
      </c>
      <c r="P65" s="203">
        <f>AQ30</f>
        <v>3.6333847829880667E-2</v>
      </c>
      <c r="Q65" s="203">
        <f>AX30</f>
        <v>4.4627247193539832E-2</v>
      </c>
    </row>
    <row r="66" spans="2:17" x14ac:dyDescent="0.25">
      <c r="B66" s="206" t="s">
        <v>240</v>
      </c>
      <c r="C66" s="202" t="e">
        <f>C31</f>
        <v>#N/A</v>
      </c>
      <c r="D66" s="202">
        <f>J31</f>
        <v>279.3977515521928</v>
      </c>
      <c r="F66" s="203" t="e" vm="38">
        <f>M31</f>
        <v>#VALUE!</v>
      </c>
      <c r="G66" s="203" t="e" vm="38">
        <f>T31</f>
        <v>#VALUE!</v>
      </c>
      <c r="I66" s="203" t="e" vm="38">
        <f>W31</f>
        <v>#VALUE!</v>
      </c>
      <c r="J66" s="203" t="e" vm="38">
        <f>AD31</f>
        <v>#VALUE!</v>
      </c>
      <c r="M66" s="203" t="e" vm="38">
        <f>AG31</f>
        <v>#VALUE!</v>
      </c>
      <c r="N66" s="203" t="e" vm="38">
        <f>AN31</f>
        <v>#VALUE!</v>
      </c>
      <c r="P66" s="203" t="e" vm="38">
        <f>AQ31</f>
        <v>#VALUE!</v>
      </c>
      <c r="Q66" s="203" t="e" vm="38">
        <f>AX31</f>
        <v>#VALUE!</v>
      </c>
    </row>
    <row r="67" spans="2:17" ht="15" customHeight="1" x14ac:dyDescent="0.25">
      <c r="B67" s="375" t="s">
        <v>646</v>
      </c>
      <c r="C67" s="373"/>
      <c r="D67" s="373"/>
      <c r="F67" s="373"/>
      <c r="G67" s="373"/>
      <c r="I67" s="373"/>
      <c r="J67" s="373"/>
      <c r="M67" s="373"/>
      <c r="N67" s="373"/>
      <c r="P67" s="373"/>
      <c r="Q67" s="373"/>
    </row>
    <row r="68" spans="2:17" x14ac:dyDescent="0.25">
      <c r="B68" s="206" t="s">
        <v>647</v>
      </c>
      <c r="C68" s="202">
        <f>C33</f>
        <v>285.22750050110238</v>
      </c>
      <c r="D68" s="202">
        <f>J33</f>
        <v>248.00016887164691</v>
      </c>
      <c r="F68" s="203">
        <f>M33</f>
        <v>2.5295999999999999E-2</v>
      </c>
      <c r="G68" s="203">
        <f>T33</f>
        <v>2.0102962624800894E-2</v>
      </c>
      <c r="I68" s="203">
        <f>W33</f>
        <v>0.81891687625434328</v>
      </c>
      <c r="J68" s="203">
        <f>AD33</f>
        <v>0.70459181377280466</v>
      </c>
      <c r="M68" s="203">
        <f>AG33</f>
        <v>1.9212935826045361</v>
      </c>
      <c r="N68" s="203">
        <f>AN33</f>
        <v>1.3200447411983578</v>
      </c>
      <c r="P68" s="203">
        <f>AQ33</f>
        <v>0.10208563993256134</v>
      </c>
      <c r="Q68" s="203">
        <f>AX33</f>
        <v>7.4373766549661421E-2</v>
      </c>
    </row>
    <row r="69" spans="2:17" x14ac:dyDescent="0.25">
      <c r="B69" s="206" t="s">
        <v>648</v>
      </c>
      <c r="C69" s="202">
        <f>C34</f>
        <v>189.99599231861066</v>
      </c>
      <c r="D69" s="202">
        <f>J34</f>
        <v>193.20709578774699</v>
      </c>
      <c r="F69" s="203">
        <f>M34</f>
        <v>2.5295999999999999E-2</v>
      </c>
      <c r="G69" s="203">
        <f>T34</f>
        <v>1.9804711722936529E-2</v>
      </c>
      <c r="I69" s="203">
        <f>W34</f>
        <v>0.48221049077583339</v>
      </c>
      <c r="J69" s="203">
        <f>AD34</f>
        <v>0.47142979802855783</v>
      </c>
      <c r="M69" s="203">
        <f>AG34</f>
        <v>1.5105740181268881</v>
      </c>
      <c r="N69" s="203">
        <f>AN34</f>
        <v>1.1573244911209064</v>
      </c>
      <c r="P69" s="203">
        <f>AQ34</f>
        <v>0.14420347058823529</v>
      </c>
      <c r="Q69" s="203">
        <f>AX34</f>
        <v>0.13784480099681701</v>
      </c>
    </row>
    <row r="70" spans="2:17" x14ac:dyDescent="0.25">
      <c r="B70" s="206" t="s">
        <v>649</v>
      </c>
      <c r="C70" s="202">
        <f>C35</f>
        <v>191.32203389830511</v>
      </c>
      <c r="D70" s="202">
        <f>J35</f>
        <v>172.50796991015258</v>
      </c>
      <c r="F70" s="203">
        <f>M35</f>
        <v>2.5112285714285712E-2</v>
      </c>
      <c r="G70" s="203">
        <f>T35</f>
        <v>1.7656744690355507E-2</v>
      </c>
      <c r="I70" s="203">
        <f>W35</f>
        <v>0.28582992421567488</v>
      </c>
      <c r="J70" s="203">
        <f>AD35</f>
        <v>0.27556891442119158</v>
      </c>
      <c r="M70" s="203">
        <f>AG35</f>
        <v>1.33125</v>
      </c>
      <c r="N70" s="203">
        <f>AN35</f>
        <v>0.96437710193991266</v>
      </c>
      <c r="P70" s="203">
        <f>AQ35</f>
        <v>0.15241991711229946</v>
      </c>
      <c r="Q70" s="203">
        <f>AX35</f>
        <v>0.12749689733783112</v>
      </c>
    </row>
  </sheetData>
  <mergeCells count="15">
    <mergeCell ref="BU2:CC2"/>
    <mergeCell ref="CO2:CW2"/>
    <mergeCell ref="I37:J37"/>
    <mergeCell ref="P37:Q37"/>
    <mergeCell ref="CE2:CL2"/>
    <mergeCell ref="BK2:BS2"/>
    <mergeCell ref="AG2:AO2"/>
    <mergeCell ref="M37:N37"/>
    <mergeCell ref="BA2:BI2"/>
    <mergeCell ref="C37:D37"/>
    <mergeCell ref="W2:AE2"/>
    <mergeCell ref="C2:K2"/>
    <mergeCell ref="F37:G37"/>
    <mergeCell ref="AQ2:AY2"/>
    <mergeCell ref="M2:U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A87CD"/>
  </sheetPr>
  <dimension ref="B2:BT127"/>
  <sheetViews>
    <sheetView topLeftCell="A96" zoomScale="70" zoomScaleNormal="70" workbookViewId="0">
      <selection activeCell="H111" sqref="H111"/>
    </sheetView>
  </sheetViews>
  <sheetFormatPr defaultRowHeight="15" x14ac:dyDescent="0.25"/>
  <cols>
    <col min="1" max="1" width="16.28515625" customWidth="1"/>
    <col min="2" max="2" width="31" customWidth="1"/>
    <col min="3" max="3" width="11.7109375" bestFit="1" customWidth="1"/>
    <col min="4" max="4" width="13.28515625" customWidth="1"/>
    <col min="5" max="5" width="13.140625" customWidth="1"/>
    <col min="6" max="6" width="13.7109375" customWidth="1"/>
    <col min="7" max="9" width="11.28515625" customWidth="1"/>
    <col min="10" max="10" width="5.7109375" customWidth="1"/>
    <col min="11" max="11" width="29.42578125" customWidth="1"/>
    <col min="12" max="13" width="12.85546875" customWidth="1"/>
    <col min="14" max="18" width="11.85546875" customWidth="1"/>
    <col min="19" max="19" width="5.7109375" customWidth="1"/>
    <col min="20" max="20" width="30.42578125" customWidth="1"/>
    <col min="21" max="21" width="11.5703125" bestFit="1" customWidth="1"/>
    <col min="22" max="22" width="13" customWidth="1"/>
    <col min="23" max="27" width="10.5703125" customWidth="1"/>
    <col min="28" max="28" width="4.28515625" customWidth="1"/>
    <col min="29" max="29" width="29.28515625" customWidth="1"/>
    <col min="30" max="30" width="11.5703125" bestFit="1" customWidth="1"/>
    <col min="31" max="31" width="12.7109375" customWidth="1"/>
    <col min="32" max="36" width="11.42578125" customWidth="1"/>
    <col min="37" max="37" width="4.7109375" customWidth="1"/>
    <col min="38" max="38" width="29.28515625" customWidth="1"/>
    <col min="39" max="39" width="11.28515625" customWidth="1"/>
    <col min="40" max="40" width="12.7109375" bestFit="1" customWidth="1"/>
    <col min="41" max="45" width="10.42578125" customWidth="1"/>
    <col min="46" max="46" width="4.5703125" customWidth="1"/>
    <col min="47" max="47" width="30.28515625" customWidth="1"/>
    <col min="48" max="48" width="11" customWidth="1"/>
    <col min="49" max="49" width="12.42578125" customWidth="1"/>
    <col min="50" max="54" width="10.7109375" customWidth="1"/>
    <col min="55" max="55" width="4" customWidth="1"/>
    <col min="56" max="56" width="29.5703125" customWidth="1"/>
    <col min="57" max="57" width="11" customWidth="1"/>
    <col min="58" max="58" width="12.42578125" customWidth="1"/>
    <col min="59" max="63" width="10.140625" customWidth="1"/>
    <col min="64" max="64" width="3.7109375" customWidth="1"/>
    <col min="65" max="65" width="29.7109375" customWidth="1"/>
    <col min="66" max="66" width="9.85546875" customWidth="1"/>
    <col min="67" max="67" width="13" customWidth="1"/>
    <col min="68" max="68" width="11.5703125" customWidth="1"/>
    <col min="71" max="71" width="10.5703125" customWidth="1"/>
  </cols>
  <sheetData>
    <row r="2" spans="2:72" ht="45.6" customHeight="1" x14ac:dyDescent="0.25">
      <c r="B2" s="418" t="s">
        <v>621</v>
      </c>
      <c r="C2" s="513" t="s">
        <v>622</v>
      </c>
      <c r="D2" s="514"/>
      <c r="E2" s="514"/>
      <c r="F2" s="514"/>
      <c r="G2" s="514"/>
      <c r="H2" s="514"/>
      <c r="I2" s="515"/>
      <c r="J2" s="415"/>
      <c r="K2" s="211" t="s">
        <v>707</v>
      </c>
      <c r="L2" s="513" t="s">
        <v>709</v>
      </c>
      <c r="M2" s="514"/>
      <c r="N2" s="514"/>
      <c r="O2" s="514"/>
      <c r="P2" s="514"/>
      <c r="Q2" s="514"/>
      <c r="R2" s="515"/>
      <c r="S2" s="415"/>
      <c r="T2" s="211" t="s">
        <v>707</v>
      </c>
      <c r="U2" s="513" t="s">
        <v>710</v>
      </c>
      <c r="V2" s="514"/>
      <c r="W2" s="514"/>
      <c r="X2" s="514"/>
      <c r="Y2" s="514"/>
      <c r="Z2" s="514"/>
      <c r="AA2" s="515"/>
      <c r="AB2" s="415"/>
      <c r="AC2" s="211" t="s">
        <v>707</v>
      </c>
      <c r="AD2" s="513" t="s">
        <v>711</v>
      </c>
      <c r="AE2" s="514"/>
      <c r="AF2" s="514"/>
      <c r="AG2" s="514"/>
      <c r="AH2" s="514"/>
      <c r="AI2" s="514"/>
      <c r="AJ2" s="515"/>
      <c r="AK2" s="415"/>
      <c r="AL2" s="211" t="s">
        <v>707</v>
      </c>
      <c r="AM2" s="513" t="s">
        <v>712</v>
      </c>
      <c r="AN2" s="514"/>
      <c r="AO2" s="514"/>
      <c r="AP2" s="514"/>
      <c r="AQ2" s="514"/>
      <c r="AR2" s="514"/>
      <c r="AS2" s="515"/>
      <c r="AT2" s="415"/>
      <c r="AU2" s="211" t="s">
        <v>707</v>
      </c>
      <c r="AV2" s="513" t="s">
        <v>31</v>
      </c>
      <c r="AW2" s="514"/>
      <c r="AX2" s="514"/>
      <c r="AY2" s="514"/>
      <c r="AZ2" s="514"/>
      <c r="BA2" s="514"/>
      <c r="BB2" s="515"/>
      <c r="BC2" s="415"/>
      <c r="BD2" s="211" t="s">
        <v>707</v>
      </c>
      <c r="BE2" s="513" t="s">
        <v>33</v>
      </c>
      <c r="BF2" s="514"/>
      <c r="BG2" s="514"/>
      <c r="BH2" s="514"/>
      <c r="BI2" s="514"/>
      <c r="BJ2" s="514"/>
      <c r="BK2" s="515"/>
      <c r="BL2" s="415"/>
      <c r="BM2" s="211" t="s">
        <v>707</v>
      </c>
      <c r="BN2" s="513" t="s">
        <v>713</v>
      </c>
      <c r="BO2" s="514"/>
      <c r="BP2" s="514"/>
      <c r="BQ2" s="514"/>
      <c r="BR2" s="514"/>
      <c r="BS2" s="514"/>
      <c r="BT2" s="515"/>
    </row>
    <row r="3" spans="2:72" ht="57.6" customHeight="1" x14ac:dyDescent="0.25">
      <c r="B3" s="201" t="s">
        <v>627</v>
      </c>
      <c r="C3" s="201" t="s">
        <v>628</v>
      </c>
      <c r="D3" s="201" t="s">
        <v>629</v>
      </c>
      <c r="E3" s="201" t="s">
        <v>630</v>
      </c>
      <c r="F3" s="201" t="s">
        <v>696</v>
      </c>
      <c r="G3" s="201" t="s">
        <v>697</v>
      </c>
      <c r="H3" s="419" t="s">
        <v>698</v>
      </c>
      <c r="I3" s="419" t="s">
        <v>699</v>
      </c>
      <c r="J3" s="416"/>
      <c r="K3" s="201" t="s">
        <v>627</v>
      </c>
      <c r="L3" s="201" t="s">
        <v>628</v>
      </c>
      <c r="M3" s="201" t="s">
        <v>629</v>
      </c>
      <c r="N3" s="201" t="s">
        <v>630</v>
      </c>
      <c r="O3" s="201" t="s">
        <v>696</v>
      </c>
      <c r="P3" s="201" t="s">
        <v>697</v>
      </c>
      <c r="Q3" s="419" t="s">
        <v>698</v>
      </c>
      <c r="R3" s="419" t="s">
        <v>699</v>
      </c>
      <c r="S3" s="416"/>
      <c r="T3" s="201" t="s">
        <v>627</v>
      </c>
      <c r="U3" s="201" t="s">
        <v>628</v>
      </c>
      <c r="V3" s="201" t="s">
        <v>629</v>
      </c>
      <c r="W3" s="201" t="s">
        <v>630</v>
      </c>
      <c r="X3" s="201" t="s">
        <v>696</v>
      </c>
      <c r="Y3" s="201" t="s">
        <v>697</v>
      </c>
      <c r="Z3" s="419" t="s">
        <v>698</v>
      </c>
      <c r="AA3" s="419" t="s">
        <v>699</v>
      </c>
      <c r="AB3" s="416"/>
      <c r="AC3" s="201" t="s">
        <v>627</v>
      </c>
      <c r="AD3" s="201" t="s">
        <v>628</v>
      </c>
      <c r="AE3" s="201" t="s">
        <v>629</v>
      </c>
      <c r="AF3" s="201" t="s">
        <v>630</v>
      </c>
      <c r="AG3" s="201" t="s">
        <v>696</v>
      </c>
      <c r="AH3" s="201" t="s">
        <v>697</v>
      </c>
      <c r="AI3" s="419" t="s">
        <v>698</v>
      </c>
      <c r="AJ3" s="419" t="s">
        <v>699</v>
      </c>
      <c r="AK3" s="416"/>
      <c r="AL3" s="201" t="s">
        <v>627</v>
      </c>
      <c r="AM3" s="201" t="s">
        <v>628</v>
      </c>
      <c r="AN3" s="201" t="s">
        <v>629</v>
      </c>
      <c r="AO3" s="201" t="s">
        <v>630</v>
      </c>
      <c r="AP3" s="201" t="s">
        <v>696</v>
      </c>
      <c r="AQ3" s="201" t="s">
        <v>697</v>
      </c>
      <c r="AR3" s="419" t="s">
        <v>698</v>
      </c>
      <c r="AS3" s="419" t="s">
        <v>699</v>
      </c>
      <c r="AT3" s="416"/>
      <c r="AU3" s="201" t="s">
        <v>627</v>
      </c>
      <c r="AV3" s="201" t="s">
        <v>628</v>
      </c>
      <c r="AW3" s="201" t="s">
        <v>629</v>
      </c>
      <c r="AX3" s="201" t="s">
        <v>630</v>
      </c>
      <c r="AY3" s="201" t="s">
        <v>696</v>
      </c>
      <c r="AZ3" s="201" t="s">
        <v>697</v>
      </c>
      <c r="BA3" s="419" t="s">
        <v>698</v>
      </c>
      <c r="BB3" s="419" t="s">
        <v>699</v>
      </c>
      <c r="BC3" s="416"/>
      <c r="BD3" s="201" t="s">
        <v>627</v>
      </c>
      <c r="BE3" s="201" t="s">
        <v>628</v>
      </c>
      <c r="BF3" s="201" t="s">
        <v>629</v>
      </c>
      <c r="BG3" s="201" t="s">
        <v>630</v>
      </c>
      <c r="BH3" s="201" t="s">
        <v>696</v>
      </c>
      <c r="BI3" s="201" t="s">
        <v>697</v>
      </c>
      <c r="BJ3" s="419" t="s">
        <v>698</v>
      </c>
      <c r="BK3" s="419" t="s">
        <v>699</v>
      </c>
      <c r="BL3" s="416"/>
      <c r="BM3" s="201" t="s">
        <v>627</v>
      </c>
      <c r="BN3" s="201" t="s">
        <v>628</v>
      </c>
      <c r="BO3" s="201" t="s">
        <v>629</v>
      </c>
      <c r="BP3" s="201" t="s">
        <v>630</v>
      </c>
      <c r="BQ3" s="201" t="s">
        <v>696</v>
      </c>
      <c r="BR3" s="201" t="s">
        <v>697</v>
      </c>
      <c r="BS3" s="419" t="s">
        <v>698</v>
      </c>
      <c r="BT3" s="419" t="s">
        <v>699</v>
      </c>
    </row>
    <row r="4" spans="2:72" ht="28.15" customHeight="1" x14ac:dyDescent="0.25">
      <c r="B4" s="372" t="s">
        <v>631</v>
      </c>
      <c r="C4" s="217">
        <f t="array" ref="C4">MEDIAN(_xlfn._xlws.FILTER(Table9[Income per beneficiary (USD)], Table9[Income per beneficiary (USD)]&gt;0))</f>
        <v>189.99599231861066</v>
      </c>
      <c r="D4" s="217">
        <f t="array" ref="D4">AVERAGE(_xlfn._xlws.FILTER(Table9[Income per beneficiary (USD)], Table9[Income per beneficiary (USD)]&gt;0))</f>
        <v>446.14076697653491</v>
      </c>
      <c r="E4" s="218">
        <f>COUNTIFS(Table9[Income per beneficiary (USD)],"&gt;0")</f>
        <v>44</v>
      </c>
      <c r="F4" s="333">
        <f t="array" ref="F4">_xlfn.LET(
_xlpm.data,_xlfn._xlws.FILTER(Table9[Income per beneficiary (USD)],Table9[Income per beneficiary (USD)]&gt;0),
_xlpm.med,MEDIAN(_xlpm.data),
_xlpm.mad,MEDIAN(ABS(_xlpm.data-_xlpm.med)),
IF(_xlpm.mad=0,"N/A",
SUMPRODUCT(--(ABS(_xlpm.data-_xlpm.med)&gt;2.5*_xlpm.mad))/COUNT(_xlpm.data)
)
)</f>
        <v>0.20454545454545456</v>
      </c>
      <c r="G4" s="334">
        <f t="array" ref="G4">_xlfn.LET(
_xlpm.data,_xlfn._xlws.FILTER(Table9[Income per beneficiary (USD)],Table9[Income per beneficiary (USD)]&gt;0),
_xlpm.med,MEDIAN(_xlpm.data),
_xlpm.mad,MEDIAN(ABS(_xlpm.data-_xlpm.med)),
IF(_xlpm.mad=0,"N/A",
SUMPRODUCT(--(ABS(_xlpm.data-_xlpm.med)&gt;2.5*_xlpm.mad))
)
)</f>
        <v>9</v>
      </c>
      <c r="H4" s="336">
        <f t="array" ref="H4">_xlfn.LET(
_xlpm.data,_xlfn._xlws.FILTER(Table9[Income per beneficiary (USD)],Table9[Income per beneficiary (USD)]&gt;0),
_xlpm.med,MEDIAN(_xlpm.data),
_xlpm.mad,MEDIAN(ABS(_xlpm.data-_xlpm.med)),
IF(_xlpm.mad=0,"N/A",AVERAGE(_xlfn._xlws.FILTER(_xlpm.data,ABS(_xlpm.data-_xlpm.med)&lt;=2.5*_xlpm.mad)))
)</f>
        <v>193.20709578774699</v>
      </c>
      <c r="I4" s="336">
        <f>E4-G4</f>
        <v>35</v>
      </c>
      <c r="J4" s="408"/>
      <c r="K4" s="372" t="s">
        <v>631</v>
      </c>
      <c r="L4" s="335">
        <f t="array" ref="L4">MEDIAN(_xlfn._xlws.FILTER(Table9[Normalised Income Impact Ratio], Table9[Normalised Income Impact Ratio]&gt;0))</f>
        <v>2.5295999999999999E-2</v>
      </c>
      <c r="M4" s="335">
        <f t="array" ref="M4">AVERAGE(_xlfn._xlws.FILTER(Table9[Normalised Income Impact Ratio], Table9[Normalised Income Impact Ratio]&gt;0))</f>
        <v>7.5719240859744436E-2</v>
      </c>
      <c r="N4" s="336">
        <f>COUNTIFS(Table9[Normalised Income Impact Ratio],"&gt;0")</f>
        <v>43</v>
      </c>
      <c r="O4" s="333">
        <f t="array" ref="O4">_xlfn.LET(
_xlpm.data,_xlfn._xlws.FILTER(
Table9[Normalised Income Impact Ratio],
ISNUMBER(Table9[Normalised Income Impact Ratio])*
(Table9[Normalised Income Impact Ratio]&gt;0)
),
_xlpm.med,MEDIAN(_xlpm.data),
_xlpm.mad,MEDIAN(ABS(_xlpm.data-_xlpm.med)),
SUMPRODUCT(--(ABS(_xlpm.data-_xlpm.med)&gt;2.5*_xlpm.mad))/COUNT(_xlpm.data)
)</f>
        <v>0.30232558139534882</v>
      </c>
      <c r="P4" s="336">
        <f t="array" ref="P4">_xlfn.LET(
_xlpm.data,_xlfn._xlws.FILTER(
Table9[Normalised Income Impact Ratio],
ISNUMBER(Table9[Normalised Income Impact Ratio])*
(Table9[Normalised Income Impact Ratio]&gt;0)
),
_xlpm.med,MEDIAN(_xlpm.data),
_xlpm.mad,MEDIAN(ABS(_xlpm.data-_xlpm.med)),
SUMPRODUCT(--(ABS(_xlpm.data-_xlpm.med)&gt;2.5*_xlpm.mad))
)</f>
        <v>13</v>
      </c>
      <c r="Q4" s="335">
        <f t="array" ref="Q4">_xlfn.LET(
_xlpm.data,_xlfn._xlws.FILTER(
Table9[Normalised Income Impact Ratio],
ISNUMBER(Table9[Normalised Income Impact Ratio])*
(Table9[Normalised Income Impact Ratio]&gt;0)
),
_xlpm.med,MEDIAN(_xlpm.data),
_xlpm.mad,MEDIAN(ABS(_xlpm.data-_xlpm.med)),
AVERAGE(_xlfn._xlws.FILTER(_xlpm.data,ABS(_xlpm.data-_xlpm.med)&lt;=2.5*_xlpm.mad))
)</f>
        <v>1.9804711722936529E-2</v>
      </c>
      <c r="R4" s="336">
        <f>N4-P4</f>
        <v>30</v>
      </c>
      <c r="S4" s="408"/>
      <c r="T4" s="372" t="s">
        <v>631</v>
      </c>
      <c r="U4" s="219">
        <f t="array" ref="U4">MEDIAN(_xlfn._xlws.FILTER(Table9[Private Sector Investment (USD) / Project cost ], Table9[Private Sector Investment (USD) / Project cost ]&gt;0))</f>
        <v>0.43977591240875907</v>
      </c>
      <c r="V4" s="219">
        <f t="array" ref="V4">AVERAGE(_xlfn._xlws.FILTER(Table9[Private Sector Investment (USD) / Project cost ], Table9[Private Sector Investment (USD) / Project cost ]&gt;0))</f>
        <v>1.5074048678161964</v>
      </c>
      <c r="W4" s="218">
        <f>COUNTIFS(Table9[Private Sector Investment (USD) / Project cost ],"&gt;0")</f>
        <v>57</v>
      </c>
      <c r="X4" s="333">
        <f t="array" ref="X4">_xlfn.LET(
_xlpm.data,_xlfn._xlws.FILTER(
Table9[Private Sector Investment (USD) / Project cost ],
ISNUMBER(Table9[Private Sector Investment (USD) / Project cost ])*
(Table9[Private Sector Investment (USD) / Project cost ]&gt;0)
),
_xlpm.med,MEDIAN(_xlpm.data),
_xlpm.mad,MEDIAN(ABS(_xlpm.data-_xlpm.med)),
SUMPRODUCT(--(ABS(_xlpm.data-_xlpm.med)&gt;2.5*_xlpm.mad))/COUNT(_xlpm.data)
)</f>
        <v>0.19298245614035087</v>
      </c>
      <c r="Y4" s="218">
        <f t="array" ref="Y4">_xlfn.LET(
_xlpm.data,_xlfn._xlws.FILTER(
Table9[Private Sector Investment (USD) / Project cost ],
ISNUMBER(Table9[Private Sector Investment (USD) / Project cost ])*
(Table9[Private Sector Investment (USD) / Project cost ]&gt;0)
),
_xlpm.med,MEDIAN(_xlpm.data),
_xlpm.mad,MEDIAN(ABS(_xlpm.data-_xlpm.med)),
SUMPRODUCT(--(ABS(_xlpm.data-_xlpm.med)&gt;2.5*_xlpm.mad))
)</f>
        <v>11</v>
      </c>
      <c r="Z4" s="219">
        <f t="array" ref="Z4">_xlfn.LET(
_xlpm.data,_xlfn._xlws.FILTER(
Table9[Private Sector Investment (USD) / Project cost ],
ISNUMBER(Table9[Private Sector Investment (USD) / Project cost ])*
(Table9[Private Sector Investment (USD) / Project cost ]&gt;0)
),
_xlpm.med,MEDIAN(_xlpm.data),
_xlpm.mad,MEDIAN(ABS(_xlpm.data-_xlpm.med)),
AVERAGE(_xlfn._xlws.FILTER(_xlpm.data,ABS(_xlpm.data-_xlpm.med)&lt;=2.5*_xlpm.mad))
)</f>
        <v>0.42706102368504933</v>
      </c>
      <c r="AA4" s="218">
        <f>W4-Y4</f>
        <v>46</v>
      </c>
      <c r="AB4" s="194"/>
      <c r="AC4" s="372" t="s">
        <v>631</v>
      </c>
      <c r="AD4" s="219">
        <f t="array" ref="AD4">MEDIAN(_xlfn._xlws.FILTER(Table9[Private Sector Revenues Generated (USD) / Project cost],Table9[Private Sector Revenues Generated (USD) / Project cost]&gt;0))</f>
        <v>1.33125</v>
      </c>
      <c r="AE4" s="219">
        <f t="array" ref="AE4">AVERAGE(_xlfn._xlws.FILTER(Table9[Private Sector Revenues Generated (USD) / Project cost],Table9[Private Sector Revenues Generated (USD) / Project cost] &gt;0))</f>
        <v>2.91600401937513</v>
      </c>
      <c r="AF4" s="218">
        <f>COUNTIFS(Table9[Private Sector Revenues Generated (USD) / Project cost],"&gt;0")</f>
        <v>47</v>
      </c>
      <c r="AG4" s="333">
        <f t="array" ref="AG4">_xlfn.LET(_xlpm.data,_xlfn._xlws.FILTER(Table9[Private Sector Revenues Generated (USD) / Project cost],ISNUMBER(Table9[Private Sector Revenues Generated (USD) / Project cost])*(Table9[Private Sector Revenues Generated (USD) / Project cost]&gt;0)),_xlpm.med,MEDIAN(_xlpm.data),_xlpm.mad,MEDIAN(ABS(_xlpm.data-_xlpm.med)),SUMPRODUCT(--(ABS(_xlpm.data-_xlpm.med)&gt;2.5*_xlpm.mad))/COUNT(_xlpm.data))</f>
        <v>0.1702127659574468</v>
      </c>
      <c r="AH4" s="218">
        <f t="array" ref="AH4">_xlfn.LET(_xlpm.data,_xlfn._xlws.FILTER(Table9[Private Sector Revenues Generated (USD) / Project cost],ISNUMBER(Table9[Private Sector Revenues Generated (USD) / Project cost])*(Table9[Private Sector Revenues Generated (USD) / Project cost]&gt;0)),_xlpm.med,MEDIAN(_xlpm.data),_xlpm.mad,MEDIAN(ABS(_xlpm.data-_xlpm.med)),SUMPRODUCT(--(ABS(_xlpm.data-_xlpm.med)&gt;2.5*_xlpm.mad)))</f>
        <v>8</v>
      </c>
      <c r="AI4" s="219">
        <f t="array" ref="AI4">_xlfn.LET(_xlpm.data,_xlfn._xlws.FILTER(Table9[Private Sector Revenues Generated (USD) / Project cost],ISNUMBER(Table9[Private Sector Revenues Generated (USD) / Project cost])*(Table9[Private Sector Revenues Generated (USD) / Project cost]&gt;0)),_xlpm.med,MEDIAN(_xlpm.data),_xlpm.mad,MEDIAN(ABS(_xlpm.data-_xlpm.med)),AVERAGE(_xlfn._xlws.FILTER(_xlpm.data,ABS(_xlpm.data-_xlpm.med)&lt;=2.5*_xlpm.mad)))</f>
        <v>1.0470640789475101</v>
      </c>
      <c r="AJ4" s="218">
        <f>AF4-AH4</f>
        <v>39</v>
      </c>
      <c r="AK4" s="194"/>
      <c r="AL4" s="372" t="s">
        <v>631</v>
      </c>
      <c r="AM4" s="219">
        <f t="array" ref="AM4">MEDIAN(_xlfn._xlws.FILTER(Table9[Export Revenue Generated (USD) /Project Cost],Table9[Export Revenue Generated (USD) /Project Cost]&gt;0))</f>
        <v>0.12824730379810756</v>
      </c>
      <c r="AN4" s="219">
        <f t="array" ref="AN4">AVERAGE(_xlfn._xlws.FILTER(Table9[Export Revenue Generated (USD) /Project Cost],Table9[Export Revenue Generated (USD) /Project Cost] &gt;0))</f>
        <v>7.0871542427435754</v>
      </c>
      <c r="AO4" s="218">
        <f>COUNTIFS(Table9[Export Revenue Generated (USD) /Project Cost],"&gt;0")</f>
        <v>14</v>
      </c>
      <c r="AP4" s="333">
        <f t="array" ref="AP4">_xlfn.LET(
_xlpm.data,_xlfn._xlws.FILTER(
Table9[Export Revenue Generated (USD) /Project Cost],
ISNUMBER(Table9[Export Revenue Generated (USD) /Project Cost])*
(Table9[Export Revenue Generated (USD) /Project Cost]&gt;0)
),
_xlpm.med,MEDIAN(_xlpm.data),
_xlpm.mad,MEDIAN(ABS(_xlpm.data-_xlpm.med)),
SUMPRODUCT(--(ABS(_xlpm.data-_xlpm.med)&gt;2.5*_xlpm.mad))/COUNT(_xlpm.data)
)</f>
        <v>0.2857142857142857</v>
      </c>
      <c r="AQ4" s="218">
        <f t="array" ref="AQ4">_xlfn.LET(
_xlpm.data,_xlfn._xlws.FILTER(
Table9[Export Revenue Generated (USD) /Project Cost],
ISNUMBER(Table9[Export Revenue Generated (USD) /Project Cost])*
(Table9[Export Revenue Generated (USD) /Project Cost]&gt;0)
),
_xlpm.med,MEDIAN(_xlpm.data),
_xlpm.mad,MEDIAN(ABS(_xlpm.data-_xlpm.med)),
SUMPRODUCT(--(ABS(_xlpm.data-_xlpm.med)&gt;2.5*_xlpm.mad))
)</f>
        <v>4</v>
      </c>
      <c r="AR4" s="219">
        <f t="array" ref="AR4">_xlfn.LET(
_xlpm.data,_xlfn._xlws.FILTER(
Table9[Export Revenue Generated (USD) /Project Cost],
ISNUMBER(Table9[Export Revenue Generated (USD) /Project Cost])*
(Table9[Export Revenue Generated (USD) /Project Cost]&gt;0)
),
_xlpm.med,MEDIAN(_xlpm.data),
_xlpm.mad,MEDIAN(ABS(_xlpm.data-_xlpm.med)),
AVERAGE(_xlfn._xlws.FILTER(_xlpm.data,ABS(_xlpm.data-_xlpm.med)&lt;=2.5*_xlpm.mad))
)</f>
        <v>0.1029357100877261</v>
      </c>
      <c r="AS4" s="218">
        <f>AO4-AQ4</f>
        <v>10</v>
      </c>
      <c r="AT4" s="194"/>
      <c r="AU4" s="372" t="s">
        <v>631</v>
      </c>
      <c r="AV4" s="217">
        <f t="array" ref="AV4">MEDIAN(_xlfn._xlws.FILTER(Table9[Job created per $Mn], Table9[Job created per $Mn]&gt;0))</f>
        <v>279.67741935483872</v>
      </c>
      <c r="AW4" s="217">
        <f t="array" ref="AW4">AVERAGE(_xlfn._xlws.FILTER(Table9[Job created per $Mn], Table9[Job created per $Mn]&gt;0))</f>
        <v>924.7619645300764</v>
      </c>
      <c r="AX4" s="218">
        <f>COUNTIFS(Table9[Job created per $Mn],"&gt;0")</f>
        <v>41</v>
      </c>
      <c r="AY4" s="333">
        <f t="array" ref="AY4">_xlfn.LET(
_xlpm.data,_xlfn._xlws.FILTER(Table9[Job created per $Mn],Table9[Job created per $Mn]&gt;0),
_xlpm.med,MEDIAN(_xlpm.data),
_xlpm.mad,MEDIAN(ABS(_xlpm.data-_xlpm.med)),
IF(_xlpm.mad=0,"N/A",
SUMPRODUCT(--(ABS(_xlpm.data-_xlpm.med)&gt;2.5*_xlpm.mad))/COUNT(_xlpm.data)
)
)</f>
        <v>0.21951219512195122</v>
      </c>
      <c r="AZ4" s="334">
        <f t="array" ref="AZ4">_xlfn.LET(
_xlpm.data,_xlfn._xlws.FILTER(Table9[Job created per $Mn],Table9[Job created per $Mn]&gt;0),
_xlpm.med,MEDIAN(_xlpm.data),
_xlpm.mad,MEDIAN(ABS(_xlpm.data-_xlpm.med)),
IF(_xlpm.mad=0,"N/A",
SUMPRODUCT(--(ABS(_xlpm.data-_xlpm.med)&gt;2.5*_xlpm.mad))
)
)</f>
        <v>9</v>
      </c>
      <c r="BA4" s="217">
        <f t="array" ref="BA4">_xlfn.LET(
_xlpm.data,_xlfn._xlws.FILTER(Table9[Job created per $Mn],Table9[Job created per $Mn]&gt;0),
_xlpm.med,MEDIAN(_xlpm.data),
_xlpm.mad,MEDIAN(ABS(_xlpm.data-_xlpm.med)),
IF(_xlpm.mad=0,"N/A",AVERAGE(_xlfn._xlws.FILTER(_xlpm.data,ABS(_xlpm.data-_xlpm.med)&lt;=2.5*_xlpm.mad)))
)</f>
        <v>278.25100874351381</v>
      </c>
      <c r="BB4" s="217">
        <f>AX4-AZ4</f>
        <v>32</v>
      </c>
      <c r="BC4" s="423"/>
      <c r="BD4" s="372" t="s">
        <v>631</v>
      </c>
      <c r="BE4" s="217">
        <f t="array" ref="BE4">MEDIAN(_xlfn._xlws.FILTER(Table9[Job improved per $Mn], Table9[Job improved per $Mn]&gt;0))</f>
        <v>2120.75</v>
      </c>
      <c r="BF4" s="217">
        <f t="array" ref="BF4">AVERAGE(_xlfn._xlws.FILTER(Table9[Job improved per $Mn], Table9[Job improved per $Mn]&gt;0))</f>
        <v>5632.5087480889388</v>
      </c>
      <c r="BG4" s="218">
        <f>COUNTIFS(Table9[Job improved per $Mn],"&gt;0")</f>
        <v>65</v>
      </c>
      <c r="BH4" s="333">
        <f t="array" ref="BH4">_xlfn.LET(
_xlpm.data,
_xlfn._xlws.FILTER(
Table9[Job improved per $Mn],
ISNUMBER(Table9[Job improved per $Mn])*
(Table9[Job improved per $Mn]&gt;0)
),
_xlpm.med,
MEDIAN(_xlpm.data),
_xlpm.mad,
MEDIAN(ABS(_xlpm.data-_xlpm.med)),
SUMPRODUCT(--(ABS(_xlpm.data-_xlpm.med)&gt;2.5*_xlpm.mad))/COUNT(_xlpm.data)
)</f>
        <v>0.26153846153846155</v>
      </c>
      <c r="BI4" s="218">
        <f t="array" ref="BI4">_xlfn.LET(
_xlpm.data,
_xlfn._xlws.FILTER(
Table9[Job improved per $Mn],
ISNUMBER(Table9[Job improved per $Mn])*
(Table9[Job improved per $Mn]&gt;0)
),
_xlpm.med,
MEDIAN(_xlpm.data),
_xlpm.mad,
MEDIAN(ABS(_xlpm.data-_xlpm.med)),
SUMPRODUCT(--(ABS(_xlpm.data-_xlpm.med)&gt;2.5*_xlpm.mad))
)</f>
        <v>17</v>
      </c>
      <c r="BJ4" s="217">
        <f t="array" ref="BJ4">_xlfn.LET(
_xlpm.data,
_xlfn._xlws.FILTER(
Table9[Job improved per $Mn],
ISNUMBER(Table9[Job improved per $Mn])*
(Table9[Job improved per $Mn]&gt;0)
),
_xlpm.med,
MEDIAN(_xlpm.data),
_xlpm.mad,
MEDIAN(ABS(_xlpm.data-_xlpm.med)),
AVERAGE(
_xlfn._xlws.FILTER(
_xlpm.data,
ABS(_xlpm.data-_xlpm.med)&lt;=2.5*_xlpm.mad
)
)
)</f>
        <v>1922.269923714186</v>
      </c>
      <c r="BK4" s="218">
        <f>BG4-BI4</f>
        <v>48</v>
      </c>
      <c r="BL4" s="194"/>
      <c r="BM4" s="372" t="s">
        <v>631</v>
      </c>
      <c r="BN4" s="219">
        <f t="array" ref="BN4">MEDIAN(_xlfn._xlws.FILTER(Table9[Beneficiary Income (USD) / Project Cost],Table9[Beneficiary Income (USD) / Project Cost]&gt;0))</f>
        <v>1.1640735593775156</v>
      </c>
      <c r="BO4" s="219">
        <f t="array" ref="BO4">AVERAGE(_xlfn._xlws.FILTER(Table9[Beneficiary Income (USD) / Project Cost],Table9[Beneficiary Income (USD) / Project Cost]&gt;0))</f>
        <v>1.5762862058440392</v>
      </c>
      <c r="BP4" s="218">
        <f>COUNTIFS(Table9[Beneficiary Income (USD) / Project Cost],"&gt;0")</f>
        <v>44</v>
      </c>
      <c r="BQ4" s="333">
        <f t="array" ref="BQ4">_xlfn.LET(
_xlpm.data,
_xlfn._xlws.FILTER(
Table9[Beneficiary Income (USD) / Project Cost],
ISNUMBER(Table9[Beneficiary Income (USD) / Project Cost])*
(Table9[Beneficiary Income (USD) / Project Cost]&gt;0)
),
_xlpm.med,
MEDIAN(_xlpm.data),
_xlpm.mad,
MEDIAN(ABS(_xlpm.data-_xlpm.med)),
SUMPRODUCT(--(ABS(_xlpm.data-_xlpm.med)&gt;2.5*_xlpm.mad))/COUNT(_xlpm.data)
)</f>
        <v>0.13636363636363635</v>
      </c>
      <c r="BR4" s="218">
        <f t="array" ref="BR4">_xlfn.LET(
_xlpm.data,
_xlfn._xlws.FILTER(
Table9[Beneficiary Income (USD) / Project Cost],
ISNUMBER(Table9[Beneficiary Income (USD) / Project Cost])*
(Table9[Beneficiary Income (USD) / Project Cost]&gt;0)
),
_xlpm.med,
MEDIAN(_xlpm.data),
_xlpm.mad,
MEDIAN(ABS(_xlpm.data-_xlpm.med)),
SUMPRODUCT(--(ABS(_xlpm.data-_xlpm.med)&gt;2.5*_xlpm.mad))
)</f>
        <v>6</v>
      </c>
      <c r="BS4" s="219">
        <f t="array" ref="BS4">_xlfn.LET(
_xlpm.data,
_xlfn._xlws.FILTER(
Table9[Beneficiary Income (USD) / Project Cost],
ISNUMBER(Table9[Beneficiary Income (USD) / Project Cost])*
(Table9[Beneficiary Income (USD) / Project Cost]&gt;0)
),
_xlpm.med,
MEDIAN(_xlpm.data),
_xlpm.mad,
MEDIAN(ABS(_xlpm.data-_xlpm.med)),
AVERAGE(
_xlfn._xlws.FILTER(
_xlpm.data,
ABS(_xlpm.data-_xlpm.med)&lt;=2.5*_xlpm.mad
)
)
)</f>
        <v>1.0965579695765688</v>
      </c>
      <c r="BT4" s="218">
        <f>BP4-BR4</f>
        <v>38</v>
      </c>
    </row>
    <row r="5" spans="2:72" x14ac:dyDescent="0.25">
      <c r="B5" s="373" t="s">
        <v>700</v>
      </c>
      <c r="C5" s="373"/>
      <c r="D5" s="373"/>
      <c r="E5" s="373"/>
      <c r="F5" s="373"/>
      <c r="G5" s="373"/>
      <c r="H5" s="373"/>
      <c r="I5" s="373"/>
      <c r="J5" s="417"/>
      <c r="K5" s="373" t="s">
        <v>700</v>
      </c>
      <c r="L5" s="373"/>
      <c r="M5" s="373"/>
      <c r="N5" s="373"/>
      <c r="O5" s="420"/>
      <c r="P5" s="373"/>
      <c r="Q5" s="373"/>
      <c r="R5" s="373"/>
      <c r="S5" s="417"/>
      <c r="T5" s="373" t="s">
        <v>700</v>
      </c>
      <c r="U5" s="373"/>
      <c r="V5" s="373"/>
      <c r="W5" s="373"/>
      <c r="X5" s="373"/>
      <c r="Y5" s="373"/>
      <c r="Z5" s="373"/>
      <c r="AA5" s="373"/>
      <c r="AB5" s="417"/>
      <c r="AC5" s="373" t="s">
        <v>700</v>
      </c>
      <c r="AD5" s="373"/>
      <c r="AE5" s="373"/>
      <c r="AF5" s="373"/>
      <c r="AG5" s="373"/>
      <c r="AH5" s="373"/>
      <c r="AI5" s="373"/>
      <c r="AJ5" s="373"/>
      <c r="AK5" s="417"/>
      <c r="AL5" s="373" t="s">
        <v>700</v>
      </c>
      <c r="AM5" s="373"/>
      <c r="AN5" s="373"/>
      <c r="AO5" s="373"/>
      <c r="AP5" s="373"/>
      <c r="AQ5" s="373"/>
      <c r="AR5" s="373"/>
      <c r="AS5" s="373"/>
      <c r="AT5" s="417"/>
      <c r="AU5" s="373" t="s">
        <v>700</v>
      </c>
      <c r="AV5" s="373"/>
      <c r="AW5" s="373"/>
      <c r="AX5" s="373"/>
      <c r="AY5" s="373"/>
      <c r="AZ5" s="373"/>
      <c r="BA5" s="373"/>
      <c r="BB5" s="373"/>
      <c r="BC5" s="417"/>
      <c r="BD5" s="373" t="s">
        <v>700</v>
      </c>
      <c r="BE5" s="373"/>
      <c r="BF5" s="373"/>
      <c r="BG5" s="373"/>
      <c r="BH5" s="373"/>
      <c r="BI5" s="373"/>
      <c r="BJ5" s="373"/>
      <c r="BK5" s="373"/>
      <c r="BL5" s="417"/>
      <c r="BM5" s="373" t="s">
        <v>700</v>
      </c>
      <c r="BN5" s="373"/>
      <c r="BO5" s="373"/>
      <c r="BP5" s="373"/>
      <c r="BQ5" s="420"/>
      <c r="BR5" s="373"/>
      <c r="BS5" s="373"/>
      <c r="BT5" s="373"/>
    </row>
    <row r="6" spans="2:72" x14ac:dyDescent="0.25">
      <c r="B6" s="206" t="s">
        <v>714</v>
      </c>
      <c r="C6" s="202">
        <f t="array" ref="C6">MEDIAN(_xlfn._xlws.FILTER(Table9[Income per beneficiary (USD)],(Table9[Income per beneficiary (USD)]&gt;0)*(Table9[Sector]="Agriculture")))</f>
        <v>125.03383604055691</v>
      </c>
      <c r="D6" s="202">
        <f t="array" ref="D6">AVERAGE(_xlfn._xlws.FILTER(Table9[Income per beneficiary (USD)],(Table9[Income per beneficiary (USD)]&gt;0)*(Table9[Sector]="Agriculture")))</f>
        <v>282.55024083333819</v>
      </c>
      <c r="E6" s="15" t="e">
        <f>COUNTIFS(Table9[Income per beneficiary (USD)],"&gt;0",Table8[Sector],"Agriculture")</f>
        <v>#VALUE!</v>
      </c>
      <c r="F6" s="195">
        <f t="array" ref="F6">_xlfn.LET(
_xlpm.data,_xlfn._xlws.FILTER(
Table9[Income per beneficiary (USD)],
(Table9[Income per beneficiary (USD)]&gt;0)*
(Table9[Sector]="Agriculture")
),
_xlpm.med,MEDIAN(_xlpm.data),
_xlpm.mad,MEDIAN(ABS(_xlpm.data-_xlpm.med)),
SUMPRODUCT(--(ABS(_xlpm.data-_xlpm.med)&gt;2.5*_xlpm.mad))/COUNT(_xlpm.data)
)</f>
        <v>0.35294117647058826</v>
      </c>
      <c r="G6" s="345">
        <f t="array" ref="G6">_xlfn.LET(
_xlpm.data,_xlfn._xlws.FILTER(
Table9[Income per beneficiary (USD)],
(Table9[Income per beneficiary (USD)]&gt;0)*
(Table9[Sector]="Agriculture")
),
_xlpm.med,MEDIAN(_xlpm.data),
_xlpm.mad,MEDIAN(ABS(_xlpm.data-_xlpm.med)),
SUMPRODUCT(--(ABS(_xlpm.data-_xlpm.med)&gt;2.5*_xlpm.mad))
)</f>
        <v>12</v>
      </c>
      <c r="H6" s="202">
        <f t="array" ref="H6">_xlfn.LET(
_xlpm.data,_xlfn._xlws.FILTER(
Table9[Income per beneficiary (USD)],
(Table9[Income per beneficiary (USD)]&gt;0)*
(Table9[Sector]="Agriculture")
),
_xlpm.med,MEDIAN(_xlpm.data),
_xlpm.mad,MEDIAN(ABS(_xlpm.data-_xlpm.med)),
AVERAGE(_xlfn._xlws.FILTER(_xlpm.data,ABS(_xlpm.data-_xlpm.med)&lt;=2.5*_xlpm.mad))
)</f>
        <v>101.12335105001353</v>
      </c>
      <c r="I6" s="202" t="e">
        <f>E6-G6</f>
        <v>#VALUE!</v>
      </c>
      <c r="J6" s="130"/>
      <c r="K6" s="206" t="s">
        <v>714</v>
      </c>
      <c r="L6" s="203">
        <f t="array" ref="L6">MEDIAN(
_xlfn._xlws.FILTER(
Table9[Normalised Income Impact Ratio],
(Table9[Normalised Income Impact Ratio]&gt;0)*
(Table9[Sector]="Agriculture")
)
)</f>
        <v>2.4128012820512822E-2</v>
      </c>
      <c r="M6" s="203">
        <f t="array" ref="M6">AVERAGE(
_xlfn._xlws.FILTER(
Table9[Normalised Income Impact Ratio],
(Table9[Normalised Income Impact Ratio]&gt;0)*
(Table9[Sector]="Agriculture")
)
)</f>
        <v>6.6620341573174577E-2</v>
      </c>
      <c r="N6" s="202">
        <f>COUNTIFS(
Table9[Normalised Income Impact Ratio],"&gt;0",
Table9[Sector],"Agriculture"
)</f>
        <v>33</v>
      </c>
      <c r="O6" s="195">
        <f t="array" ref="O6">_xlfn.LET(
_xlpm.data,_xlfn._xlws.FILTER(
Table9[Normalised Income Impact Ratio],
ISNUMBER(Table9[Normalised Income Impact Ratio])*
(Table9[Normalised Income Impact Ratio]&gt;0)*
(Table9[Sector]="Agriculture")
),
_xlpm.med,MEDIAN(_xlpm.data),
_xlpm.mad,MEDIAN(ABS(_xlpm.data-_xlpm.med)),
SUMPRODUCT(--(ABS(_xlpm.data-_xlpm.med)&gt;2.5*_xlpm.mad))/COUNT(_xlpm.data)
)</f>
        <v>0.27272727272727271</v>
      </c>
      <c r="P6" s="202">
        <f t="array" ref="P6">_xlfn.LET(
_xlpm.data,_xlfn._xlws.FILTER(
Table9[Normalised Income Impact Ratio],
ISNUMBER(Table9[Normalised Income Impact Ratio])*
(Table9[Normalised Income Impact Ratio]&gt;0)*
(Table9[Sector]="Agriculture")
),
_xlpm.med,MEDIAN(_xlpm.data),
_xlpm.mad,MEDIAN(ABS(_xlpm.data-_xlpm.med)),
SUMPRODUCT(--(ABS(_xlpm.data-_xlpm.med)&gt;2.5*_xlpm.mad))
)</f>
        <v>9</v>
      </c>
      <c r="Q6" s="203">
        <f t="array" ref="Q6">_xlfn.LET(
_xlpm.data,_xlfn._xlws.FILTER(
Table9[Normalised Income Impact Ratio],
ISNUMBER(Table9[Normalised Income Impact Ratio])*
(Table9[Normalised Income Impact Ratio]&gt;0)*
(Table9[Sector]="Agriculture")
),
_xlpm.med,MEDIAN(_xlpm.data),
_xlpm.mad,MEDIAN(ABS(_xlpm.data-_xlpm.med)),
AVERAGE(_xlfn._xlws.FILTER(_xlpm.data,ABS(_xlpm.data-_xlpm.med)&lt;=2.5*_xlpm.mad))
)</f>
        <v>1.7921764853599875E-2</v>
      </c>
      <c r="R6" s="202">
        <f>N6-P6</f>
        <v>24</v>
      </c>
      <c r="S6" s="130"/>
      <c r="T6" s="206" t="s">
        <v>714</v>
      </c>
      <c r="U6" s="203">
        <f t="array" ref="U6">MEDIAN(
_xlfn._xlws.FILTER(
Table9[Private Sector Investment (USD) / Project cost ],
ISNUMBER(Table9[Private Sector Investment (USD) / Project cost ])*
(Table9[Private Sector Investment (USD) / Project cost ]&gt;0)*
(Table9[Sector]="Agriculture")
)
)</f>
        <v>0.30848466448692158</v>
      </c>
      <c r="V6" s="203">
        <f t="array" ref="V6">AVERAGE(
_xlfn._xlws.FILTER(
Table9[Private Sector Investment (USD) / Project cost ],
ISNUMBER(Table9[Private Sector Investment (USD) / Project cost ])*
(Table9[Private Sector Investment (USD) / Project cost ]&gt;0)*
(Table9[Sector]="Agriculture")
)
)</f>
        <v>0.89839690131901806</v>
      </c>
      <c r="W6" s="15">
        <f>COUNTIFS(
Table9[Private Sector Investment (USD) / Project cost ],"&gt;0",
Table9[Sector],"Agriculture"
)</f>
        <v>44</v>
      </c>
      <c r="X6" s="195">
        <f t="array" ref="X6">_xlfn.LET(
_xlpm.data,_xlfn._xlws.FILTER(
Table9[Private Sector Investment (USD) / Project cost ],
ISNUMBER(Table9[Private Sector Investment (USD) / Project cost ])*
(Table9[Private Sector Investment (USD) / Project cost ]&gt;0)*
(Table9[Sector]="Agriculture")
),
_xlpm.med,MEDIAN(_xlpm.data),
_xlpm.mad,MEDIAN(ABS(_xlpm.data-_xlpm.med)),
SUMPRODUCT(--(ABS(_xlpm.data-_xlpm.med)&gt;2.5*_xlpm.mad))/COUNT(_xlpm.data)
)</f>
        <v>0.29545454545454547</v>
      </c>
      <c r="Y6" s="15">
        <f t="array" ref="Y6">_xlfn.LET(
_xlpm.data,_xlfn._xlws.FILTER(
Table9[Private Sector Investment (USD) / Project cost ],
ISNUMBER(Table9[Private Sector Investment (USD) / Project cost ])*
(Table9[Private Sector Investment (USD) / Project cost ]&gt;0)*
(Table9[Sector]="Agriculture")
),
_xlpm.med,MEDIAN(_xlpm.data),
_xlpm.mad,MEDIAN(ABS(_xlpm.data-_xlpm.med)),
SUMPRODUCT(--(ABS(_xlpm.data-_xlpm.med)&gt;2.5*_xlpm.mad))
)</f>
        <v>13</v>
      </c>
      <c r="Z6" s="203">
        <f t="array" ref="Z6">_xlfn.LET(
_xlpm.data,_xlfn._xlws.FILTER(
Table9[Private Sector Investment (USD) / Project cost ],
ISNUMBER(Table9[Private Sector Investment (USD) / Project cost ])*
(Table9[Private Sector Investment (USD) / Project cost ]&gt;0)*
(Table9[Sector]="Agriculture")
),
_xlpm.med,MEDIAN(_xlpm.data),
_xlpm.mad,MEDIAN(ABS(_xlpm.data-_xlpm.med)),
AVERAGE(_xlfn._xlws.FILTER(_xlpm.data,ABS(_xlpm.data-_xlpm.med)&lt;=2.5*_xlpm.mad))
)</f>
        <v>0.2483186867653196</v>
      </c>
      <c r="AA6" s="15">
        <f>W6-Y6</f>
        <v>31</v>
      </c>
      <c r="AC6" s="206" t="s">
        <v>714</v>
      </c>
      <c r="AD6" s="203">
        <f t="array" ref="AD6">MEDIAN(
_xlfn._xlws.FILTER(
Table9[Private Sector Revenues Generated (USD) / Project cost],
ISNUMBER(Table9[Private Sector Revenues Generated (USD) / Project cost])*
(Table9[Private Sector Revenues Generated (USD) / Project cost]&gt;0)*
(Table9[Sector]="Agriculture")
)
)</f>
        <v>1.33125</v>
      </c>
      <c r="AE6" s="203">
        <f t="array" ref="AE6">AVERAGE(
_xlfn._xlws.FILTER(
Table9[Private Sector Revenues Generated (USD) / Project cost],
ISNUMBER(Table9[Private Sector Revenues Generated (USD) / Project cost])*
(Table9[Private Sector Revenues Generated (USD) / Project cost]&gt;0)*
(Table9[Sector]="Agriculture")
)
)</f>
        <v>2.9498192735519142</v>
      </c>
      <c r="AF6" s="15">
        <f>COUNTIFS(
Table9[Private Sector Revenues Generated (USD) / Project cost],"&gt;0",
Table9[Sector],"Agriculture"
)</f>
        <v>35</v>
      </c>
      <c r="AG6" s="195">
        <f t="array" ref="AG6">_xlfn.LET(
_xlpm.data,_xlfn._xlws.FILTER(
Table9[Private Sector Revenues Generated (USD) / Project cost],
ISNUMBER(Table9[Private Sector Revenues Generated (USD) / Project cost])*
(Table9[Private Sector Revenues Generated (USD) / Project cost]&gt;0)*
(Table9[Sector]="Agriculture")
),
_xlpm.med,MEDIAN(_xlpm.data),
_xlpm.mad,MEDIAN(ABS(_xlpm.data-_xlpm.med)),
SUMPRODUCT(--(ABS(_xlpm.data-_xlpm.med)&gt;2.5*_xlpm.mad))/COUNT(_xlpm.data)
)</f>
        <v>0.17142857142857143</v>
      </c>
      <c r="AH6" s="15">
        <f t="array" ref="AH6">_xlfn.LET(
_xlpm.data,_xlfn._xlws.FILTER(
Table9[Private Sector Revenues Generated (USD) / Project cost],
ISNUMBER(Table9[Private Sector Revenues Generated (USD) / Project cost])*
(Table9[Private Sector Revenues Generated (USD) / Project cost]&gt;0)*
(Table9[Sector]="Agriculture")
),
_xlpm.med,MEDIAN(_xlpm.data),
_xlpm.mad,MEDIAN(ABS(_xlpm.data-_xlpm.med)),
SUMPRODUCT(--(ABS(_xlpm.data-_xlpm.med)&gt;2.5*_xlpm.mad))
)</f>
        <v>6</v>
      </c>
      <c r="AI6" s="203">
        <f t="array" ref="AI6">_xlfn.LET(
_xlpm.data,_xlfn._xlws.FILTER(
Table9[Private Sector Revenues Generated (USD) / Project cost],
ISNUMBER(Table9[Private Sector Revenues Generated (USD) / Project cost])*
(Table9[Private Sector Revenues Generated (USD) / Project cost]&gt;0)*
(Table9[Sector]="Agriculture")
),
_xlpm.med,MEDIAN(_xlpm.data),
_xlpm.mad,MEDIAN(ABS(_xlpm.data-_xlpm.med)),
AVERAGE(_xlfn._xlws.FILTER(_xlpm.data,ABS(_xlpm.data-_xlpm.med)&lt;=2.5*_xlpm.mad))
)</f>
        <v>0.99383734268372981</v>
      </c>
      <c r="AJ6" s="15">
        <f>AF6-AH6</f>
        <v>29</v>
      </c>
      <c r="AL6" s="206" t="s">
        <v>714</v>
      </c>
      <c r="AM6" s="203">
        <f t="array" ref="AM6">MEDIAN(
_xlfn._xlws.FILTER(
Table9[Export Revenue Generated (USD) /Project Cost],
ISNUMBER(Table9[Export Revenue Generated (USD) /Project Cost])*
(Table9[Export Revenue Generated (USD) /Project Cost]&gt;0)*
(Table9[Sector]="Agriculture")
)
)</f>
        <v>0.10208563993256134</v>
      </c>
      <c r="AN6" s="203">
        <f t="array" ref="AN6">AVERAGE(
_xlfn._xlws.FILTER(
Table9[Export Revenue Generated (USD) /Project Cost],
ISNUMBER(Table9[Export Revenue Generated (USD) /Project Cost])*
(Table9[Export Revenue Generated (USD) /Project Cost]&gt;0)*
(Table9[Sector]="Agriculture")
)
)</f>
        <v>1.4136142423389002</v>
      </c>
      <c r="AO6" s="15">
        <f>COUNTIFS(
Table9[Export Revenue Generated (USD) /Project Cost],"&gt;0",
Table9[Sector],"Agriculture"
)</f>
        <v>12</v>
      </c>
      <c r="AP6" s="195">
        <f t="array" ref="AP6">_xlfn.LET(
_xlpm.data,_xlfn._xlws.FILTER(
Table9[Export Revenue Generated (USD) /Project Cost],
ISNUMBER(Table9[Export Revenue Generated (USD) /Project Cost])*
(Table9[Export Revenue Generated (USD) /Project Cost]&gt;0)*
(Table9[Sector]="Agriculture")
),
_xlpm.med,MEDIAN(_xlpm.data),
_xlpm.mad,MEDIAN(ABS(_xlpm.data-_xlpm.med)),
SUMPRODUCT(--(ABS(_xlpm.data-_xlpm.med)&gt;2.5*_xlpm.mad))/COUNT(_xlpm.data)
)</f>
        <v>0.25</v>
      </c>
      <c r="AQ6" s="15">
        <f t="array" ref="AQ6">_xlfn.LET(
_xlpm.data,_xlfn._xlws.FILTER(
Table9[Export Revenue Generated (USD) /Project Cost],
ISNUMBER(Table9[Export Revenue Generated (USD) /Project Cost])*
(Table9[Export Revenue Generated (USD) /Project Cost]&gt;0)*
(Table9[Sector]="Agriculture")
),
_xlpm.med,MEDIAN(_xlpm.data),
_xlpm.mad,MEDIAN(ABS(_xlpm.data-_xlpm.med)),
SUMPRODUCT(--(ABS(_xlpm.data-_xlpm.med)&gt;2.5*_xlpm.mad))
)</f>
        <v>3</v>
      </c>
      <c r="AR6" s="203">
        <f t="array" ref="AR6">_xlfn.LET(
_xlpm.data,_xlfn._xlws.FILTER(
Table9[Export Revenue Generated (USD) /Project Cost],
ISNUMBER(Table9[Export Revenue Generated (USD) /Project Cost])*
(Table9[Export Revenue Generated (USD) /Project Cost]&gt;0)*
(Table9[Sector]="Agriculture")
),
_xlpm.med,MEDIAN(_xlpm.data),
_xlpm.mad,MEDIAN(ABS(_xlpm.data-_xlpm.med)),
AVERAGE(_xlfn._xlws.FILTER(_xlpm.data,ABS(_xlpm.data-_xlpm.med)&lt;=2.5*_xlpm.mad))
)</f>
        <v>7.5771497720443726E-2</v>
      </c>
      <c r="AS6" s="15">
        <f>AO6-AQ6</f>
        <v>9</v>
      </c>
      <c r="AU6" s="206" t="s">
        <v>714</v>
      </c>
      <c r="AV6" s="202">
        <f t="array" ref="AV6">MEDIAN(_xlfn._xlws.FILTER(Table9[Job created per $Mn],ISNUMBER(Table9[Job created per $Mn])*(Table9[Job created per $Mn]&gt;0)*(Table9[Sector]="Agriculture")))</f>
        <v>209.55307262569829</v>
      </c>
      <c r="AW6" s="202">
        <f t="array" ref="AW6">AVERAGE(_xlfn._xlws.FILTER(Table9[Job created per $Mn],ISNUMBER(Table9[Job created per $Mn])*(Table9[Job created per $Mn]&gt;0)*(Table9[Sector]="Agriculture")))</f>
        <v>697.59712992626226</v>
      </c>
      <c r="AX6" s="15">
        <f>COUNTIFS(Table9[Job created per $Mn],"&gt;0",Table9[Sector],"Agriculture")</f>
        <v>25</v>
      </c>
      <c r="AY6" s="195">
        <f t="array" ref="AY6">_xlfn.LET(_xlpm.data,_xlfn._xlws.FILTER(Table9[Job created per $Mn],ISNUMBER(Table9[Job created per $Mn])*(Table9[Job created per $Mn]&gt;0)*(Table9[Sector]="Agriculture")),_xlpm.med,MEDIAN(_xlpm.data),_xlpm.mad,MEDIAN(ABS(_xlpm.data-_xlpm.med)),SUMPRODUCT(--(ABS(_xlpm.data-_xlpm.med)&gt;2.5*_xlpm.mad))/COUNT(_xlpm.data))</f>
        <v>0.24</v>
      </c>
      <c r="AZ6" s="15">
        <f t="array" ref="AZ6">_xlfn.LET(_xlpm.data,_xlfn._xlws.FILTER(Table9[Job created per $Mn],ISNUMBER(Table9[Job created per $Mn])*(Table9[Job created per $Mn]&gt;0)*(Table9[Sector]="Agriculture")),_xlpm.med,MEDIAN(_xlpm.data),_xlpm.mad,MEDIAN(ABS(_xlpm.data-_xlpm.med)),SUMPRODUCT(--(ABS(_xlpm.data-_xlpm.med)&gt;2.5*_xlpm.mad)))</f>
        <v>6</v>
      </c>
      <c r="BA6" s="202">
        <f t="array" ref="BA6">_xlfn.LET(_xlpm.data,_xlfn._xlws.FILTER(Table9[Job created per $Mn],ISNUMBER(Table9[Job created per $Mn])*(Table9[Job created per $Mn]&gt;0)*(Table9[Sector]="Agriculture")),_xlpm.med,MEDIAN(_xlpm.data),_xlpm.mad,MEDIAN(ABS(_xlpm.data-_xlpm.med)),AVERAGE(_xlfn._xlws.FILTER(_xlpm.data,ABS(_xlpm.data-_xlpm.med)&lt;=2.5*_xlpm.mad)))</f>
        <v>216.14040688917038</v>
      </c>
      <c r="BB6" s="15">
        <f>AX6-AZ6</f>
        <v>19</v>
      </c>
      <c r="BD6" s="206" t="s">
        <v>714</v>
      </c>
      <c r="BE6" s="202">
        <f t="array" ref="BE6">MEDIAN(
_xlfn._xlws.FILTER(
Table9[Job improved per $Mn],
ISNUMBER(Table9[Job improved per $Mn])*
(Table9[Job improved per $Mn]&gt;0)*
(Table9[Sector]="Agriculture")
)
)</f>
        <v>2386.5026995573412</v>
      </c>
      <c r="BF6" s="202">
        <f t="array" ref="BF6">AVERAGE(
_xlfn._xlws.FILTER(
Table9[Job improved per $Mn],
ISNUMBER(Table9[Job improved per $Mn])*
(Table9[Job improved per $Mn]&gt;0)*
(Table9[Sector]="Agriculture")
)
)</f>
        <v>5322.7985019991056</v>
      </c>
      <c r="BG6" s="15">
        <f>COUNTIFS(
Table9[Job improved per $Mn],"&gt;0",
Table9[Sector],"Agriculture"
)</f>
        <v>51</v>
      </c>
      <c r="BH6" s="195">
        <f t="array" ref="BH6">_xlfn.LET(
_xlpm.data,
_xlfn._xlws.FILTER(
Table9[Job improved per $Mn],
ISNUMBER(Table9[Job improved per $Mn])*
(Table9[Job improved per $Mn]&gt;0)*
(Table9[Sector]="Agriculture")
),
_xlpm.med,
MEDIAN(_xlpm.data),
_xlpm.mad,
MEDIAN(ABS(_xlpm.data-_xlpm.med)),
SUMPRODUCT(--(ABS(_xlpm.data-_xlpm.med)&gt;2.5*_xlpm.mad))/COUNT(_xlpm.data)
)</f>
        <v>0.25490196078431371</v>
      </c>
      <c r="BI6" s="15">
        <f t="array" ref="BI6">_xlfn.LET(
_xlpm.data,
_xlfn._xlws.FILTER(
Table9[Job improved per $Mn],
ISNUMBER(Table9[Job improved per $Mn])*
(Table9[Job improved per $Mn]&gt;0)*
(Table9[Sector]="Agriculture")
),
_xlpm.med,
MEDIAN(_xlpm.data),
_xlpm.mad,
MEDIAN(ABS(_xlpm.data-_xlpm.med)),
SUMPRODUCT(--(ABS(_xlpm.data-_xlpm.med)&gt;2.5*_xlpm.mad))
)</f>
        <v>13</v>
      </c>
      <c r="BJ6" s="202">
        <f t="array" ref="BJ6">_xlfn.LET(
_xlpm.data,
_xlfn._xlws.FILTER(
Table9[Job improved per $Mn],
ISNUMBER(Table9[Job improved per $Mn])*
(Table9[Job improved per $Mn]&gt;0)*
(Table9[Sector]="Agriculture")
),
_xlpm.med,
MEDIAN(_xlpm.data),
_xlpm.mad,
MEDIAN(ABS(_xlpm.data-_xlpm.med)),
AVERAGE(
_xlfn._xlws.FILTER(
_xlpm.data,
ABS(_xlpm.data-_xlpm.med)&lt;=2.5*_xlpm.mad
)
)
)</f>
        <v>2283.937366824412</v>
      </c>
      <c r="BK6" s="15">
        <f>BG6-BI6</f>
        <v>38</v>
      </c>
      <c r="BM6" s="206" t="s">
        <v>714</v>
      </c>
      <c r="BN6" s="203">
        <f t="array" ref="BN6">MEDIAN(
_xlfn._xlws.FILTER(
Table9[Beneficiary Income (USD) / Project Cost],
ISNUMBER(Table9[Beneficiary Income (USD) / Project Cost])*
(Table9[Beneficiary Income (USD) / Project Cost]&gt;0)*
(Table9[Sector]="Agriculture")
)
)</f>
        <v>1.0993652525186981</v>
      </c>
      <c r="BO6" s="203">
        <f t="array" ref="BO6">AVERAGE(
_xlfn._xlws.FILTER(
Table9[Beneficiary Income (USD) / Project Cost],
ISNUMBER(Table9[Beneficiary Income (USD) / Project Cost])*
(Table9[Beneficiary Income (USD) / Project Cost]&gt;0)*
(Table9[Sector]="Agriculture")
)
)</f>
        <v>1.6321211016511274</v>
      </c>
      <c r="BP6" s="15">
        <f>COUNTIFS(
Table9[Beneficiary Income (USD) / Project Cost],"&gt;0",
Table9[Sector],"Agriculture"
)</f>
        <v>34</v>
      </c>
      <c r="BQ6" s="195">
        <f t="array" ref="BQ6">_xlfn.LET(
_xlpm.data,
_xlfn._xlws.FILTER(
Table9[Beneficiary Income (USD) / Project Cost],
ISNUMBER(Table9[Beneficiary Income (USD) / Project Cost])*
(Table9[Beneficiary Income (USD) / Project Cost]&gt;0)*
(Table9[Sector]="Agriculture")
),
_xlpm.med,
MEDIAN(_xlpm.data),
_xlpm.mad,
MEDIAN(ABS(_xlpm.data-_xlpm.med)),
SUMPRODUCT(--(ABS(_xlpm.data-_xlpm.med)&gt;2.5*_xlpm.mad))/COUNT(_xlpm.data)
)</f>
        <v>0.20588235294117646</v>
      </c>
      <c r="BR6" s="15">
        <f t="array" ref="BR6">_xlfn.LET(
_xlpm.data,
_xlfn._xlws.FILTER(
Table9[Beneficiary Income (USD) / Project Cost],
ISNUMBER(Table9[Beneficiary Income (USD) / Project Cost])*
(Table9[Beneficiary Income (USD) / Project Cost]&gt;0)*
(Table9[Sector]="Agriculture")
),
_xlpm.med,
MEDIAN(_xlpm.data),
_xlpm.mad,
MEDIAN(ABS(_xlpm.data-_xlpm.med)),
SUMPRODUCT(--(ABS(_xlpm.data-_xlpm.med)&gt;2.5*_xlpm.mad))
)</f>
        <v>7</v>
      </c>
      <c r="BS6" s="203">
        <f t="array" ref="BS6">_xlfn.LET(
_xlpm.data,
_xlfn._xlws.FILTER(
Table9[Beneficiary Income (USD) / Project Cost],
ISNUMBER(Table9[Beneficiary Income (USD) / Project Cost])*
(Table9[Beneficiary Income (USD) / Project Cost]&gt;0)*
(Table9[Sector]="Agriculture")
),
_xlpm.med,
MEDIAN(_xlpm.data),
_xlpm.mad,
MEDIAN(ABS(_xlpm.data-_xlpm.med)),
AVERAGE(
_xlfn._xlws.FILTER(
_xlpm.data,
ABS(_xlpm.data-_xlpm.med)&lt;=2.5*_xlpm.mad
)
)
)</f>
        <v>0.92410585800417921</v>
      </c>
      <c r="BT6" s="15">
        <f>BP6-BR6</f>
        <v>27</v>
      </c>
    </row>
    <row r="7" spans="2:72" x14ac:dyDescent="0.25">
      <c r="B7" s="206" t="s">
        <v>715</v>
      </c>
      <c r="C7" s="202">
        <f t="array" ref="C7">MEDIAN(
_xlfn._xlws.FILTER(
Table9[Income per beneficiary (USD)],
(Table9[Income per beneficiary (USD)]&gt;0)*
ISNUMBER(SEARCH("Agriculture",Table9[Sector]))
)
)</f>
        <v>188.1985</v>
      </c>
      <c r="D7" s="202">
        <f t="array" ref="D7">AVERAGE(
_xlfn._xlws.FILTER(
Table9[Income per beneficiary (USD)],
(Table9[Income per beneficiary (USD)]&gt;0)*
ISNUMBER(SEARCH("Agriculture",Table9[Sector]))
)
)</f>
        <v>417.1929431413713</v>
      </c>
      <c r="E7" s="15">
        <f>COUNTIFS(
Table9[Income per beneficiary (USD)],"&gt;0",
Table9[Sector],"*Agriculture*"
)</f>
        <v>41</v>
      </c>
      <c r="F7" s="195">
        <f t="array" ref="F7">_xlfn.LET(
_xlpm.data,_xlfn._xlws.FILTER(
Table9[Income per beneficiary (USD)],
(Table9[Income per beneficiary (USD)]&gt;0)*
ISNUMBER(SEARCH("Agriculture",Table9[Sector]))
),
_xlpm.med,MEDIAN(_xlpm.data),
_xlpm.mad,MEDIAN(ABS(_xlpm.data-_xlpm.med)),
SUMPRODUCT(--(ABS(_xlpm.data-_xlpm.med)&gt;2.5*_xlpm.mad))/COUNT(_xlpm.data)
)</f>
        <v>0.21951219512195122</v>
      </c>
      <c r="G7" s="345">
        <f t="array" ref="G7">_xlfn.LET(
_xlpm.data,_xlfn._xlws.FILTER(
Table9[Income per beneficiary (USD)],
(Table9[Income per beneficiary (USD)]&gt;0)*
ISNUMBER(SEARCH("Agriculture",Table9[Sector]))
),
_xlpm.med,MEDIAN(_xlpm.data),
_xlpm.mad,MEDIAN(ABS(_xlpm.data-_xlpm.med)),
SUMPRODUCT(--(ABS(_xlpm.data-_xlpm.med)&gt;2.5*_xlpm.mad))
)</f>
        <v>9</v>
      </c>
      <c r="H7" s="202">
        <f t="array" ref="H7">_xlfn.LET(
_xlpm.data,_xlfn._xlws.FILTER(
Table9[Income per beneficiary (USD)],
(Table9[Income per beneficiary (USD)]&gt;0)*
ISNUMBER(SEARCH("Agriculture",Table9[Sector]))
),
_xlpm.med,MEDIAN(_xlpm.data),
_xlpm.mad,MEDIAN(ABS(_xlpm.data-_xlpm.med)),
AVERAGE(_xlfn._xlws.FILTER(_xlpm.data,ABS(_xlpm.data-_xlpm.med)&lt;=2.5*_xlpm.mad))
)</f>
        <v>167.19729270301286</v>
      </c>
      <c r="I7" s="202">
        <f>E7-G7</f>
        <v>32</v>
      </c>
      <c r="J7" s="130"/>
      <c r="K7" s="206" t="s">
        <v>715</v>
      </c>
      <c r="L7" s="203">
        <f t="array" ref="L7">MEDIAN(
_xlfn._xlws.FILTER(
Table9[Normalised Income Impact Ratio],
ISNUMBER(Table9[Normalised Income Impact Ratio])*
(Table9[Normalised Income Impact Ratio]&gt;0)*
ISNUMBER(SEARCH("Agriculture",Table9[Sector]))
)
)</f>
        <v>2.5112285714285712E-2</v>
      </c>
      <c r="M7" s="203">
        <f t="array" ref="M7">AVERAGE(
_xlfn._xlws.FILTER(
Table9[Normalised Income Impact Ratio],
ISNUMBER(Table9[Normalised Income Impact Ratio])*
(Table9[Normalised Income Impact Ratio]&gt;0)*
ISNUMBER(SEARCH("Agriculture",Table9[Sector]))
)
)</f>
        <v>7.7445724292101253E-2</v>
      </c>
      <c r="N7" s="202">
        <f>COUNTIFS(
Table9[Normalised Income Impact Ratio],"&gt;0",
Table9[Sector],"*Agriculture*"
)</f>
        <v>40</v>
      </c>
      <c r="O7" s="195">
        <f t="array" ref="O7">_xlfn.LET(
_xlpm.data,_xlfn._xlws.FILTER(
Table9[Normalised Income Impact Ratio],
ISNUMBER(Table9[Normalised Income Impact Ratio])*
(Table9[Normalised Income Impact Ratio]&gt;0)*
ISNUMBER(SEARCH("Agriculture",Table9[Sector]))
),
_xlpm.med,MEDIAN(_xlpm.data),
_xlpm.mad,MEDIAN(ABS(_xlpm.data-_xlpm.med)),
SUMPRODUCT(--(ABS(_xlpm.data-_xlpm.med)&gt;2.5*_xlpm.mad))/COUNT(_xlpm.data)
)</f>
        <v>0.3</v>
      </c>
      <c r="P7" s="202">
        <f t="array" ref="P7">_xlfn.LET(
_xlpm.data,_xlfn._xlws.FILTER(
Table9[Normalised Income Impact Ratio],
ISNUMBER(Table9[Normalised Income Impact Ratio])*
(Table9[Normalised Income Impact Ratio]&gt;0)*
ISNUMBER(SEARCH("Agriculture",Table9[Sector]))
),
_xlpm.med,MEDIAN(_xlpm.data),
_xlpm.mad,MEDIAN(ABS(_xlpm.data-_xlpm.med)),
SUMPRODUCT(--(ABS(_xlpm.data-_xlpm.med)&gt;2.5*_xlpm.mad))
)</f>
        <v>12</v>
      </c>
      <c r="Q7" s="203">
        <f t="array" ref="Q7">_xlfn.LET(
_xlpm.data,_xlfn._xlws.FILTER(
Table9[Normalised Income Impact Ratio],
ISNUMBER(Table9[Normalised Income Impact Ratio])*
(Table9[Normalised Income Impact Ratio]&gt;0)*
ISNUMBER(SEARCH("Agriculture",Table9[Sector]))
),
_xlpm.med,MEDIAN(_xlpm.data),
_xlpm.mad,MEDIAN(ABS(_xlpm.data-_xlpm.med)),
AVERAGE(_xlfn._xlws.FILTER(_xlpm.data,ABS(_xlpm.data-_xlpm.med)&lt;=2.5*_xlpm.mad))
)</f>
        <v>1.9480934733675261E-2</v>
      </c>
      <c r="R7" s="202">
        <f>N7-P7</f>
        <v>28</v>
      </c>
      <c r="S7" s="130"/>
      <c r="T7" s="206" t="s">
        <v>715</v>
      </c>
      <c r="U7" s="203">
        <f t="array" ref="U7">MEDIAN(
_xlfn._xlws.FILTER(
Table9[Private Sector Investment (USD) / Project cost ],
ISNUMBER(Table9[Private Sector Investment (USD) / Project cost ])*
(Table9[Private Sector Investment (USD) / Project cost ]&gt;0)*
ISNUMBER(SEARCH("Agriculture",Table9[Sector]))
)
)</f>
        <v>0.41538795620437952</v>
      </c>
      <c r="V7" s="203">
        <f t="array" ref="V7">AVERAGE(
_xlfn._xlws.FILTER(
Table9[Private Sector Investment (USD) / Project cost ],
ISNUMBER(Table9[Private Sector Investment (USD) / Project cost ])*
(Table9[Private Sector Investment (USD) / Project cost ]&gt;0)*
ISNUMBER(SEARCH("Agriculture",Table9[Sector]))
)
)</f>
        <v>1.5886864851437617</v>
      </c>
      <c r="W7" s="15">
        <f>COUNTIFS(
Table9[Private Sector Investment (USD) / Project cost ],"&gt;0",
Table9[Sector],"*Agriculture*"
)</f>
        <v>52</v>
      </c>
      <c r="X7" s="195">
        <f t="array" ref="X7">_xlfn.LET(
_xlpm.data,_xlfn._xlws.FILTER(
Table9[Private Sector Investment (USD) / Project cost ],
ISNUMBER(Table9[Private Sector Investment (USD) / Project cost ])*
(Table9[Private Sector Investment (USD) / Project cost ]&gt;0)*
ISNUMBER(SEARCH("Agriculture",Table9[Sector]))
),
_xlpm.med,MEDIAN(_xlpm.data),
_xlpm.mad,MEDIAN(ABS(_xlpm.data-_xlpm.med)),
SUMPRODUCT(--(ABS(_xlpm.data-_xlpm.med)&gt;2.5*_xlpm.mad))/COUNT(_xlpm.data)
)</f>
        <v>0.23076923076923078</v>
      </c>
      <c r="Y7" s="15">
        <f t="array" ref="Y7">_xlfn.LET(
_xlpm.data,_xlfn._xlws.FILTER(
Table9[Private Sector Investment (USD) / Project cost ],
ISNUMBER(Table9[Private Sector Investment (USD) / Project cost ])*
(Table9[Private Sector Investment (USD) / Project cost ]&gt;0)*
ISNUMBER(SEARCH("Agriculture",Table9[Sector]))
),
_xlpm.med,MEDIAN(_xlpm.data),
_xlpm.mad,MEDIAN(ABS(_xlpm.data-_xlpm.med)),
SUMPRODUCT(--(ABS(_xlpm.data-_xlpm.med)&gt;2.5*_xlpm.mad))
)</f>
        <v>12</v>
      </c>
      <c r="Z7" s="203">
        <f t="array" ref="Z7">_xlfn.LET(
_xlpm.data,_xlfn._xlws.FILTER(
Table9[Private Sector Investment (USD) / Project cost ],
ISNUMBER(Table9[Private Sector Investment (USD) / Project cost ])*
(Table9[Private Sector Investment (USD) / Project cost ]&gt;0)*
ISNUMBER(SEARCH("Agriculture",Table9[Sector]))
),
_xlpm.med,MEDIAN(_xlpm.data),
_xlpm.mad,MEDIAN(ABS(_xlpm.data-_xlpm.med)),
AVERAGE(_xlfn._xlws.FILTER(_xlpm.data,ABS(_xlpm.data-_xlpm.med)&lt;=2.5*_xlpm.mad))
)</f>
        <v>0.37416424271518844</v>
      </c>
      <c r="AA7" s="15">
        <f>W7-Y7</f>
        <v>40</v>
      </c>
      <c r="AC7" s="206" t="s">
        <v>715</v>
      </c>
      <c r="AD7" s="203">
        <f t="array" ref="AD7">MEDIAN(
_xlfn._xlws.FILTER(
Table9[Private Sector Revenues Generated (USD) / Project cost],
ISNUMBER(Table9[Private Sector Revenues Generated (USD) / Project cost])*
(Table9[Private Sector Revenues Generated (USD) / Project cost]&gt;0)*
ISNUMBER(SEARCH("Agriculture",Table9[Sector]))
)
)</f>
        <v>1.4209120090634442</v>
      </c>
      <c r="AE7" s="203">
        <f t="array" ref="AE7">AVERAGE(
_xlfn._xlws.FILTER(
Table9[Private Sector Revenues Generated (USD) / Project cost],
ISNUMBER(Table9[Private Sector Revenues Generated (USD) / Project cost])*
(Table9[Private Sector Revenues Generated (USD) / Project cost]&gt;0)*
ISNUMBER(SEARCH("Agriculture",Table9[Sector]))
)
)</f>
        <v>2.9223731320564212</v>
      </c>
      <c r="AF7" s="15">
        <f>COUNTIFS(
Table9[Private Sector Revenues Generated (USD) / Project cost],"&gt;0",
Table9[Sector],"*Agriculture*"
)</f>
        <v>42</v>
      </c>
      <c r="AG7" s="195">
        <f t="array" ref="AG7">_xlfn.LET(
_xlpm.data,_xlfn._xlws.FILTER(
Table9[Private Sector Revenues Generated (USD) / Project cost],
ISNUMBER(Table9[Private Sector Revenues Generated (USD) / Project cost])*
(Table9[Private Sector Revenues Generated (USD) / Project cost]&gt;0)*
ISNUMBER(SEARCH("Agriculture",Table9[Sector]))
),
_xlpm.med,MEDIAN(_xlpm.data),
_xlpm.mad,MEDIAN(ABS(_xlpm.data-_xlpm.med)),
SUMPRODUCT(--(ABS(_xlpm.data-_xlpm.med)&gt;2.5*_xlpm.mad))/COUNT(_xlpm.data)
)</f>
        <v>0.14285714285714285</v>
      </c>
      <c r="AH7" s="15">
        <f t="array" ref="AH7">_xlfn.LET(
_xlpm.data,_xlfn._xlws.FILTER(
Table9[Private Sector Revenues Generated (USD) / Project cost],
ISNUMBER(Table9[Private Sector Revenues Generated (USD) / Project cost])*
(Table9[Private Sector Revenues Generated (USD) / Project cost]&gt;0)*
ISNUMBER(SEARCH("Agriculture",Table9[Sector]))
),
_xlpm.med,MEDIAN(_xlpm.data),
_xlpm.mad,MEDIAN(ABS(_xlpm.data-_xlpm.med)),
SUMPRODUCT(--(ABS(_xlpm.data-_xlpm.med)&gt;2.5*_xlpm.mad))
)</f>
        <v>6</v>
      </c>
      <c r="AI7" s="203">
        <f t="array" ref="AI7">_xlfn.LET(
_xlpm.data,_xlfn._xlws.FILTER(
Table9[Private Sector Revenues Generated (USD) / Project cost],
ISNUMBER(Table9[Private Sector Revenues Generated (USD) / Project cost])*
(Table9[Private Sector Revenues Generated (USD) / Project cost]&gt;0)*
ISNUMBER(SEARCH("Agriculture",Table9[Sector]))
),
_xlpm.med,MEDIAN(_xlpm.data),
_xlpm.mad,MEDIAN(ABS(_xlpm.data-_xlpm.med)),
AVERAGE(_xlfn._xlws.FILTER(_xlpm.data,ABS(_xlpm.data-_xlpm.med)&lt;=2.5*_xlpm.mad))
)</f>
        <v>1.1402152485878676</v>
      </c>
      <c r="AJ7" s="15">
        <f>AF7-AH7</f>
        <v>36</v>
      </c>
      <c r="AL7" s="206" t="s">
        <v>715</v>
      </c>
      <c r="AM7" s="203">
        <f t="array" ref="AM7">MEDIAN(
_xlfn._xlws.FILTER(
Table9[Export Revenue Generated (USD) /Project Cost],
ISNUMBER(Table9[Export Revenue Generated (USD) /Project Cost])*
(Table9[Export Revenue Generated (USD) /Project Cost]&gt;0)*
ISNUMBER(SEARCH("Agriculture",Table9[Sector]))
)
)</f>
        <v>0.1122911370079798</v>
      </c>
      <c r="AN7" s="203">
        <f t="array" ref="AN7">AVERAGE(
_xlfn._xlws.FILTER(
Table9[Export Revenue Generated (USD) /Project Cost],
ISNUMBER(Table9[Export Revenue Generated (USD) /Project Cost])*
(Table9[Export Revenue Generated (USD) /Project Cost]&gt;0)*
ISNUMBER(SEARCH("Agriculture",Table9[Sector]))
)
)</f>
        <v>1.4987814921853888</v>
      </c>
      <c r="AO7" s="15">
        <f>COUNTIFS(
Table9[Export Revenue Generated (USD) /Project Cost],"&gt;0",
Table9[Sector],"*Agriculture*"
)</f>
        <v>13</v>
      </c>
      <c r="AP7" s="195">
        <f t="array" ref="AP7">_xlfn.LET(
_xlpm.data,_xlfn._xlws.FILTER(
Table9[Export Revenue Generated (USD) /Project Cost],
ISNUMBER(Table9[Export Revenue Generated (USD) /Project Cost])*
(Table9[Export Revenue Generated (USD) /Project Cost]&gt;0)*
ISNUMBER(SEARCH("Agriculture",Table9[Sector]))
),
_xlpm.med,MEDIAN(_xlpm.data),
_xlpm.mad,MEDIAN(ABS(_xlpm.data-_xlpm.med)),
SUMPRODUCT(--(ABS(_xlpm.data-_xlpm.med)&gt;2.5*_xlpm.mad))/COUNT(_xlpm.data)
)</f>
        <v>0.30769230769230771</v>
      </c>
      <c r="AQ7" s="15">
        <f t="array" ref="AQ7">_xlfn.LET(
_xlpm.data,_xlfn._xlws.FILTER(
Table9[Export Revenue Generated (USD) /Project Cost],
ISNUMBER(Table9[Export Revenue Generated (USD) /Project Cost])*
(Table9[Export Revenue Generated (USD) /Project Cost]&gt;0)*
ISNUMBER(SEARCH("Agriculture",Table9[Sector]))
),
_xlpm.med,MEDIAN(_xlpm.data),
_xlpm.mad,MEDIAN(ABS(_xlpm.data-_xlpm.med)),
SUMPRODUCT(--(ABS(_xlpm.data-_xlpm.med)&gt;2.5*_xlpm.mad))
)</f>
        <v>4</v>
      </c>
      <c r="AR7" s="203">
        <f t="array" ref="AR7">_xlfn.LET(
_xlpm.data,_xlfn._xlws.FILTER(
Table9[Export Revenue Generated (USD) /Project Cost],
ISNUMBER(Table9[Export Revenue Generated (USD) /Project Cost])*
(Table9[Export Revenue Generated (USD) /Project Cost]&gt;0)*
ISNUMBER(SEARCH("Agriculture",Table9[Sector]))
),
_xlpm.med,MEDIAN(_xlpm.data),
_xlpm.mad,MEDIAN(ABS(_xlpm.data-_xlpm.med)),
AVERAGE(_xlfn._xlws.FILTER(_xlpm.data,ABS(_xlpm.data-_xlpm.med)&lt;=2.5*_xlpm.mad))
)</f>
        <v>7.5771497720443726E-2</v>
      </c>
      <c r="AS7" s="15">
        <f>AO7-AQ7</f>
        <v>9</v>
      </c>
      <c r="AU7" s="206" t="s">
        <v>715</v>
      </c>
      <c r="AV7" s="202">
        <f t="array" ref="AV7">MEDIAN(_xlfn._xlws.FILTER(Table9[Job created per $Mn],ISNUMBER(Table9[Job created per $Mn])*(Table9[Job created per $Mn]&gt;0)*ISNUMBER(SEARCH("Agriculture",Table9[Sector]))))</f>
        <v>237.04545454545456</v>
      </c>
      <c r="AW7" s="202">
        <f t="array" ref="AW7">AVERAGE(_xlfn._xlws.FILTER(Table9[Job created per $Mn],ISNUMBER(Table9[Job created per $Mn])*(Table9[Job created per $Mn]&gt;0)*ISNUMBER(SEARCH("Agriculture",Table9[Sector]))))</f>
        <v>735.03751072500211</v>
      </c>
      <c r="AX7" s="15">
        <f>COUNTIFS(Table9[Job created per $Mn],"&gt;0",Table9[Sector],"*Agriculture*")</f>
        <v>34</v>
      </c>
      <c r="AY7" s="195">
        <f t="array" ref="AY7">_xlfn.LET(_xlpm.data,_xlfn._xlws.FILTER(Table9[Job created per $Mn],ISNUMBER(Table9[Job created per $Mn])*(Table9[Job created per $Mn]&gt;0)*ISNUMBER(SEARCH("Agriculture",Table9[Sector]))),_xlpm.med,MEDIAN(_xlpm.data),_xlpm.mad,MEDIAN(ABS(_xlpm.data-_xlpm.med)),SUMPRODUCT(--(ABS(_xlpm.data-_xlpm.med)&gt;2.5*_xlpm.mad))/COUNT(_xlpm.data))</f>
        <v>0.29411764705882354</v>
      </c>
      <c r="AZ7" s="15">
        <f t="array" ref="AZ7">_xlfn.LET(_xlpm.data,_xlfn._xlws.FILTER(Table9[Job created per $Mn],ISNUMBER(Table9[Job created per $Mn])*(Table9[Job created per $Mn]&gt;0)*ISNUMBER(SEARCH("Agriculture",Table9[Sector]))),_xlpm.med,MEDIAN(_xlpm.data),_xlpm.mad,MEDIAN(ABS(_xlpm.data-_xlpm.med)),SUMPRODUCT(--(ABS(_xlpm.data-_xlpm.med)&gt;2.5*_xlpm.mad)))</f>
        <v>10</v>
      </c>
      <c r="BA7" s="202">
        <f t="array" ref="BA7">_xlfn.LET(_xlpm.data,_xlfn._xlws.FILTER(Table9[Job created per $Mn],ISNUMBER(Table9[Job created per $Mn])*(Table9[Job created per $Mn]&gt;0)*ISNUMBER(SEARCH("Agriculture",Table9[Sector]))),_xlpm.med,MEDIAN(_xlpm.data),_xlpm.mad,MEDIAN(ABS(_xlpm.data-_xlpm.med)),AVERAGE(_xlfn._xlws.FILTER(_xlpm.data,ABS(_xlpm.data-_xlpm.med)&lt;=2.5*_xlpm.mad)))</f>
        <v>220.89370461136696</v>
      </c>
      <c r="BB7" s="15">
        <f>AX7-AZ7</f>
        <v>24</v>
      </c>
      <c r="BD7" s="206" t="s">
        <v>715</v>
      </c>
      <c r="BE7" s="202">
        <f t="array" ref="BE7">MEDIAN(
_xlfn._xlws.FILTER(
Table9[Job improved per $Mn],
ISNUMBER(Table9[Job improved per $Mn])*
(Table9[Job improved per $Mn]&gt;0)*
ISNUMBER(SEARCH("Agriculture",Table9[Sector]))
)
)</f>
        <v>2269.2007168672781</v>
      </c>
      <c r="BF7" s="202">
        <f t="array" ref="BF7">AVERAGE(
_xlfn._xlws.FILTER(
Table9[Job improved per $Mn],
ISNUMBER(Table9[Job improved per $Mn])*
(Table9[Job improved per $Mn]&gt;0)*
ISNUMBER(SEARCH("Agriculture",Table9[Sector]))
)
)</f>
        <v>5498.6183152728763</v>
      </c>
      <c r="BG7" s="15">
        <f>COUNTIFS(
Table9[Job improved per $Mn],"&gt;0",
Table9[Sector],"*Agriculture*"
)</f>
        <v>58</v>
      </c>
      <c r="BH7" s="195">
        <f t="array" ref="BH7">_xlfn.LET(
_xlpm.data,
_xlfn._xlws.FILTER(
Table9[Job improved per $Mn],
ISNUMBER(Table9[Job improved per $Mn])*
(Table9[Job improved per $Mn]&gt;0)*
ISNUMBER(SEARCH("Agriculture",Table9[Sector]))
),
_xlpm.med,
MEDIAN(_xlpm.data),
_xlpm.mad,
MEDIAN(ABS(_xlpm.data-_xlpm.med)),
SUMPRODUCT(--(ABS(_xlpm.data-_xlpm.med)&gt;2.5*_xlpm.mad))/COUNT(_xlpm.data)
)</f>
        <v>0.27586206896551724</v>
      </c>
      <c r="BI7" s="15">
        <f t="array" ref="BI7">_xlfn.LET(
_xlpm.data,
_xlfn._xlws.FILTER(
Table9[Job improved per $Mn],
ISNUMBER(Table9[Job improved per $Mn])*
(Table9[Job improved per $Mn]&gt;0)*
ISNUMBER(SEARCH("Agriculture",Table9[Sector]))
),
_xlpm.med,
MEDIAN(_xlpm.data),
_xlpm.mad,
MEDIAN(ABS(_xlpm.data-_xlpm.med)),
SUMPRODUCT(--(ABS(_xlpm.data-_xlpm.med)&gt;2.5*_xlpm.mad))
)</f>
        <v>16</v>
      </c>
      <c r="BJ7" s="202">
        <f t="array" ref="BJ7">_xlfn.LET(
_xlpm.data,
_xlfn._xlws.FILTER(
Table9[Job improved per $Mn],
ISNUMBER(Table9[Job improved per $Mn])*
(Table9[Job improved per $Mn]&gt;0)*
ISNUMBER(SEARCH("Agriculture",Table9[Sector]))
),
_xlpm.med,
MEDIAN(_xlpm.data),
_xlpm.mad,
MEDIAN(ABS(_xlpm.data-_xlpm.med)),
AVERAGE(
_xlfn._xlws.FILTER(
_xlpm.data,
ABS(_xlpm.data-_xlpm.med)&lt;=2.5*_xlpm.mad
)
)
)</f>
        <v>1997.9691191026814</v>
      </c>
      <c r="BK7" s="15">
        <f>BG7-BI7</f>
        <v>42</v>
      </c>
      <c r="BM7" s="206" t="s">
        <v>715</v>
      </c>
      <c r="BN7" s="203">
        <f t="array" ref="BN7">MEDIAN(
_xlfn._xlws.FILTER(
Table9[Beneficiary Income (USD) / Project Cost],
ISNUMBER(Table9[Beneficiary Income (USD) / Project Cost])*
(Table9[Beneficiary Income (USD) / Project Cost]&gt;0)*
ISNUMBER(SEARCH("Agriculture",Table9[Sector]))
)
)</f>
        <v>1.197129437050968</v>
      </c>
      <c r="BO7" s="203">
        <f t="array" ref="BO7">AVERAGE(
_xlfn._xlws.FILTER(
Table9[Beneficiary Income (USD) / Project Cost],
ISNUMBER(Table9[Beneficiary Income (USD) / Project Cost])*
(Table9[Beneficiary Income (USD) / Project Cost]&gt;0)*
ISNUMBER(SEARCH("Agriculture",Table9[Sector]))
)
)</f>
        <v>1.6328782704867231</v>
      </c>
      <c r="BP7" s="15">
        <f>COUNTIFS(
Table9[Beneficiary Income (USD) / Project Cost],"&gt;0",
Table9[Sector],"*Agriculture*"
)</f>
        <v>41</v>
      </c>
      <c r="BQ7" s="195">
        <f t="array" ref="BQ7">_xlfn.LET(
_xlpm.data,
_xlfn._xlws.FILTER(
Table9[Beneficiary Income (USD) / Project Cost],
ISNUMBER(Table9[Beneficiary Income (USD) / Project Cost])*
(Table9[Beneficiary Income (USD) / Project Cost]&gt;0)*
ISNUMBER(SEARCH("Agriculture",Table9[Sector]))
),
_xlpm.med,
MEDIAN(_xlpm.data),
_xlpm.mad,
MEDIAN(ABS(_xlpm.data-_xlpm.med)),
SUMPRODUCT(--(ABS(_xlpm.data-_xlpm.med)&gt;2.5*_xlpm.mad))/COUNT(_xlpm.data)
)</f>
        <v>0.14634146341463414</v>
      </c>
      <c r="BR7" s="15">
        <f t="array" ref="BR7">_xlfn.LET(
_xlpm.data,
_xlfn._xlws.FILTER(
Table9[Beneficiary Income (USD) / Project Cost],
ISNUMBER(Table9[Beneficiary Income (USD) / Project Cost])*
(Table9[Beneficiary Income (USD) / Project Cost]&gt;0)*
ISNUMBER(SEARCH("Agriculture",Table9[Sector]))
),
_xlpm.med,
MEDIAN(_xlpm.data),
_xlpm.mad,
MEDIAN(ABS(_xlpm.data-_xlpm.med)),
SUMPRODUCT(--(ABS(_xlpm.data-_xlpm.med)&gt;2.5*_xlpm.mad))
)</f>
        <v>6</v>
      </c>
      <c r="BS7" s="203">
        <f t="array" ref="BS7">_xlfn.LET(
_xlpm.data,
_xlfn._xlws.FILTER(
Table9[Beneficiary Income (USD) / Project Cost],
ISNUMBER(Table9[Beneficiary Income (USD) / Project Cost])*
(Table9[Beneficiary Income (USD) / Project Cost]&gt;0)*
ISNUMBER(SEARCH("Agriculture",Table9[Sector]))
),
_xlpm.med,
MEDIAN(_xlpm.data),
_xlpm.mad,
MEDIAN(ABS(_xlpm.data-_xlpm.med)),
AVERAGE(
_xlfn._xlws.FILTER(
_xlpm.data,
ABS(_xlpm.data-_xlpm.med)&lt;=2.5*_xlpm.mad
)
)
)</f>
        <v>1.121731967906501</v>
      </c>
      <c r="BT7" s="15">
        <f>BP7-BR7</f>
        <v>35</v>
      </c>
    </row>
    <row r="8" spans="2:72" x14ac:dyDescent="0.25">
      <c r="B8" s="206" t="s">
        <v>634</v>
      </c>
      <c r="C8" s="202">
        <f t="array" ref="C8">MEDIAN(
_xlfn._xlws.FILTER(
Table9[Income per beneficiary (USD)],
(Table9[Income per beneficiary (USD)]&gt;0)*
NOT(ISNUMBER(SEARCH("Agriculture",Table9[Sector])))
)
)</f>
        <v>524.57566534914361</v>
      </c>
      <c r="D8" s="202">
        <f t="array" ref="D8">AVERAGE(
_xlfn._xlws.FILTER(
Table9[Income per beneficiary (USD)],
(Table9[Income per beneficiary (USD)]&gt;0)*
NOT(ISNUMBER(SEARCH("Agriculture",Table9[Sector])))
)
)</f>
        <v>841.76102605710446</v>
      </c>
      <c r="E8" s="15">
        <f>COUNTIFS(Table9[Income per beneficiary (USD)],"&gt;0",Table9[Sector],"&lt;&gt;*Agriculture*")</f>
        <v>3</v>
      </c>
      <c r="F8" s="195">
        <f t="array" ref="F8">_xlfn.LET(
_xlpm.data,_xlfn._xlws.FILTER(
Table9[Income per beneficiary (USD)],
(Table9[Income per beneficiary (USD)]&gt;0)*
NOT(ISNUMBER(SEARCH("Agriculture",Table9[Sector])))
),
_xlpm.med,MEDIAN(_xlpm.data),
_xlpm.mad,MEDIAN(ABS(_xlpm.data-_xlpm.med)),
SUMPRODUCT(--(ABS(_xlpm.data-_xlpm.med)&gt;2.5*_xlpm.mad))/COUNT(_xlpm.data)
)</f>
        <v>0.33333333333333331</v>
      </c>
      <c r="G8" s="345">
        <f t="array" ref="G8">_xlfn.LET(
_xlpm.data,_xlfn._xlws.FILTER(
Table9[Income per beneficiary (USD)],
(Table9[Income per beneficiary (USD)]&gt;0)*
NOT(ISNUMBER(SEARCH("Agriculture",Table9[Sector])))
),
_xlpm.med,MEDIAN(_xlpm.data),
_xlpm.mad,MEDIAN(ABS(_xlpm.data-_xlpm.med)),
SUMPRODUCT(--(ABS(_xlpm.data-_xlpm.med)&gt;2.5*_xlpm.mad))
)</f>
        <v>1</v>
      </c>
      <c r="H8" s="202">
        <f t="array" ref="H8">_xlfn.LET(
_xlpm.data,_xlfn._xlws.FILTER(
Table9[Income per beneficiary (USD)],
(Table9[Income per beneficiary (USD)]&gt;0)*
NOT(ISNUMBER(SEARCH("Agriculture",Table9[Sector])))
),
_xlpm.med,MEDIAN(_xlpm.data),
_xlpm.mad,MEDIAN(ABS(_xlpm.data-_xlpm.med)),
AVERAGE(_xlfn._xlws.FILTER(_xlpm.data,ABS(_xlpm.data-_xlpm.med)&lt;=2.5*_xlpm.mad))
)</f>
        <v>441.96749303736613</v>
      </c>
      <c r="I8" s="202">
        <f>E8-G8</f>
        <v>2</v>
      </c>
      <c r="J8" s="130"/>
      <c r="K8" s="206" t="s">
        <v>634</v>
      </c>
      <c r="L8" s="203">
        <f t="array" ref="L8">MEDIAN(
_xlfn._xlws.FILTER(
Table9[Normalised Income Impact Ratio],
ISNUMBER(Table9[Normalised Income Impact Ratio])*
(Table9[Normalised Income Impact Ratio]&gt;0)*
NOT(ISNUMBER(SEARCH("Agriculture",Table9[Sector])))
)
)</f>
        <v>2.6817859755640938E-2</v>
      </c>
      <c r="M8" s="203">
        <f t="array" ref="M8">AVERAGE(
_xlfn._xlws.FILTER(
Table9[Normalised Income Impact Ratio],
ISNUMBER(Table9[Normalised Income Impact Ratio])*
(Table9[Normalised Income Impact Ratio]&gt;0)*
NOT(ISNUMBER(SEARCH("Agriculture",Table9[Sector])))
)
)</f>
        <v>5.2699461761653549E-2</v>
      </c>
      <c r="N8" s="202">
        <f>COUNTIFS(
Table9[Normalised Income Impact Ratio],"&gt;0",
Table9[Sector],"&lt;&gt;*Agriculture*"
)</f>
        <v>3</v>
      </c>
      <c r="O8" s="195">
        <f t="array" ref="O8">_xlfn.LET(
_xlpm.data,_xlfn._xlws.FILTER(
Table9[Normalised Income Impact Ratio],
ISNUMBER(Table9[Normalised Income Impact Ratio])*
(Table9[Normalised Income Impact Ratio]&gt;0)*
NOT(ISNUMBER(SEARCH("Agriculture",Table9[Sector])))
),
_xlpm.med,MEDIAN(_xlpm.data),
_xlpm.mad,MEDIAN(ABS(_xlpm.data-_xlpm.med)),
SUMPRODUCT(--(ABS(_xlpm.data-_xlpm.med)&gt;2.5*_xlpm.mad))/COUNT(_xlpm.data)
)</f>
        <v>0.33333333333333331</v>
      </c>
      <c r="P8" s="202">
        <f t="array" ref="P8">_xlfn.LET(
_xlpm.data,_xlfn._xlws.FILTER(
Table9[Normalised Income Impact Ratio],
ISNUMBER(Table9[Normalised Income Impact Ratio])*
(Table9[Normalised Income Impact Ratio]&gt;0)*
NOT(ISNUMBER(SEARCH("Agriculture",Table9[Sector])))
),
_xlpm.med,MEDIAN(_xlpm.data),
_xlpm.mad,MEDIAN(ABS(_xlpm.data-_xlpm.med)),
SUMPRODUCT(--(ABS(_xlpm.data-_xlpm.med)&gt;2.5*_xlpm.mad))
)</f>
        <v>1</v>
      </c>
      <c r="Q8" s="203">
        <f t="array" ref="Q8">_xlfn.LET(
_xlpm.data,_xlfn._xlws.FILTER(
Table9[Normalised Income Impact Ratio],
ISNUMBER(Table9[Normalised Income Impact Ratio])*
(Table9[Normalised Income Impact Ratio]&gt;0)*
NOT(ISNUMBER(SEARCH("Agriculture",Table9[Sector])))
),
_xlpm.med,MEDIAN(_xlpm.data),
_xlpm.mad,MEDIAN(ABS(_xlpm.data-_xlpm.med)),
AVERAGE(_xlfn._xlws.FILTER(_xlpm.data,ABS(_xlpm.data-_xlpm.med)&lt;=2.5*_xlpm.mad))
)</f>
        <v>2.4337589572594295E-2</v>
      </c>
      <c r="R8" s="202">
        <f>N8-P8</f>
        <v>2</v>
      </c>
      <c r="S8" s="130"/>
      <c r="T8" s="206" t="s">
        <v>634</v>
      </c>
      <c r="U8" s="203">
        <f t="array" ref="U8">MEDIAN(
_xlfn._xlws.FILTER(
Table9[Private Sector Investment (USD) / Project cost ],
ISNUMBER(Table9[Private Sector Investment (USD) / Project cost ])*
(Table9[Private Sector Investment (USD) / Project cost ]&gt;0)*
NOT(ISNUMBER(SEARCH("*Agriculture",Table9[Sector])))
)
)</f>
        <v>0.52782178217821785</v>
      </c>
      <c r="V8" s="203">
        <f t="array" ref="V8">AVERAGE(
_xlfn._xlws.FILTER(
Table9[Private Sector Investment (USD) / Project cost ],
ISNUMBER(Table9[Private Sector Investment (USD) / Project cost ])*
(Table9[Private Sector Investment (USD) / Project cost ]&gt;0)*
NOT(ISNUMBER(SEARCH("Agriculture",Table9[Sector])))
)
)</f>
        <v>0.66207604760951688</v>
      </c>
      <c r="W8" s="15">
        <f>COUNTIFS(
Table9[Private Sector Investment (USD) / Project cost ],"&gt;0",
Table9[Sector],"&lt;&gt;*Agriculture*"
)</f>
        <v>5</v>
      </c>
      <c r="X8" s="195">
        <f t="array" ref="X8">_xlfn.LET(
_xlpm.data,_xlfn._xlws.FILTER(
Table9[Private Sector Investment (USD) / Project cost ],
ISNUMBER(Table9[Private Sector Investment (USD) / Project cost ])*
(Table9[Private Sector Investment (USD) / Project cost ]&gt;0)*
NOT(ISNUMBER(SEARCH("Agriculture",Table9[Sector])))
),
_xlpm.med,MEDIAN(_xlpm.data),
_xlpm.mad,MEDIAN(ABS(_xlpm.data-_xlpm.med)),
SUMPRODUCT(--(ABS(_xlpm.data-_xlpm.med)&gt;2.5*_xlpm.mad))/COUNT(_xlpm.data)
)</f>
        <v>0</v>
      </c>
      <c r="Y8" s="15">
        <f t="array" ref="Y8">_xlfn.LET(
_xlpm.data,_xlfn._xlws.FILTER(
Table9[Private Sector Investment (USD) / Project cost ],
ISNUMBER(Table9[Private Sector Investment (USD) / Project cost ])*
(Table9[Private Sector Investment (USD) / Project cost ]&gt;0)*
NOT(ISNUMBER(SEARCH("Agriculture",Table9[Sector])))
),
_xlpm.med,MEDIAN(_xlpm.data),
_xlpm.mad,MEDIAN(ABS(_xlpm.data-_xlpm.med)),
SUMPRODUCT(--(ABS(_xlpm.data-_xlpm.med)&gt;2.5*_xlpm.mad))
)</f>
        <v>0</v>
      </c>
      <c r="Z8" s="203">
        <f t="array" ref="Z8">_xlfn.LET(
_xlpm.data,_xlfn._xlws.FILTER(
Table9[Private Sector Investment (USD) / Project cost ],
ISNUMBER(Table9[Private Sector Investment (USD) / Project cost ])*
(Table9[Private Sector Investment (USD) / Project cost ]&gt;0)*
NOT(ISNUMBER(SEARCH("Agriculture",Table9[Sector])))
),
_xlpm.med,MEDIAN(_xlpm.data),
_xlpm.mad,MEDIAN(ABS(_xlpm.data-_xlpm.med)),
AVERAGE(_xlfn._xlws.FILTER(_xlpm.data,ABS(_xlpm.data-_xlpm.med)&lt;=2.5*_xlpm.mad))
)</f>
        <v>0.66207604760951688</v>
      </c>
      <c r="AA8" s="15">
        <f>W8-Y8</f>
        <v>5</v>
      </c>
      <c r="AC8" s="206" t="s">
        <v>634</v>
      </c>
      <c r="AD8" s="203">
        <f t="array" ref="AD8">MEDIAN(
_xlfn._xlws.FILTER(
Table9[Private Sector Revenues Generated (USD) / Project cost],
ISNUMBER(Table9[Private Sector Revenues Generated (USD) / Project cost])*
(Table9[Private Sector Revenues Generated (USD) / Project cost]&gt;0)*
NOT(ISNUMBER(SEARCH("Agriculture",Table9[Sector])))
)
)</f>
        <v>1.0723423999999999</v>
      </c>
      <c r="AE8" s="203">
        <f t="array" ref="AE8">AVERAGE(
_xlfn._xlws.FILTER(
Table9[Private Sector Revenues Generated (USD) / Project cost],
ISNUMBER(Table9[Private Sector Revenues Generated (USD) / Project cost])*
(Table9[Private Sector Revenues Generated (USD) / Project cost]&gt;0)*
NOT(ISNUMBER(SEARCH("Agriculture",Table9[Sector])))
)
)</f>
        <v>2.8625034728522825</v>
      </c>
      <c r="AF8" s="15">
        <f>COUNTIFS(
Table9[Private Sector Revenues Generated (USD) / Project cost],"&gt;0",
Table9[Sector],"&lt;&gt;*Agriculture*"
)</f>
        <v>5</v>
      </c>
      <c r="AG8" s="195">
        <f t="array" ref="AG8">_xlfn.LET(
_xlpm.data,_xlfn._xlws.FILTER(
Table9[Private Sector Revenues Generated (USD) / Project cost],
ISNUMBER(Table9[Private Sector Revenues Generated (USD) / Project cost])*
(Table9[Private Sector Revenues Generated (USD) / Project cost]&gt;0)*
NOT(ISNUMBER(SEARCH("Agriculture",Table9[Sector])))
),
_xlpm.med,MEDIAN(_xlpm.data),
_xlpm.mad,MEDIAN(ABS(_xlpm.data-_xlpm.med)),
SUMPRODUCT(--(ABS(_xlpm.data-_xlpm.med)&gt;2.5*_xlpm.mad))/COUNT(_xlpm.data)
)</f>
        <v>0.2</v>
      </c>
      <c r="AH8" s="15">
        <f t="array" ref="AH8">_xlfn.LET(
_xlpm.data,_xlfn._xlws.FILTER(
Table9[Private Sector Revenues Generated (USD) / Project cost],
ISNUMBER(Table9[Private Sector Revenues Generated (USD) / Project cost])*
(Table9[Private Sector Revenues Generated (USD) / Project cost]&gt;0)*
NOT(ISNUMBER(SEARCH("Agriculture",Table9[Sector])))
),
_xlpm.med,MEDIAN(_xlpm.data),
_xlpm.mad,MEDIAN(ABS(_xlpm.data-_xlpm.med)),
SUMPRODUCT(--(ABS(_xlpm.data-_xlpm.med)&gt;2.5*_xlpm.mad))
)</f>
        <v>1</v>
      </c>
      <c r="AI8" s="203">
        <f t="array" ref="AI8">_xlfn.LET(
_xlpm.data,_xlfn._xlws.FILTER(
Table9[Private Sector Revenues Generated (USD) / Project cost],
ISNUMBER(Table9[Private Sector Revenues Generated (USD) / Project cost])*
(Table9[Private Sector Revenues Generated (USD) / Project cost]&gt;0)*
NOT(ISNUMBER(SEARCH("Agriculture",Table9[Sector])))
),
_xlpm.med,MEDIAN(_xlpm.data),
_xlpm.mad,MEDIAN(ABS(_xlpm.data-_xlpm.med)),
AVERAGE(_xlfn._xlws.FILTER(_xlpm.data,ABS(_xlpm.data-_xlpm.med)&lt;=2.5*_xlpm.mad))
)</f>
        <v>1.0159725094059406</v>
      </c>
      <c r="AJ8" s="15">
        <f>AF8-AH8</f>
        <v>4</v>
      </c>
      <c r="AL8" s="206" t="s">
        <v>634</v>
      </c>
      <c r="AM8" s="198">
        <f t="array" ref="AM8">MEDIAN(
_xlfn._xlws.FILTER(
Table9[Export Revenue Generated (USD) /Project Cost],
ISNUMBER(Table9[Export Revenue Generated (USD) /Project Cost])*
(Table9[Export Revenue Generated (USD) /Project Cost]&gt;0)*
NOT(ISNUMBER(SEARCH("Agriculture",Table9[Sector])))
)
)</f>
        <v>79.736000000000004</v>
      </c>
      <c r="AN8" s="198">
        <f t="array" ref="AN8">AVERAGE(
_xlfn._xlws.FILTER(
Table9[Export Revenue Generated (USD) /Project Cost],
ISNUMBER(Table9[Export Revenue Generated (USD) /Project Cost])*
(Table9[Export Revenue Generated (USD) /Project Cost]&gt;0)*
NOT(ISNUMBER(SEARCH("Agriculture",Table9[Sector])))
)
)</f>
        <v>79.736000000000004</v>
      </c>
      <c r="AO8" s="15">
        <f>COUNTIFS(
Table9[Export Revenue Generated (USD) /Project Cost],"&gt;0",
Table9[Sector],"&lt;&gt;*Agriculture*"
)</f>
        <v>1</v>
      </c>
      <c r="AP8" s="195">
        <f t="array" ref="AP8">_xlfn.LET(
_xlpm.data,_xlfn._xlws.FILTER(
Table9[Export Revenue Generated (USD) /Project Cost],
ISNUMBER(Table9[Export Revenue Generated (USD) /Project Cost])*
(Table9[Export Revenue Generated (USD) /Project Cost]&gt;0)*
NOT(ISNUMBER(SEARCH("Agriculture",Table9[Sector])))
),
_xlpm.med,MEDIAN(_xlpm.data),
_xlpm.mad,MEDIAN(ABS(_xlpm.data-_xlpm.med)),
SUMPRODUCT(--(ABS(_xlpm.data-_xlpm.med)&gt;2.5*_xlpm.mad))/COUNT(_xlpm.data)
)</f>
        <v>0</v>
      </c>
      <c r="AQ8" s="15">
        <f t="array" ref="AQ8">_xlfn.LET(
_xlpm.data,_xlfn._xlws.FILTER(
Table9[Export Revenue Generated (USD) /Project Cost],
ISNUMBER(Table9[Export Revenue Generated (USD) /Project Cost])*
(Table9[Export Revenue Generated (USD) /Project Cost]&gt;0)*
NOT(ISNUMBER(SEARCH("Agriculture",Table9[Sector])))
),
_xlpm.med,MEDIAN(_xlpm.data),
_xlpm.mad,MEDIAN(ABS(_xlpm.data-_xlpm.med)),
SUMPRODUCT(--(ABS(_xlpm.data-_xlpm.med)&gt;2.5*_xlpm.mad))
)</f>
        <v>0</v>
      </c>
      <c r="AR8" s="203">
        <f t="array" ref="AR8">_xlfn.LET(
_xlpm.data,_xlfn._xlws.FILTER(
Table9[Export Revenue Generated (USD) /Project Cost],
ISNUMBER(Table9[Export Revenue Generated (USD) /Project Cost])*
(Table9[Export Revenue Generated (USD) /Project Cost]&gt;0)*
NOT(ISNUMBER(SEARCH("Agriculture",Table9[Sector])))
),
_xlpm.med,MEDIAN(_xlpm.data),
_xlpm.mad,MEDIAN(ABS(_xlpm.data-_xlpm.med)),
AVERAGE(_xlfn._xlws.FILTER(_xlpm.data,ABS(_xlpm.data-_xlpm.med)&lt;=2.5*_xlpm.mad))
)</f>
        <v>79.736000000000004</v>
      </c>
      <c r="AS8" s="15">
        <f>AO8-AQ8</f>
        <v>1</v>
      </c>
      <c r="AU8" s="206" t="s">
        <v>634</v>
      </c>
      <c r="AV8" s="202">
        <f t="array" ref="AV8">MEDIAN(_xlfn._xlws.FILTER(Table9[Job created per $Mn],ISNUMBER(Table9[Job created per $Mn])*(Table9[Job created per $Mn]&gt;0)*NOT(ISNUMBER(SEARCH("Agriculture",Table9[Sector])))))</f>
        <v>337.46556473829202</v>
      </c>
      <c r="AW8" s="202">
        <f t="array" ref="AW8">AVERAGE(_xlfn._xlws.FILTER(Table9[Job created per $Mn],ISNUMBER(Table9[Job created per $Mn])*(Table9[Job created per $Mn]&gt;0)*NOT(ISNUMBER(SEARCH("Agriculture",Table9[Sector])))))</f>
        <v>1846.2807401547229</v>
      </c>
      <c r="AX8" s="15">
        <f>COUNTIFS(Table9[Job created per $Mn],"&gt;0",Table9[Sector],"&lt;&gt;*Agriculture*")</f>
        <v>7</v>
      </c>
      <c r="AY8" s="195">
        <f t="array" ref="AY8">_xlfn.LET(_xlpm.data,_xlfn._xlws.FILTER(Table9[Job created per $Mn],ISNUMBER(Table9[Job created per $Mn])*(Table9[Job created per $Mn]&gt;0)*NOT(ISNUMBER(SEARCH("Agriculture",Table9[Sector])))),_xlpm.med,MEDIAN(_xlpm.data),_xlpm.mad,MEDIAN(ABS(_xlpm.data-_xlpm.med)),SUMPRODUCT(--(ABS(_xlpm.data-_xlpm.med)&gt;2.5*_xlpm.mad))/COUNT(_xlpm.data))</f>
        <v>0.14285714285714285</v>
      </c>
      <c r="AZ8" s="15">
        <f t="array" ref="AZ8">_xlfn.LET(_xlpm.data,_xlfn._xlws.FILTER(Table9[Job created per $Mn],ISNUMBER(Table9[Job created per $Mn])*(Table9[Job created per $Mn]&gt;0)*NOT(ISNUMBER(SEARCH("Agriculture",Table9[Sector])))),_xlpm.med,MEDIAN(_xlpm.data),_xlpm.mad,MEDIAN(ABS(_xlpm.data-_xlpm.med)),SUMPRODUCT(--(ABS(_xlpm.data-_xlpm.med)&gt;2.5*_xlpm.mad)))</f>
        <v>1</v>
      </c>
      <c r="BA8" s="202">
        <f t="array" ref="BA8">_xlfn.LET(_xlpm.data,_xlfn._xlws.FILTER(Table9[Job created per $Mn],ISNUMBER(Table9[Job created per $Mn])*(Table9[Job created per $Mn]&gt;0)*NOT(ISNUMBER(SEARCH("Agriculture",Table9[Sector])))),_xlpm.med,MEDIAN(_xlpm.data),_xlpm.mad,MEDIAN(ABS(_xlpm.data-_xlpm.med)),AVERAGE(_xlfn._xlws.FILTER(_xlpm.data,ABS(_xlpm.data-_xlpm.med)&lt;=2.5*_xlpm.mad)))</f>
        <v>319.12856423743671</v>
      </c>
      <c r="BB8" s="15">
        <f>AX8-AZ8</f>
        <v>6</v>
      </c>
      <c r="BD8" s="206" t="s">
        <v>634</v>
      </c>
      <c r="BE8" s="202">
        <f t="array" ref="BE8">MEDIAN(
_xlfn._xlws.FILTER(
Table9[Job improved per $Mn],
ISNUMBER(Table9[Job improved per $Mn])*
(Table9[Job improved per $Mn]&gt;0)*
NOT(ISNUMBER(SEARCH("Agriculture",Table9[Sector])))
)
)</f>
        <v>1195.569505719822</v>
      </c>
      <c r="BF8" s="202">
        <f t="array" ref="BF8">AVERAGE(
_xlfn._xlws.FILTER(
Table9[Job improved per $Mn],
ISNUMBER(Table9[Job improved per $Mn])*
(Table9[Job improved per $Mn]&gt;0)*
NOT(ISNUMBER(SEARCH("Agriculture",Table9[Sector])))
)
)</f>
        <v>6741.886619993461</v>
      </c>
      <c r="BG8" s="15">
        <f>COUNTIFS(
Table9[Job improved per $Mn],"&gt;0",
Table9[Sector],"&lt;&gt;*Agriculture*"
)</f>
        <v>7</v>
      </c>
      <c r="BH8" s="195">
        <f t="array" ref="BH8">_xlfn.LET(
_xlpm.data,
_xlfn._xlws.FILTER(
Table9[Job improved per $Mn],
ISNUMBER(Table9[Job improved per $Mn])*
(Table9[Job improved per $Mn]&gt;0)*
NOT(ISNUMBER(SEARCH("Agriculture",Table9[Sector])))
),
_xlpm.med,
MEDIAN(_xlpm.data),
_xlpm.mad,
MEDIAN(ABS(_xlpm.data-_xlpm.med)),
SUMPRODUCT(--(ABS(_xlpm.data-_xlpm.med)&gt;2.5*_xlpm.mad))/COUNT(_xlpm.data)
)</f>
        <v>0.2857142857142857</v>
      </c>
      <c r="BI8" s="15">
        <f t="array" ref="BI8">_xlfn.LET(
_xlpm.data,
_xlfn._xlws.FILTER(
Table9[Job improved per $Mn],
ISNUMBER(Table9[Job improved per $Mn])*
(Table9[Job improved per $Mn]&gt;0)*
NOT(ISNUMBER(SEARCH("Agriculture",Table9[Sector])))
),
_xlpm.med,
MEDIAN(_xlpm.data),
_xlpm.mad,
MEDIAN(ABS(_xlpm.data-_xlpm.med)),
SUMPRODUCT(--(ABS(_xlpm.data-_xlpm.med)&gt;2.5*_xlpm.mad))
)</f>
        <v>2</v>
      </c>
      <c r="BJ8" s="202">
        <f t="array" ref="BJ8">_xlfn.LET(
_xlpm.data,
_xlfn._xlws.FILTER(
Table9[Job improved per $Mn],
ISNUMBER(Table9[Job improved per $Mn])*
(Table9[Job improved per $Mn]&gt;0)*
NOT(ISNUMBER(SEARCH("Agriculture",Table9[Sector])))
),
_xlpm.med,
MEDIAN(_xlpm.data),
_xlpm.mad,
MEDIAN(ABS(_xlpm.data-_xlpm.med)),
AVERAGE(
_xlfn._xlws.FILTER(
_xlpm.data,
ABS(_xlpm.data-_xlpm.med)&lt;=2.5*_xlpm.mad
)
)
)</f>
        <v>902.9839274118973</v>
      </c>
      <c r="BK8" s="15">
        <f>BG8-BI8</f>
        <v>5</v>
      </c>
      <c r="BM8" s="206" t="s">
        <v>634</v>
      </c>
      <c r="BN8" s="203">
        <f t="array" ref="BN8">MEDIAN(
_xlfn._xlws.FILTER(
Table9[Beneficiary Income (USD) / Project Cost],
ISNUMBER(Table9[Beneficiary Income (USD) / Project Cost])*
(Table9[Beneficiary Income (USD) / Project Cost]&gt;0)*
NOT(ISNUMBER(SEARCH("Agriculture",Table9[Sector])))
)
)</f>
        <v>0.26001824000000001</v>
      </c>
      <c r="BO8" s="203">
        <f t="array" ref="BO8">AVERAGE(
_xlfn._xlws.FILTER(
Table9[Beneficiary Income (USD) / Project Cost],
ISNUMBER(Table9[Beneficiary Income (USD) / Project Cost])*
(Table9[Beneficiary Income (USD) / Project Cost]&gt;0)*
NOT(ISNUMBER(SEARCH("Agriculture",Table9[Sector])))
)
)</f>
        <v>0.80286132239402763</v>
      </c>
      <c r="BP8" s="15">
        <f>COUNTIFS(
Table9[Beneficiary Income (USD) / Project Cost],"&gt;0",
Table9[Sector],"&lt;&gt;*Agriculture*"
)</f>
        <v>3</v>
      </c>
      <c r="BQ8" s="195">
        <f t="array" ref="BQ8">_xlfn.LET(
_xlpm.data,
_xlfn._xlws.FILTER(
Table9[Beneficiary Income (USD) / Project Cost],
ISNUMBER(Table9[Beneficiary Income (USD) / Project Cost])*
(Table9[Beneficiary Income (USD) / Project Cost]&gt;0)*
NOT(ISNUMBER(SEARCH("Agriculture",Table9[Sector])))
),
_xlpm.med,
MEDIAN(_xlpm.data),
_xlpm.mad,
MEDIAN(ABS(_xlpm.data-_xlpm.med)),
SUMPRODUCT(--(ABS(_xlpm.data-_xlpm.med)&gt;2.5*_xlpm.mad))/COUNT(_xlpm.data)
)</f>
        <v>0.33333333333333331</v>
      </c>
      <c r="BR8" s="15">
        <f t="array" ref="BR8">_xlfn.LET(
_xlpm.data,
_xlfn._xlws.FILTER(
Table9[Beneficiary Income (USD) / Project Cost],
ISNUMBER(Table9[Beneficiary Income (USD) / Project Cost])*
(Table9[Beneficiary Income (USD) / Project Cost]&gt;0)*
NOT(ISNUMBER(SEARCH("Agriculture",Table9[Sector])))
),
_xlpm.med,
MEDIAN(_xlpm.data),
_xlpm.mad,
MEDIAN(ABS(_xlpm.data-_xlpm.med)),
SUMPRODUCT(--(ABS(_xlpm.data-_xlpm.med)&gt;2.5*_xlpm.mad))
)</f>
        <v>1</v>
      </c>
      <c r="BS8" s="203">
        <f t="array" ref="BS8">_xlfn.LET(
_xlpm.data,
_xlfn._xlws.FILTER(
Table9[Beneficiary Income (USD) / Project Cost],
ISNUMBER(Table9[Beneficiary Income (USD) / Project Cost])*
(Table9[Beneficiary Income (USD) / Project Cost]&gt;0)*
NOT(ISNUMBER(SEARCH("Agriculture",Table9[Sector])))
),
_xlpm.med,
MEDIAN(_xlpm.data),
_xlpm.mad,
MEDIAN(ABS(_xlpm.data-_xlpm.med)),
AVERAGE(
_xlfn._xlws.FILTER(
_xlpm.data,
ABS(_xlpm.data-_xlpm.med)&lt;=2.5*_xlpm.mad
)
)
)</f>
        <v>0.22311912</v>
      </c>
      <c r="BT8" s="15">
        <f>BP8-BR8</f>
        <v>2</v>
      </c>
    </row>
    <row r="9" spans="2:72" x14ac:dyDescent="0.25">
      <c r="B9" s="373" t="s">
        <v>635</v>
      </c>
      <c r="C9" s="373"/>
      <c r="D9" s="373"/>
      <c r="E9" s="373"/>
      <c r="F9" s="373"/>
      <c r="G9" s="373"/>
      <c r="H9" s="373"/>
      <c r="I9" s="373"/>
      <c r="J9" s="417"/>
      <c r="K9" s="373" t="s">
        <v>635</v>
      </c>
      <c r="L9" s="373"/>
      <c r="M9" s="373"/>
      <c r="N9" s="373"/>
      <c r="O9" s="420"/>
      <c r="P9" s="373"/>
      <c r="Q9" s="373"/>
      <c r="R9" s="373"/>
      <c r="S9" s="417"/>
      <c r="T9" s="373" t="s">
        <v>635</v>
      </c>
      <c r="U9" s="373"/>
      <c r="V9" s="373"/>
      <c r="W9" s="373"/>
      <c r="X9" s="373"/>
      <c r="Y9" s="373"/>
      <c r="Z9" s="373"/>
      <c r="AA9" s="373"/>
      <c r="AB9" s="417"/>
      <c r="AC9" s="373" t="s">
        <v>635</v>
      </c>
      <c r="AD9" s="373"/>
      <c r="AE9" s="373"/>
      <c r="AF9" s="373"/>
      <c r="AG9" s="373"/>
      <c r="AH9" s="373"/>
      <c r="AI9" s="373"/>
      <c r="AJ9" s="373"/>
      <c r="AK9" s="417"/>
      <c r="AL9" s="373" t="s">
        <v>635</v>
      </c>
      <c r="AM9" s="373"/>
      <c r="AN9" s="373"/>
      <c r="AO9" s="373"/>
      <c r="AP9" s="373"/>
      <c r="AQ9" s="373"/>
      <c r="AR9" s="373"/>
      <c r="AS9" s="373"/>
      <c r="AT9" s="417"/>
      <c r="AU9" s="373" t="s">
        <v>635</v>
      </c>
      <c r="AV9" s="373"/>
      <c r="AW9" s="373"/>
      <c r="AX9" s="373"/>
      <c r="AY9" s="373"/>
      <c r="AZ9" s="373"/>
      <c r="BA9" s="373"/>
      <c r="BB9" s="373"/>
      <c r="BC9" s="417"/>
      <c r="BD9" s="373" t="s">
        <v>635</v>
      </c>
      <c r="BE9" s="373"/>
      <c r="BF9" s="373"/>
      <c r="BG9" s="373"/>
      <c r="BH9" s="420"/>
      <c r="BI9" s="373"/>
      <c r="BJ9" s="373"/>
      <c r="BK9" s="373"/>
      <c r="BL9" s="417"/>
      <c r="BM9" s="373" t="s">
        <v>635</v>
      </c>
      <c r="BN9" s="373"/>
      <c r="BO9" s="373"/>
      <c r="BP9" s="373"/>
      <c r="BQ9" s="420"/>
      <c r="BR9" s="373"/>
      <c r="BS9" s="373"/>
      <c r="BT9" s="373"/>
    </row>
    <row r="10" spans="2:72" x14ac:dyDescent="0.25">
      <c r="B10" s="206" t="s">
        <v>716</v>
      </c>
      <c r="C10" s="344" t="e">
        <f t="array" ref="C10">MEDIAN(_xlfn._xlws.FILTER(Table9[Income per beneficiary (USD)],(Table9[Income per beneficiary (USD)]&gt;0)*(Table8[Programme Length]&gt;=9)))</f>
        <v>#VALUE!</v>
      </c>
      <c r="D10" s="344">
        <f t="array" ref="D10">AVERAGE(_xlfn._xlws.FILTER(Table9[Income per beneficiary (USD)],(Table9[Income per beneficiary (USD)]&gt;0)*(Table9[Programme Length]&gt;=9)))</f>
        <v>437.42477921476103</v>
      </c>
      <c r="E10" s="261">
        <f>COUNTIFS(Table9[Income per beneficiary (USD)],"&gt;0",Table9[Programme Length],"&gt;=9")</f>
        <v>9</v>
      </c>
      <c r="F10" s="343">
        <f t="array" ref="F10">_xlfn.LET(
_xlpm.data,_xlfn._xlws.FILTER(
Table9[Income per beneficiary (USD)],
(Table9[Income per beneficiary (USD)]&gt;0)*
(Table9[Programme Length]&gt;=9)
),
_xlpm.med,MEDIAN(_xlpm.data),
_xlpm.mad,MEDIAN(ABS(_xlpm.data-_xlpm.med)),
SUMPRODUCT(--(ABS(_xlpm.data-_xlpm.med)&gt;2.5*_xlpm.mad))/COUNT(_xlpm.data)
)</f>
        <v>0.22222222222222221</v>
      </c>
      <c r="G10" s="346">
        <f t="array" ref="G10">_xlfn.LET(
_xlpm.data,_xlfn._xlws.FILTER(
Table9[Income per beneficiary (USD)],
(Table9[Income per beneficiary (USD)]&gt;0)*
(Table9[Programme Length]&gt;=9)
),
_xlpm.med,MEDIAN(_xlpm.data),
_xlpm.mad,MEDIAN(ABS(_xlpm.data-_xlpm.med)),
SUMPRODUCT(--(ABS(_xlpm.data-_xlpm.med)&gt;2.5*_xlpm.mad))
)</f>
        <v>2</v>
      </c>
      <c r="H10" s="344">
        <f t="array" ref="H10">_xlfn.LET(
_xlpm.data,_xlfn._xlws.FILTER(
Table9[Income per beneficiary (USD)],
(Table9[Income per beneficiary (USD)]&gt;0)*
(Table9[Programme Length]&gt;=9)
),
_xlpm.med,MEDIAN(_xlpm.data),
_xlpm.mad,MEDIAN(ABS(_xlpm.data-_xlpm.med)),
AVERAGE(_xlfn._xlws.FILTER(_xlpm.data,ABS(_xlpm.data-_xlpm.med)&lt;=2.5*_xlpm.mad))
)</f>
        <v>197.98268201646579</v>
      </c>
      <c r="I10" s="202">
        <f>E10-G10</f>
        <v>7</v>
      </c>
      <c r="J10" s="130"/>
      <c r="K10" s="206" t="s">
        <v>716</v>
      </c>
      <c r="L10" s="371">
        <f t="array" ref="L10">MEDIAN(
_xlfn._xlws.FILTER(
Table9[Normalised Income Impact Ratio],
ISNUMBER(Table9[Normalised Income Impact Ratio])*
(Table9[Normalised Income Impact Ratio]&gt;0)*
(Table9[Programme Length]&gt;=9)
)
)</f>
        <v>2.6493124495294999E-2</v>
      </c>
      <c r="M10" s="371">
        <f t="array" ref="M10">AVERAGE(
_xlfn._xlws.FILTER(
Table9[Normalised Income Impact Ratio],
ISNUMBER(Table9[Normalised Income Impact Ratio])*
(Table9[Normalised Income Impact Ratio]&gt;0)*
(Table9[Programme Length]&gt;=9)
)
)</f>
        <v>0.1053341945378003</v>
      </c>
      <c r="N10" s="344">
        <f>COUNTIFS(
Table9[Normalised Income Impact Ratio],"&gt;0",
Table9[Programme Length],"&gt;=9"
)</f>
        <v>9</v>
      </c>
      <c r="O10" s="343">
        <f t="array" ref="O10">_xlfn.LET(
_xlpm.data,_xlfn._xlws.FILTER(
Table9[Normalised Income Impact Ratio],
ISNUMBER(Table9[Normalised Income Impact Ratio])*
(Table9[Normalised Income Impact Ratio]&gt;0)*
(Table9[Programme Length]&gt;=9)
),
_xlpm.med,MEDIAN(_xlpm.data),
_xlpm.mad,MEDIAN(ABS(_xlpm.data-_xlpm.med)),
SUMPRODUCT(--(ABS(_xlpm.data-_xlpm.med)&gt;2.5*_xlpm.mad))/COUNT(_xlpm.data)
)</f>
        <v>0.33333333333333331</v>
      </c>
      <c r="P10" s="344">
        <f t="array" ref="P10">_xlfn.LET(
_xlpm.data,_xlfn._xlws.FILTER(
Table9[Normalised Income Impact Ratio],
ISNUMBER(Table9[Normalised Income Impact Ratio])*
(Table9[Normalised Income Impact Ratio]&gt;0)*
(Table9[Programme Length]&gt;=9)
),
_xlpm.med,MEDIAN(_xlpm.data),
_xlpm.mad,MEDIAN(ABS(_xlpm.data-_xlpm.med)),
SUMPRODUCT(--(ABS(_xlpm.data-_xlpm.med)&gt;2.5*_xlpm.mad))
)</f>
        <v>3</v>
      </c>
      <c r="Q10" s="371">
        <f t="array" ref="Q10">_xlfn.LET(
_xlpm.data,_xlfn._xlws.FILTER(
Table9[Normalised Income Impact Ratio],
ISNUMBER(Table9[Normalised Income Impact Ratio])*
(Table9[Normalised Income Impact Ratio]&gt;0)*
(Table9[Programme Length]&gt;=9)
),
_xlpm.med,MEDIAN(_xlpm.data),
_xlpm.mad,MEDIAN(ABS(_xlpm.data-_xlpm.med)),
AVERAGE(_xlfn._xlws.FILTER(_xlpm.data,ABS(_xlpm.data-_xlpm.med)&lt;=2.5*_xlpm.mad))
)</f>
        <v>1.9854915260853125E-2</v>
      </c>
      <c r="R10" s="344">
        <f>N10-P10</f>
        <v>6</v>
      </c>
      <c r="S10" s="421"/>
      <c r="T10" s="206" t="s">
        <v>716</v>
      </c>
      <c r="U10" s="371">
        <f t="array" ref="U10">MEDIAN(
_xlfn._xlws.FILTER(
Table9[Private Sector Investment (USD) / Project cost ],
ISNUMBER(Table9[Private Sector Investment (USD) / Project cost ])*
(Table9[Private Sector Investment (USD) / Project cost ]&gt;0)*
(Table9[Programme Length]&gt;=9)
)
)</f>
        <v>0.48221049077583339</v>
      </c>
      <c r="V10" s="371">
        <f t="array" ref="V10">AVERAGE(
_xlfn._xlws.FILTER(
Table9[Private Sector Investment (USD) / Project cost ],
ISNUMBER(Table9[Private Sector Investment (USD) / Project cost ])*
(Table9[Private Sector Investment (USD) / Project cost ]&gt;0)*
(Table9[Programme Length]&gt;=9)
)
)</f>
        <v>0.57602249647158232</v>
      </c>
      <c r="W10" s="261">
        <f>COUNTIFS(
Table9[Private Sector Investment (USD) / Project cost ],"&gt;0",
Table9[Programme Length],"&gt;=9"
)</f>
        <v>7</v>
      </c>
      <c r="X10" s="343">
        <f t="array" ref="X10">_xlfn.LET(
_xlpm.data,_xlfn._xlws.FILTER(
Table9[Private Sector Investment (USD) / Project cost ],
ISNUMBER(Table9[Private Sector Investment (USD) / Project cost ])*
(Table9[Private Sector Investment (USD) / Project cost ]&gt;0)*
(Table9[Programme Length]&gt;=9)
),
_xlpm.med,MEDIAN(_xlpm.data),
_xlpm.mad,MEDIAN(ABS(_xlpm.data-_xlpm.med)),
SUMPRODUCT(--(ABS(_xlpm.data-_xlpm.med)&gt;2.5*_xlpm.mad))/COUNT(_xlpm.data)
)</f>
        <v>0.14285714285714285</v>
      </c>
      <c r="Y10" s="261">
        <f t="array" ref="Y10">_xlfn.LET(
_xlpm.data,_xlfn._xlws.FILTER(
Table9[Private Sector Investment (USD) / Project cost ],
ISNUMBER(Table9[Private Sector Investment (USD) / Project cost ])*
(Table9[Private Sector Investment (USD) / Project cost ]&gt;0)*
(Table9[Programme Length]&gt;=9)
),
_xlpm.med,MEDIAN(_xlpm.data),
_xlpm.mad,MEDIAN(ABS(_xlpm.data-_xlpm.med)),
SUMPRODUCT(--(ABS(_xlpm.data-_xlpm.med)&gt;2.5*_xlpm.mad))
)</f>
        <v>1</v>
      </c>
      <c r="Z10" s="371">
        <f t="array" ref="Z10">_xlfn.LET(
_xlpm.data,_xlfn._xlws.FILTER(
Table9[Private Sector Investment (USD) / Project cost ],
ISNUMBER(Table9[Private Sector Investment (USD) / Project cost ])*
(Table9[Private Sector Investment (USD) / Project cost ]&gt;0)*
(Table9[Programme Length]&gt;=9)
),
_xlpm.med,MEDIAN(_xlpm.data),
_xlpm.mad,MEDIAN(ABS(_xlpm.data-_xlpm.med)),
AVERAGE(_xlfn._xlws.FILTER(_xlpm.data,ABS(_xlpm.data-_xlpm.med)&lt;=2.5*_xlpm.mad))
)</f>
        <v>0.4342926189260185</v>
      </c>
      <c r="AA10" s="261">
        <f>W10-Y10</f>
        <v>6</v>
      </c>
      <c r="AB10" s="422"/>
      <c r="AC10" s="206" t="s">
        <v>716</v>
      </c>
      <c r="AD10" s="371">
        <f t="array" ref="AD10">MEDIAN(
_xlfn._xlws.FILTER(
Table9[Private Sector Revenues Generated (USD) / Project cost],
ISNUMBER(Table9[Private Sector Revenues Generated (USD) / Project cost])*
(Table9[Private Sector Revenues Generated (USD) / Project cost]&gt;0)*
(Table9[Programme Length]&gt;=9)
)
)</f>
        <v>0.48617511520737328</v>
      </c>
      <c r="AE10" s="371">
        <f t="array" ref="AE10">AVERAGE(
_xlfn._xlws.FILTER(
Table9[Private Sector Revenues Generated (USD) / Project cost],
ISNUMBER(Table9[Private Sector Revenues Generated (USD) / Project cost])*
(Table9[Private Sector Revenues Generated (USD) / Project cost]&gt;0)*
(Table9[Programme Length]&gt;=9)
)
)</f>
        <v>2.4156043735061772</v>
      </c>
      <c r="AF10" s="261">
        <f>COUNTIFS(
Table9[Private Sector Revenues Generated (USD) / Project cost],"&gt;0",
Table9[Programme Length],"&gt;=9"
)</f>
        <v>7</v>
      </c>
      <c r="AG10" s="343">
        <f t="array" ref="AG10">_xlfn.LET(
_xlpm.data,_xlfn._xlws.FILTER(
Table9[Private Sector Revenues Generated (USD) / Project cost],
ISNUMBER(Table9[Private Sector Revenues Generated (USD) / Project cost])*
(Table9[Private Sector Revenues Generated (USD) / Project cost]&gt;0)*
(Table9[Programme Length]&gt;=9)
),
_xlpm.med,MEDIAN(_xlpm.data),
_xlpm.mad,MEDIAN(ABS(_xlpm.data-_xlpm.med)),
SUMPRODUCT(--(ABS(_xlpm.data-_xlpm.med)&gt;2.5*_xlpm.mad))/COUNT(_xlpm.data)
)</f>
        <v>0.42857142857142855</v>
      </c>
      <c r="AH10" s="261">
        <f t="array" ref="AH10">_xlfn.LET(
_xlpm.data,_xlfn._xlws.FILTER(
Table9[Private Sector Revenues Generated (USD) / Project cost],
ISNUMBER(Table9[Private Sector Revenues Generated (USD) / Project cost])*
(Table9[Private Sector Revenues Generated (USD) / Project cost]&gt;0)*
(Table9[Programme Length]&gt;=9)
),
_xlpm.med,MEDIAN(_xlpm.data),
_xlpm.mad,MEDIAN(ABS(_xlpm.data-_xlpm.med)),
SUMPRODUCT(--(ABS(_xlpm.data-_xlpm.med)&gt;2.5*_xlpm.mad))
)</f>
        <v>3</v>
      </c>
      <c r="AI10" s="371">
        <f t="array" ref="AI10">_xlfn.LET(
_xlpm.data,_xlfn._xlws.FILTER(
Table9[Private Sector Revenues Generated (USD) / Project cost],
ISNUMBER(Table9[Private Sector Revenues Generated (USD) / Project cost])*
(Table9[Private Sector Revenues Generated (USD) / Project cost]&gt;0)*
(Table9[Programme Length]&gt;=9)
),
_xlpm.med,MEDIAN(_xlpm.data),
_xlpm.mad,MEDIAN(ABS(_xlpm.data-_xlpm.med)),
AVERAGE(_xlfn._xlws.FILTER(_xlpm.data,ABS(_xlpm.data-_xlpm.med)&lt;=2.5*_xlpm.mad))
)</f>
        <v>0.21346738366232937</v>
      </c>
      <c r="AJ10" s="15">
        <f>AF10-AH10</f>
        <v>4</v>
      </c>
      <c r="AL10" s="206" t="s">
        <v>716</v>
      </c>
      <c r="AM10" s="371">
        <f t="array" ref="AM10">MEDIAN(
_xlfn._xlws.FILTER(
Table9[Export Revenue Generated (USD) /Project Cost],
ISNUMBER(Table9[Export Revenue Generated (USD) /Project Cost])*
(Table9[Export Revenue Generated (USD) /Project Cost]&gt;0)*
(Table9[Programme Length]&gt;=9)
)
)</f>
        <v>0.1606363636363636</v>
      </c>
      <c r="AN10" s="371">
        <f t="array" ref="AN10">AVERAGE(
_xlfn._xlws.FILTER(
Table9[Export Revenue Generated (USD) /Project Cost],
ISNUMBER(Table9[Export Revenue Generated (USD) /Project Cost])*
(Table9[Export Revenue Generated (USD) /Project Cost]&gt;0)*
(Table9[Programme Length]&gt;=9)
)
)</f>
        <v>0.21410421197335974</v>
      </c>
      <c r="AO10" s="261">
        <f>COUNTIFS(
Table9[Export Revenue Generated (USD) /Project Cost],"&gt;0",
Table9[Programme Length],"&gt;=9"
)</f>
        <v>3</v>
      </c>
      <c r="AP10" s="343">
        <f t="array" ref="AP10">_xlfn.LET(
_xlpm.data,_xlfn._xlws.FILTER(
Table9[Export Revenue Generated (USD) /Project Cost],
ISNUMBER(Table9[Export Revenue Generated (USD) /Project Cost])*
(Table9[Export Revenue Generated (USD) /Project Cost]&gt;0)*
(Table9[Programme Length]&gt;=9)
),
_xlpm.med,MEDIAN(_xlpm.data),
_xlpm.mad,MEDIAN(ABS(_xlpm.data-_xlpm.med)),
SUMPRODUCT(--(ABS(_xlpm.data-_xlpm.med)&gt;2.5*_xlpm.mad))/COUNT(_xlpm.data)
)</f>
        <v>0</v>
      </c>
      <c r="AQ10" s="261">
        <f t="array" ref="AQ10">_xlfn.LET(
_xlpm.data,_xlfn._xlws.FILTER(
Table9[Export Revenue Generated (USD) /Project Cost],
ISNUMBER(Table9[Export Revenue Generated (USD) /Project Cost])*
(Table9[Export Revenue Generated (USD) /Project Cost]&gt;0)*
(Table9[Programme Length]&gt;=9)
),
_xlpm.med,MEDIAN(_xlpm.data),
_xlpm.mad,MEDIAN(ABS(_xlpm.data-_xlpm.med)),
SUMPRODUCT(--(ABS(_xlpm.data-_xlpm.med)&gt;2.5*_xlpm.mad))
)</f>
        <v>0</v>
      </c>
      <c r="AR10" s="371">
        <f t="array" ref="AR10">_xlfn.LET(
_xlpm.data,_xlfn._xlws.FILTER(
Table9[Export Revenue Generated (USD) /Project Cost],
ISNUMBER(Table9[Export Revenue Generated (USD) /Project Cost])*
(Table9[Export Revenue Generated (USD) /Project Cost]&gt;0)*
(Table9[Programme Length]&gt;=9)
),
_xlpm.med,MEDIAN(_xlpm.data),
_xlpm.mad,MEDIAN(ABS(_xlpm.data-_xlpm.med)),
AVERAGE(_xlfn._xlws.FILTER(_xlpm.data,ABS(_xlpm.data-_xlpm.med)&lt;=2.5*_xlpm.mad))
)</f>
        <v>0.21410421197335974</v>
      </c>
      <c r="AS10" s="15">
        <f>AO10-AQ10</f>
        <v>3</v>
      </c>
      <c r="AU10" s="206" t="s">
        <v>716</v>
      </c>
      <c r="AV10" s="344">
        <f t="array" ref="AV10">MEDIAN(_xlfn._xlws.FILTER(Table9[Job created per $Mn],ISNUMBER(Table9[Job created per $Mn])*(Table9[Job created per $Mn]&gt;0)*(Table9[Programme Length]&gt;=9)))</f>
        <v>232.73108176739458</v>
      </c>
      <c r="AW10" s="344">
        <f t="array" ref="AW10">AVERAGE(_xlfn._xlws.FILTER(Table9[Job created per $Mn],ISNUMBER(Table9[Job created per $Mn])*(Table9[Job created per $Mn]&gt;0)*(Table9[Programme Length]&gt;=9)))</f>
        <v>461.46649010492717</v>
      </c>
      <c r="AX10" s="261">
        <f>COUNTIFS(Table9[Job created per $Mn],"&gt;0",Table9[Programme Length],"&gt;=9")</f>
        <v>8</v>
      </c>
      <c r="AY10" s="343">
        <f t="array" ref="AY10">_xlfn.LET(
_xlpm.data,_xlfn._xlws.FILTER(Table9[Job created per $Mn],
ISNUMBER(Table9[Job created per $Mn])*
(Table9[Job created per $Mn]&gt;0)*
(Table9[Programme Length]&gt;=9)),
_xlpm.med,MEDIAN(_xlpm.data),
_xlpm.mad,MEDIAN(ABS(_xlpm.data-_xlpm.med)),
SUMPRODUCT(--(ABS(_xlpm.data-_xlpm.med)&gt;2.5*_xlpm.mad))/COUNT(_xlpm.data)
)</f>
        <v>0.125</v>
      </c>
      <c r="AZ10" s="261">
        <f t="array" ref="AZ10">_xlfn.LET(
_xlpm.data,_xlfn._xlws.FILTER(
Table9[Job created per $Mn],
ISNUMBER(Table9[Job created per $Mn])*
(Table9[Job created per $Mn]&gt;0)*
(Table9[Programme Length]&gt;=9)
),
_xlpm.med,MEDIAN(_xlpm.data),
_xlpm.mad,MEDIAN(ABS(_xlpm.data-_xlpm.med)),
SUMPRODUCT(--(ABS(_xlpm.data-_xlpm.med)&gt;2.5*_xlpm.mad))
)</f>
        <v>1</v>
      </c>
      <c r="BA10" s="344">
        <f t="array" ref="BA10">_xlfn.LET(
_xlpm.data,_xlfn._xlws.FILTER(
Table9[Job created per $Mn],
ISNUMBER(Table9[Job created per $Mn])*
(Table9[Job created per $Mn]&gt;0)*
(Table9[Programme Length]&gt;=9)
),
_xlpm.med,MEDIAN(_xlpm.data),
_xlpm.mad,MEDIAN(ABS(_xlpm.data-_xlpm.med)),
AVERAGE(_xlfn._xlws.FILTER(_xlpm.data,ABS(_xlpm.data-_xlpm.med)&lt;=2.5*_xlpm.mad))
)</f>
        <v>178.95821865650223</v>
      </c>
      <c r="BB10" s="15">
        <f>AX10-AZ10</f>
        <v>7</v>
      </c>
      <c r="BD10" s="206" t="s">
        <v>716</v>
      </c>
      <c r="BE10" s="344">
        <f t="array" ref="BE10">MEDIAN(
_xlfn._xlws.FILTER(
Table9[Job improved per $Mn],
ISNUMBER(Table9[Job improved per $Mn])*
(Table9[Job improved per $Mn]&gt;0)*
(Table9[Programme Length]&gt;=9)
)
)</f>
        <v>3050.909090909091</v>
      </c>
      <c r="BF10" s="344">
        <f t="array" ref="BF10">AVERAGE(
_xlfn._xlws.FILTER(
Table9[Job improved per $Mn],
ISNUMBER(Table9[Job improved per $Mn])*
(Table9[Job improved per $Mn]&gt;0)*
(Table9[Programme Length]&gt;=9)
)
)</f>
        <v>7397.3818538683145</v>
      </c>
      <c r="BG10" s="261">
        <f>COUNTIFS(
Table9[Job improved per $Mn],"&gt;0",
Table9[Programme Length],"&gt;=9"
)</f>
        <v>12</v>
      </c>
      <c r="BH10" s="343">
        <f t="array" ref="BH10">_xlfn.LET(
_xlpm.data,
_xlfn._xlws.FILTER(
Table9[Job improved per $Mn],
ISNUMBER(Table9[Job improved per $Mn])*
(Table9[Job improved per $Mn]&gt;0)*
(Table9[Programme Length]&gt;=9)
),
_xlpm.med,
MEDIAN(_xlpm.data),
_xlpm.mad,
MEDIAN(ABS(_xlpm.data-_xlpm.med)),
SUMPRODUCT(--(ABS(_xlpm.data-_xlpm.med)&gt;2.5*_xlpm.mad))/COUNT(_xlpm.data)
)</f>
        <v>0.25</v>
      </c>
      <c r="BI10" s="261">
        <f t="array" ref="BI10">_xlfn.LET(
_xlpm.data,
_xlfn._xlws.FILTER(
Table9[Job improved per $Mn],
ISNUMBER(Table9[Job improved per $Mn])*
(Table9[Job improved per $Mn]&gt;0)*
(Table9[Programme Length]&gt;=9)
),
_xlpm.med,
MEDIAN(_xlpm.data),
_xlpm.mad,
MEDIAN(ABS(_xlpm.data-_xlpm.med)),
SUMPRODUCT(--(ABS(_xlpm.data-_xlpm.med)&gt;2.5*_xlpm.mad))
)</f>
        <v>3</v>
      </c>
      <c r="BJ10" s="344">
        <f t="array" ref="BJ10">_xlfn.LET(
_xlpm.data,
_xlfn._xlws.FILTER(
Table9[Job improved per $Mn],
ISNUMBER(Table9[Job improved per $Mn])*
(Table9[Job improved per $Mn]&gt;0)*
(Table9[Programme Length]&gt;=9)
),
_xlpm.med,
MEDIAN(_xlpm.data),
_xlpm.mad,
MEDIAN(ABS(_xlpm.data-_xlpm.med)),
AVERAGE(
_xlfn._xlws.FILTER(
_xlpm.data,
ABS(_xlpm.data-_xlpm.med)&lt;=2.5*_xlpm.mad
)
)
)</f>
        <v>2709.7043391719071</v>
      </c>
      <c r="BK10" s="15">
        <f>BG10-BI10</f>
        <v>9</v>
      </c>
      <c r="BM10" s="206" t="s">
        <v>716</v>
      </c>
      <c r="BN10" s="371">
        <f t="array" ref="BN10">MEDIAN(
_xlfn._xlws.FILTER(
Table9[Beneficiary Income (USD) / Project Cost],
ISNUMBER(Table9[Beneficiary Income (USD) / Project Cost])*
(Table9[Beneficiary Income (USD) / Project Cost]&gt;0)*
(Table9[Programme Length]&gt;=9)
)
)</f>
        <v>1.583870967741936</v>
      </c>
      <c r="BO10" s="371">
        <f t="array" ref="BO10">AVERAGE(
_xlfn._xlws.FILTER(
Table9[Beneficiary Income (USD) / Project Cost],
ISNUMBER(Table9[Beneficiary Income (USD) / Project Cost])*
(Table9[Beneficiary Income (USD) / Project Cost]&gt;0)*
(Table9[Programme Length]&gt;=9)
)
)</f>
        <v>1.5220389449481746</v>
      </c>
      <c r="BP10" s="261">
        <f>COUNTIFS(
Table9[Beneficiary Income (USD) / Project Cost],"&gt;0",
Table9[Programme Length],"&gt;=9"
)</f>
        <v>9</v>
      </c>
      <c r="BQ10" s="195">
        <f t="array" ref="BQ10">_xlfn.LET(
_xlpm.data,
_xlfn._xlws.FILTER(
Table9[Beneficiary Income (USD) / Project Cost],
ISNUMBER(Table9[Beneficiary Income (USD) / Project Cost])*
(Table9[Beneficiary Income (USD) / Project Cost]&gt;0)*
(Table9[Programme Length]&gt;=9)
),
_xlpm.med,
MEDIAN(_xlpm.data),
_xlpm.mad,
MEDIAN(ABS(_xlpm.data-_xlpm.med)),
SUMPRODUCT(--(ABS(_xlpm.data-_xlpm.med)&gt;2.5*_xlpm.mad))/COUNT(_xlpm.data)
)</f>
        <v>0.1111111111111111</v>
      </c>
      <c r="BR10" s="15">
        <f t="array" ref="BR10">_xlfn.LET(
_xlpm.data,
_xlfn._xlws.FILTER(
Table9[Beneficiary Income (USD) / Project Cost],
ISNUMBER(Table9[Beneficiary Income (USD) / Project Cost])*
(Table9[Beneficiary Income (USD) / Project Cost]&gt;0)*
(Table9[Programme Length]&gt;=9)
),
_xlpm.med,
MEDIAN(_xlpm.data),
_xlpm.mad,
MEDIAN(ABS(_xlpm.data-_xlpm.med)),
SUMPRODUCT(--(ABS(_xlpm.data-_xlpm.med)&gt;2.5*_xlpm.mad))
)</f>
        <v>1</v>
      </c>
      <c r="BS10" s="203">
        <f t="array" ref="BS10">_xlfn.LET(
_xlpm.data,
_xlfn._xlws.FILTER(
Table9[Beneficiary Income (USD) / Project Cost],
ISNUMBER(Table9[Beneficiary Income (USD) / Project Cost])*
(Table9[Beneficiary Income (USD) / Project Cost]&gt;0)*
(Table9[Programme Length]&gt;=9)
),
_xlpm.med,
MEDIAN(_xlpm.data),
_xlpm.mad,
MEDIAN(ABS(_xlpm.data-_xlpm.med)),
AVERAGE(
_xlfn._xlws.FILTER(
_xlpm.data,
ABS(_xlpm.data-_xlpm.med)&lt;=2.5*_xlpm.mad
)
)
)</f>
        <v>1.6342597221576054</v>
      </c>
      <c r="BT10" s="15">
        <f>BP10-BR10</f>
        <v>8</v>
      </c>
    </row>
    <row r="11" spans="2:72" x14ac:dyDescent="0.25">
      <c r="B11" s="206" t="s">
        <v>717</v>
      </c>
      <c r="C11" s="202" t="e">
        <f t="array" ref="C11">MEDIAN(_xlfn._xlws.FILTER(Table9[Income per beneficiary (USD)],(Table9[Income per beneficiary (USD)]&gt;0)*(Table8[Programme Length]&gt;4)*(Table9[Programme Length]&lt;=8)))</f>
        <v>#VALUE!</v>
      </c>
      <c r="D11" s="202" t="e">
        <f t="array" ref="D11">AVERAGE(_xlfn._xlws.FILTER(Table9[Income per beneficiary (USD)],(Table9[Income per beneficiary (USD)]&gt;0)*(Table9[Programme Length]&gt;4)*(Table8[Programme Length]&lt;=8)))</f>
        <v>#VALUE!</v>
      </c>
      <c r="E11" s="15">
        <f>COUNTIFS(Table9[Income per beneficiary (USD)],"&gt;0",Table9[Programme Length],"&gt;4",Table9[Programme Length],"&lt;=8")</f>
        <v>17</v>
      </c>
      <c r="F11" s="195">
        <f t="array" ref="F11">_xlfn.LET(
_xlpm.data,_xlfn._xlws.FILTER(
Table9[Income per beneficiary (USD)],
(Table9[Income per beneficiary (USD)]&gt;0)*
(Table9[Programme Length]&gt;4)*
(Table9[Programme Length]&lt;=8)
),
_xlpm.med,MEDIAN(_xlpm.data),
_xlpm.mad,MEDIAN(ABS(_xlpm.data-_xlpm.med)),
SUMPRODUCT(--(ABS(_xlpm.data-_xlpm.med)&gt;2.5*_xlpm.mad))/COUNT(_xlpm.data)
)</f>
        <v>0.35294117647058826</v>
      </c>
      <c r="G11" s="15">
        <f t="array" ref="G11">_xlfn.LET(
_xlpm.data,_xlfn._xlws.FILTER(
Table9[Income per beneficiary (USD)],
(Table9[Income per beneficiary (USD)]&gt;0)*
(Table9[Programme Length]&gt;4)*
(Table9[Programme Length]&lt;=8)
),
_xlpm.med,MEDIAN(_xlpm.data),
_xlpm.mad,MEDIAN(ABS(_xlpm.data-_xlpm.med)),
SUMPRODUCT(--(ABS(_xlpm.data-_xlpm.med)&gt;2.5*_xlpm.mad))
)</f>
        <v>6</v>
      </c>
      <c r="H11" s="202">
        <f t="array" ref="H11">_xlfn.LET(
_xlpm.data,_xlfn._xlws.FILTER(
Table9[Income per beneficiary (USD)],
(Table9[Income per beneficiary (USD)]&gt;0)*
(Table9[Programme Length]&gt;4)*
(Table9[Programme Length]&lt;=8)
),
_xlpm.med,MEDIAN(_xlpm.data),
_xlpm.mad,MEDIAN(ABS(_xlpm.data-_xlpm.med)),
AVERAGE(_xlfn._xlws.FILTER(_xlpm.data,ABS(_xlpm.data-_xlpm.med)&lt;=2.5*_xlpm.mad))
)</f>
        <v>108.58255558680986</v>
      </c>
      <c r="I11" s="202">
        <f>E11-G11</f>
        <v>11</v>
      </c>
      <c r="J11" s="130"/>
      <c r="K11" s="206" t="s">
        <v>717</v>
      </c>
      <c r="L11" s="203">
        <f t="array" ref="L11">MEDIAN(
_xlfn._xlws.FILTER(
Table9[Normalised Income Impact Ratio],
ISNUMBER(Table9[Normalised Income Impact Ratio])*
(Table9[Normalised Income Impact Ratio]&gt;0)*
(Table9[Programme Length]&gt;4)*
(Table9[Programme Length]&lt;=8)
)
)</f>
        <v>2.4928571428571428E-2</v>
      </c>
      <c r="M11" s="203">
        <f t="array" ref="M11">AVERAGE(
_xlfn._xlws.FILTER(
Table9[Normalised Income Impact Ratio],
ISNUMBER(Table9[Normalised Income Impact Ratio])*
(Table9[Normalised Income Impact Ratio]&gt;0)*
(Table9[Programme Length]&gt;4)*
(Table9[Programme Length]&lt;=8)
)
)</f>
        <v>8.9356563251269366E-2</v>
      </c>
      <c r="N11" s="202">
        <f>COUNTIFS(
Table9[Normalised Income Impact Ratio],"&gt;0",
Table9[Programme Length],"&gt;4",
Table9[Programme Length],"&lt;=8"
)</f>
        <v>17</v>
      </c>
      <c r="O11" s="195">
        <f t="array" ref="O11">_xlfn.LET(
_xlpm.data,_xlfn._xlws.FILTER(
Table9[Normalised Income Impact Ratio],
ISNUMBER(Table9[Normalised Income Impact Ratio])*
(Table9[Normalised Income Impact Ratio]&gt;0)*
(Table9[Programme Length]&gt;4)*
(Table9[Programme Length]&lt;=8)
),
_xlpm.med,MEDIAN(_xlpm.data),
_xlpm.mad,MEDIAN(ABS(_xlpm.data-_xlpm.med)),
SUMPRODUCT(--(ABS(_xlpm.data-_xlpm.med)&gt;2.5*_xlpm.mad))/COUNT(_xlpm.data)
)</f>
        <v>0.41176470588235292</v>
      </c>
      <c r="P11" s="202">
        <f t="array" ref="P11">_xlfn.LET(
_xlpm.data,_xlfn._xlws.FILTER(
Table9[Normalised Income Impact Ratio],
ISNUMBER(Table9[Normalised Income Impact Ratio])*
(Table9[Normalised Income Impact Ratio]&gt;0)*
(Table9[Programme Length]&gt;4)*
(Table9[Programme Length]&lt;=8)
),
_xlpm.med,MEDIAN(_xlpm.data),
_xlpm.mad,MEDIAN(ABS(_xlpm.data-_xlpm.med)),
SUMPRODUCT(--(ABS(_xlpm.data-_xlpm.med)&gt;2.5*_xlpm.mad))
)</f>
        <v>7</v>
      </c>
      <c r="Q11" s="203">
        <f t="array" ref="Q11">_xlfn.LET(
_xlpm.data,_xlfn._xlws.FILTER(
Table9[Normalised Income Impact Ratio],
ISNUMBER(Table9[Normalised Income Impact Ratio])*
(Table9[Normalised Income Impact Ratio]&gt;0)*
(Table9[Programme Length]&gt;4)*
(Table9[Programme Length]&lt;=8)
),
_xlpm.med,MEDIAN(_xlpm.data),
_xlpm.mad,MEDIAN(ABS(_xlpm.data-_xlpm.med)),
AVERAGE(_xlfn._xlws.FILTER(_xlpm.data,ABS(_xlpm.data-_xlpm.med)&lt;=2.5*_xlpm.mad))
)</f>
        <v>1.3856682945957688E-2</v>
      </c>
      <c r="R11" s="344">
        <f>N11-P11</f>
        <v>10</v>
      </c>
      <c r="S11" s="421"/>
      <c r="T11" s="206" t="s">
        <v>717</v>
      </c>
      <c r="U11" s="203">
        <f t="array" ref="U11">MEDIAN(
_xlfn._xlws.FILTER(
Table9[Private Sector Investment (USD) / Project cost ],
ISNUMBER(Table9[Private Sector Investment (USD) / Project cost ])*
(Table9[Private Sector Investment (USD) / Project cost ]&gt;0)*
(Table9[Programme Length]&gt;4)*
(Table9[Programme Length]&lt;=8)
)
)</f>
        <v>0.79365079365079361</v>
      </c>
      <c r="V11" s="203">
        <f t="array" ref="V11">AVERAGE(
_xlfn._xlws.FILTER(
Table9[Private Sector Investment (USD) / Project cost ],
ISNUMBER(Table9[Private Sector Investment (USD) / Project cost ])*
(Table9[Private Sector Investment (USD) / Project cost ]&gt;0)*(Table9[Programme Length]&gt;4)*
(Table9[Programme Length]&lt;=8)
)
)</f>
        <v>2.2287635110439119</v>
      </c>
      <c r="W11" s="15">
        <f>COUNTIFS(
Table9[Private Sector Investment (USD) / Project cost ],"&gt;0",
Table9[Programme Length],"&gt;4",
Table9[Programme Length],"&lt;=8"
)</f>
        <v>29</v>
      </c>
      <c r="X11" s="195">
        <f t="array" ref="X11">_xlfn.LET(
_xlpm.data,_xlfn._xlws.FILTER(
Table9[Private Sector Investment (USD) / Project cost ],
ISNUMBER(Table9[Private Sector Investment (USD) / Project cost ])*
(Table9[Private Sector Investment (USD) / Project cost ]&gt;0)*
(Table9[Programme Length]&gt;4)*
(Table9[Programme Length]&lt;=8)
),
_xlpm.med,MEDIAN(_xlpm.data),
_xlpm.mad,MEDIAN(ABS(_xlpm.data-_xlpm.med)),
SUMPRODUCT(--(ABS(_xlpm.data-_xlpm.med)&gt;2.5*_xlpm.mad))/COUNT(_xlpm.data)
)</f>
        <v>0.20689655172413793</v>
      </c>
      <c r="Y11" s="15">
        <f t="array" ref="Y11">_xlfn.LET(
_xlpm.data,_xlfn._xlws.FILTER(
Table9[Private Sector Investment (USD) / Project cost ],
ISNUMBER(Table9[Private Sector Investment (USD) / Project cost ])*
(Table9[Private Sector Investment (USD) / Project cost ]&gt;0)*
(Table9[Programme Length]&gt;4)*
(Table9[Programme Length]&lt;=8)
),
_xlpm.med,MEDIAN(_xlpm.data),
_xlpm.mad,MEDIAN(ABS(_xlpm.data-_xlpm.med)),
SUMPRODUCT(--(ABS(_xlpm.data-_xlpm.med)&gt;2.5*_xlpm.mad))
)</f>
        <v>6</v>
      </c>
      <c r="Z11" s="203">
        <f t="array" ref="Z11">_xlfn.LET(
_xlpm.data,_xlfn._xlws.FILTER(
Table9[Private Sector Investment (USD) / Project cost ],
ISNUMBER(Table9[Private Sector Investment (USD) / Project cost ])*
(Table9[Private Sector Investment (USD) / Project cost ]&gt;0)*
(Table9[Programme Length]&gt;4)*
(Table9[Programme Length]&lt;=8)
),
_xlpm.med,MEDIAN(_xlpm.data),
_xlpm.mad,MEDIAN(ABS(_xlpm.data-_xlpm.med)),
AVERAGE(_xlfn._xlws.FILTER(_xlpm.data,ABS(_xlpm.data-_xlpm.med)&lt;=2.5*_xlpm.mad))
)</f>
        <v>0.6244249811431789</v>
      </c>
      <c r="AA11" s="261">
        <f>W11-Y11</f>
        <v>23</v>
      </c>
      <c r="AB11" s="422"/>
      <c r="AC11" s="206" t="s">
        <v>717</v>
      </c>
      <c r="AD11" s="203">
        <f t="array" ref="AD11">MEDIAN(
_xlfn._xlws.FILTER(
Table9[Private Sector Revenues Generated (USD) / Project cost],
ISNUMBER(Table9[Private Sector Revenues Generated (USD) / Project cost])*
(Table9[Private Sector Revenues Generated (USD) / Project cost]&gt;0)*
(Table9[Programme Length]&gt;4)*
(Table9[Programme Length]&lt;=8)
)
)</f>
        <v>1.93865246449457</v>
      </c>
      <c r="AE11" s="203">
        <f t="array" ref="AE11">AVERAGE(
_xlfn._xlws.FILTER(
Table9[Private Sector Revenues Generated (USD) / Project cost],
ISNUMBER(Table9[Private Sector Revenues Generated (USD) / Project cost])*
(Table9[Private Sector Revenues Generated (USD) / Project cost]&gt;0)*
(Table9[Programme Length]&gt;4)*
(Table9[Programme Length]&lt;=8)
)
)</f>
        <v>4.448064410610896</v>
      </c>
      <c r="AF11" s="15">
        <f>COUNTIFS(
Table9[Private Sector Revenues Generated (USD) / Project cost],"&gt;0",
Table9[Programme Length],"&gt;4",
Table9[Programme Length],"&lt;=8"
)</f>
        <v>25</v>
      </c>
      <c r="AG11" s="195">
        <f t="array" ref="AG11">_xlfn.LET(
_xlpm.data,_xlfn._xlws.FILTER(
Table9[Private Sector Revenues Generated (USD) / Project cost],
ISNUMBER(Table9[Private Sector Revenues Generated (USD) / Project cost])*
(Table9[Private Sector Revenues Generated (USD) / Project cost]&gt;0)*
(Table9[Programme Length]&gt;4)*
(Table9[Programme Length]&lt;=8)
),
_xlpm.med,MEDIAN(_xlpm.data),
_xlpm.mad,MEDIAN(ABS(_xlpm.data-_xlpm.med)),
SUMPRODUCT(--(ABS(_xlpm.data-_xlpm.med)&gt;2.5*_xlpm.mad))/COUNT(_xlpm.data)
)</f>
        <v>0.24</v>
      </c>
      <c r="AH11" s="15">
        <f t="array" ref="AH11">_xlfn.LET(
_xlpm.data,_xlfn._xlws.FILTER(
Table9[Private Sector Revenues Generated (USD) / Project cost],
ISNUMBER(Table9[Private Sector Revenues Generated (USD) / Project cost])*
(Table9[Private Sector Revenues Generated (USD) / Project cost]&gt;0)*
(Table9[Programme Length]&gt;4)*
(Table9[Programme Length]&lt;=8)
),
_xlpm.med,MEDIAN(_xlpm.data),
_xlpm.mad,MEDIAN(ABS(_xlpm.data-_xlpm.med)),
SUMPRODUCT(--(ABS(_xlpm.data-_xlpm.med)&gt;2.5*_xlpm.mad))
)</f>
        <v>6</v>
      </c>
      <c r="AI11" s="203">
        <f t="array" ref="AI11">_xlfn.LET(
_xlpm.data,_xlfn._xlws.FILTER(
Table9[Private Sector Revenues Generated (USD) / Project cost],
ISNUMBER(Table9[Private Sector Revenues Generated (USD) / Project cost])*
(Table9[Private Sector Revenues Generated (USD) / Project cost]&gt;0)*
(Table9[Programme Length]&gt;4)*
(Table9[Programme Length]&lt;=8)
),
_xlpm.med,MEDIAN(_xlpm.data),
_xlpm.mad,MEDIAN(ABS(_xlpm.data-_xlpm.med)),
AVERAGE(_xlfn._xlws.FILTER(_xlpm.data,ABS(_xlpm.data-_xlpm.med)&lt;=2.5*_xlpm.mad))
)</f>
        <v>1.5848955604574146</v>
      </c>
      <c r="AJ11" s="15">
        <f>AF11-AH11</f>
        <v>19</v>
      </c>
      <c r="AL11" s="206" t="s">
        <v>717</v>
      </c>
      <c r="AM11" s="203">
        <f t="array" ref="AM11">MEDIAN(
_xlfn._xlws.FILTER(
Table9[Export Revenue Generated (USD) /Project Cost],
ISNUMBER(Table9[Export Revenue Generated (USD) /Project Cost])*
(Table9[Export Revenue Generated (USD) /Project Cost]&gt;0)*
(Table9[Programme Length]&gt;4)*
(Table9[Programme Length]&lt;=8)
)
)</f>
        <v>1.3324959804657428</v>
      </c>
      <c r="AN11" s="203">
        <f t="array" ref="AN11">AVERAGE(
_xlfn._xlws.FILTER(
Table9[Export Revenue Generated (USD) /Project Cost],
ISNUMBER(Table9[Export Revenue Generated (USD) /Project Cost])*
(Table9[Export Revenue Generated (USD) /Project Cost]&gt;0)*
(Table9[Programme Length]&gt;4)*
(Table9[Programme Length]&lt;=8)
)
)</f>
        <v>16.349862841331028</v>
      </c>
      <c r="AO11" s="15">
        <f>COUNTIFS(
Table9[Export Revenue Generated (USD) /Project Cost],"&gt;0",
Table9[Programme Length],"&gt;4",
Table9[Programme Length],"&lt;=8"
)</f>
        <v>6</v>
      </c>
      <c r="AP11" s="195">
        <f t="array" ref="AP11">_xlfn.LET(
_xlpm.data,_xlfn._xlws.FILTER(
Table9[Export Revenue Generated (USD) /Project Cost],
ISNUMBER(Table9[Export Revenue Generated (USD) /Project Cost])*
(Table9[Export Revenue Generated (USD) /Project Cost]&gt;0)*
(Table9[Programme Length]&gt;4)*
(Table9[Programme Length]&lt;=8)
),
_xlpm.med,MEDIAN(_xlpm.data),
_xlpm.mad,MEDIAN(ABS(_xlpm.data-_xlpm.med)),
SUMPRODUCT(--(ABS(_xlpm.data-_xlpm.med)&gt;2.5*_xlpm.mad))/COUNT(_xlpm.data)
)</f>
        <v>0.33333333333333331</v>
      </c>
      <c r="AQ11" s="15">
        <f t="array" ref="AQ11">_xlfn.LET(
_xlpm.data,_xlfn._xlws.FILTER(
Table9[Export Revenue Generated (USD) /Project Cost],
ISNUMBER(Table9[Export Revenue Generated (USD) /Project Cost])*
(Table9[Export Revenue Generated (USD) /Project Cost]&gt;0)*
(Table9[Programme Length]&gt;4)*
(Table9[Programme Length]&lt;=8)
),
_xlpm.med,MEDIAN(_xlpm.data),
_xlpm.mad,MEDIAN(ABS(_xlpm.data-_xlpm.med)),
SUMPRODUCT(--(ABS(_xlpm.data-_xlpm.med)&gt;2.5*_xlpm.mad))
)</f>
        <v>2</v>
      </c>
      <c r="AR11" s="203">
        <f t="array" ref="AR11">_xlfn.LET(
_xlpm.data,_xlfn._xlws.FILTER(
Table9[Export Revenue Generated (USD) /Project Cost],
ISNUMBER(Table9[Export Revenue Generated (USD) /Project Cost])*
(Table9[Export Revenue Generated (USD) /Project Cost]&gt;0)*
(Table9[Programme Length]&gt;4)*
(Table9[Programme Length]&lt;=8)
),
_xlpm.med,MEDIAN(_xlpm.data),
_xlpm.mad,MEDIAN(ABS(_xlpm.data-_xlpm.med)),
AVERAGE(_xlfn._xlws.FILTER(_xlpm.data,ABS(_xlpm.data-_xlpm.med)&lt;=2.5*_xlpm.mad))
)</f>
        <v>0.71729081019915197</v>
      </c>
      <c r="AS11" s="15">
        <f>AO11-AQ11</f>
        <v>4</v>
      </c>
      <c r="AU11" s="206" t="s">
        <v>717</v>
      </c>
      <c r="AV11" s="202">
        <f t="array" ref="AV11">MEDIAN(
_xlfn._xlws.FILTER(
Table9[Job created per $Mn],
ISNUMBER(Table9[Job created per $Mn])*
(Table9[Job created per $Mn]&gt;0)*
(Table9[Programme Length]&gt;4)*
(Table9[Programme Length]&lt;=8)
)
)</f>
        <v>591.85231975281738</v>
      </c>
      <c r="AW11" s="202">
        <f t="array" ref="AW11">AVERAGE(
_xlfn._xlws.FILTER(
Table9[Job created per $Mn],
ISNUMBER(Table9[Job created per $Mn])*
(Table9[Job created per $Mn]&gt;0)*
(Table9[Programme Length]&gt;4)*
(Table9[Programme Length]&lt;=8)
)
)</f>
        <v>1317.7836064022451</v>
      </c>
      <c r="AX11" s="15">
        <f>COUNTIFS(
Table9[Job created per $Mn],"&gt;0",
Table9[Programme Length],"&gt;4",
Table9[Programme Length],"&lt;=8"
)</f>
        <v>22</v>
      </c>
      <c r="AY11" s="195">
        <f t="array" ref="AY11">_xlfn.LET(
_xlpm.data,
_xlfn._xlws.FILTER(
Table9[Job created per $Mn],
ISNUMBER(Table9[Job created per $Mn])*
(Table9[Job created per $Mn]&gt;0)*
(Table9[Programme Length]&gt;4)*
(Table9[Programme Length]&lt;=8)
),
_xlpm.med,
MEDIAN(_xlpm.data),
_xlpm.mad,
MEDIAN(ABS(_xlpm.data-_xlpm.med)),
SUMPRODUCT(--(ABS(_xlpm.data-_xlpm.med)&gt;2.5*_xlpm.mad))/COUNT(_xlpm.data)
)</f>
        <v>0.18181818181818182</v>
      </c>
      <c r="AZ11" s="15">
        <f t="array" ref="AZ11">_xlfn.LET(
_xlpm.data,
_xlfn._xlws.FILTER(
Table9[Job created per $Mn],
ISNUMBER(Table9[Job created per $Mn])*
(Table9[Job created per $Mn]&gt;0)*
(Table9[Programme Length]&gt;4)*
(Table9[Programme Length]&lt;=8)
),
_xlpm.med,
MEDIAN(_xlpm.data),
_xlpm.mad,
MEDIAN(ABS(_xlpm.data-_xlpm.med)),
SUMPRODUCT(--(ABS(_xlpm.data-_xlpm.med)&gt;2.5*_xlpm.mad))
)</f>
        <v>4</v>
      </c>
      <c r="BA11" s="202">
        <f t="array" ref="BA11">_xlfn.LET(
_xlpm.data,
_xlfn._xlws.FILTER(
Table9[Job created per $Mn],
ISNUMBER(Table9[Job created per $Mn])*
(Table9[Job created per $Mn]&gt;0)*
(Table9[Programme Length]&gt;4)*
(Table9[Programme Length]&lt;=8)
),
_xlpm.med,
MEDIAN(_xlpm.data),
_xlpm.mad,
MEDIAN(ABS(_xlpm.data-_xlpm.med)),
AVERAGE(
_xlfn._xlws.FILTER(
_xlpm.data,
ABS(_xlpm.data-_xlpm.med)&lt;=2.5*_xlpm.mad
)
)
)</f>
        <v>507.54572181686581</v>
      </c>
      <c r="BB11" s="15">
        <f>AX11-AZ11</f>
        <v>18</v>
      </c>
      <c r="BD11" s="206" t="s">
        <v>717</v>
      </c>
      <c r="BE11" s="202">
        <f t="array" ref="BE11">MEDIAN(
_xlfn._xlws.FILTER(
Table9[Job improved per $Mn],
ISNUMBER(Table9[Job improved per $Mn])*
(Table9[Job improved per $Mn]&gt;0)*
(Table9[Programme Length]&gt;4)*
(Table9[Programme Length]&lt;=8)
)
)</f>
        <v>3839.333698908828</v>
      </c>
      <c r="BF11" s="202">
        <f t="array" ref="BF11">AVERAGE(
_xlfn._xlws.FILTER(
Table9[Job improved per $Mn],
ISNUMBER(Table9[Job improved per $Mn])*
(Table9[Job improved per $Mn]&gt;0)*
(Table9[Programme Length]&gt;4)*
(Table9[Programme Length]&lt;=8)
)
)</f>
        <v>7475.6813397942115</v>
      </c>
      <c r="BG11" s="15">
        <f>COUNTIFS(
Table9[Job improved per $Mn],"&gt;0",
Table9[Programme Length],"&gt;4",
Table9[Programme Length],"&lt;=8"
)</f>
        <v>27</v>
      </c>
      <c r="BH11" s="195">
        <f t="array" ref="BH11">_xlfn.LET(
_xlpm.data,
_xlfn._xlws.FILTER(
Table9[Job improved per $Mn],
ISNUMBER(Table9[Job improved per $Mn])*
(Table9[Job improved per $Mn]&gt;0)*
(Table9[Programme Length]&gt;4)*
(Table9[Programme Length]&lt;=8)
),
_xlpm.med,
MEDIAN(_xlpm.data),
_xlpm.mad,
MEDIAN(ABS(_xlpm.data-_xlpm.med)),
SUMPRODUCT(--(ABS(_xlpm.data-_xlpm.med)&gt;2.5*_xlpm.mad))/COUNT(_xlpm.data)
)</f>
        <v>0.14814814814814814</v>
      </c>
      <c r="BI11" s="15">
        <f t="array" ref="BI11">_xlfn.LET(
_xlpm.data,
_xlfn._xlws.FILTER(
Table9[Job improved per $Mn],
ISNUMBER(Table9[Job improved per $Mn])*
(Table9[Job improved per $Mn]&gt;0)*
(Table9[Programme Length]&gt;4)*
(Table9[Programme Length]&lt;=8)
),
_xlpm.med,
MEDIAN(_xlpm.data),
_xlpm.mad,
MEDIAN(ABS(_xlpm.data-_xlpm.med)),
SUMPRODUCT(--(ABS(_xlpm.data-_xlpm.med)&gt;2.5*_xlpm.mad))
)</f>
        <v>4</v>
      </c>
      <c r="BJ11" s="202">
        <f t="array" ref="BJ11">_xlfn.LET(
_xlpm.data,
_xlfn._xlws.FILTER(
Table9[Job improved per $Mn],
ISNUMBER(Table9[Job improved per $Mn])*
(Table9[Job improved per $Mn]&gt;0)*
(Table9[Programme Length]&gt;4)*
(Table9[Programme Length]&lt;=8)
),
_xlpm.med,
MEDIAN(_xlpm.data),
_xlpm.mad,
MEDIAN(ABS(_xlpm.data-_xlpm.med)),
AVERAGE(
_xlfn._xlws.FILTER(
_xlpm.data,
ABS(_xlpm.data-_xlpm.med)&lt;=2.5*_xlpm.mad
)
)
)</f>
        <v>4382.8559657190499</v>
      </c>
      <c r="BK11" s="15">
        <f>BG11-BI11</f>
        <v>23</v>
      </c>
      <c r="BM11" s="206" t="s">
        <v>717</v>
      </c>
      <c r="BN11" s="203">
        <f t="array" ref="BN11">MEDIAN(
_xlfn._xlws.FILTER(
Table9[Beneficiary Income (USD) / Project Cost],
ISNUMBER(Table9[Beneficiary Income (USD) / Project Cost])*
(Table9[Beneficiary Income (USD) / Project Cost]&gt;0)*
(Table9[Programme Length]&gt;4)*
(Table9[Programme Length]&lt;=8)
)
)</f>
        <v>1.485714285714286</v>
      </c>
      <c r="BO11" s="203">
        <f t="array" ref="BO11">AVERAGE(
_xlfn._xlws.FILTER(
Table9[Beneficiary Income (USD) / Project Cost],
ISNUMBER(Table9[Beneficiary Income (USD) / Project Cost])*
(Table9[Beneficiary Income (USD) / Project Cost]&gt;0)*
(Table9[Programme Length]&gt;4)*
(Table9[Programme Length]&lt;=8)
)
)</f>
        <v>1.7387377994458513</v>
      </c>
      <c r="BP11" s="15">
        <f>COUNTIFS(
Table9[Beneficiary Income (USD) / Project Cost],"&gt;0",
Table9[Programme Length],"&gt;4",
Table9[Programme Length],"&lt;=8"
)</f>
        <v>17</v>
      </c>
      <c r="BQ11" s="195">
        <f t="array" ref="BQ11">_xlfn.LET(
_xlpm.data,
_xlfn._xlws.FILTER(
Table9[Beneficiary Income (USD) / Project Cost],
ISNUMBER(Table9[Beneficiary Income (USD) / Project Cost])*
(Table9[Beneficiary Income (USD) / Project Cost]&gt;0)*
(Table9[Programme Length]&gt;4)*
(Table9[Programme Length]&lt;=8)
),
_xlpm.med,
MEDIAN(_xlpm.data),
_xlpm.mad,
MEDIAN(ABS(_xlpm.data-_xlpm.med)),
SUMPRODUCT(--(ABS(_xlpm.data-_xlpm.med)&gt;2.5*_xlpm.mad))/COUNT(_xlpm.data)
)</f>
        <v>0.11764705882352941</v>
      </c>
      <c r="BR11" s="15">
        <f t="array" ref="BR11">_xlfn.LET(
_xlpm.data,
_xlfn._xlws.FILTER(
Table9[Beneficiary Income (USD) / Project Cost],
ISNUMBER(Table9[Beneficiary Income (USD) / Project Cost])*
(Table9[Beneficiary Income (USD) / Project Cost]&gt;0)*
(Table9[Programme Length]&gt;4)*
(Table9[Programme Length]&lt;=8)
),
_xlpm.med,
MEDIAN(_xlpm.data),
_xlpm.mad,
MEDIAN(ABS(_xlpm.data-_xlpm.med)),
SUMPRODUCT(--(ABS(_xlpm.data-_xlpm.med)&gt;2.5*_xlpm.mad))
)</f>
        <v>2</v>
      </c>
      <c r="BS11" s="203">
        <f t="array" ref="BS11">_xlfn.LET(
_xlpm.data,
_xlfn._xlws.FILTER(
Table9[Beneficiary Income (USD) / Project Cost],
ISNUMBER(Table9[Beneficiary Income (USD) / Project Cost])*
(Table9[Beneficiary Income (USD) / Project Cost]&gt;0)*
(Table9[Programme Length]&gt;4)*
(Table9[Programme Length]&lt;=8)
),
_xlpm.med,
MEDIAN(_xlpm.data),
_xlpm.mad,
MEDIAN(ABS(_xlpm.data-_xlpm.med)),
AVERAGE(
_xlfn._xlws.FILTER(
_xlpm.data,
ABS(_xlpm.data-_xlpm.med)&lt;=2.5*_xlpm.mad
)
)
)</f>
        <v>1.3692438221268184</v>
      </c>
      <c r="BT11" s="15">
        <f>BP11-BR11</f>
        <v>15</v>
      </c>
    </row>
    <row r="12" spans="2:72" x14ac:dyDescent="0.25">
      <c r="B12" s="206" t="s">
        <v>718</v>
      </c>
      <c r="C12" s="202">
        <f t="array" ref="C12">MEDIAN(_xlfn._xlws.FILTER(Table9[Income per beneficiary (USD)], (Table9[Income per beneficiary (USD)]&gt;0)*(Table9[Programme Length]&lt;=4)))</f>
        <v>261.03095479055395</v>
      </c>
      <c r="D12" s="202">
        <f t="array" ref="D12">AVERAGE(_xlfn._xlws.FILTER(Table9[Income per beneficiary (USD)], (Table9[Income per beneficiary (USD)]&gt;0)*(Table9[Programme Length]&lt;=4)))</f>
        <v>281.37129921011558</v>
      </c>
      <c r="E12" s="15">
        <f>COUNTIFS(Table9[Income per beneficiary (USD)],"&gt;0", Table9[Programme Length], "&lt;=4")</f>
        <v>18</v>
      </c>
      <c r="F12" s="195">
        <f t="array" ref="F12">_xlfn.LET(
_xlpm.data,_xlfn._xlws.FILTER(
Table9[Income per beneficiary (USD)],
(Table9[Income per beneficiary (USD)]&gt;0)*
(Table9[Programme Length]&lt;=4)
),
_xlpm.med,MEDIAN(_xlpm.data),
_xlpm.mad,MEDIAN(ABS(_xlpm.data-_xlpm.med)),
SUMPRODUCT(--(ABS(_xlpm.data-_xlpm.med)&gt;2.5*_xlpm.mad))/COUNT(_xlpm.data)
)</f>
        <v>0</v>
      </c>
      <c r="G12" s="15">
        <f t="array" ref="G12">_xlfn.LET(
_xlpm.data,_xlfn._xlws.FILTER(
Table9[Income per beneficiary (USD)],
(Table9[Income per beneficiary (USD)]&gt;0)*
(Table9[Programme Length]&lt;=4)
),
_xlpm.med,MEDIAN(_xlpm.data),
_xlpm.mad,MEDIAN(ABS(_xlpm.data-_xlpm.med)),
SUMPRODUCT(--(ABS(_xlpm.data-_xlpm.med)&gt;2.5*_xlpm.mad))
)</f>
        <v>0</v>
      </c>
      <c r="H12" s="202">
        <f t="array" ref="H12">_xlfn.LET(
_xlpm.data,_xlfn._xlws.FILTER(
Table9[Income per beneficiary (USD)],
(Table9[Income per beneficiary (USD)]&gt;0)*
(Table9[Programme Length]&lt;=4)
),
_xlpm.med,MEDIAN(_xlpm.data),
_xlpm.mad,MEDIAN(ABS(_xlpm.data-_xlpm.med)),
AVERAGE(_xlfn._xlws.FILTER(_xlpm.data,ABS(_xlpm.data-_xlpm.med)&lt;=2.5*_xlpm.mad))
)</f>
        <v>281.37129921011558</v>
      </c>
      <c r="I12" s="202">
        <f>E12-G12</f>
        <v>18</v>
      </c>
      <c r="J12" s="130"/>
      <c r="K12" s="206" t="s">
        <v>718</v>
      </c>
      <c r="L12" s="203">
        <f t="array" ref="L12">MEDIAN(
_xlfn._xlws.FILTER(
Table9[Normalised Income Impact Ratio],
ISNUMBER(Table9[Normalised Income Impact Ratio])*
(Table9[Normalised Income Impact Ratio]&gt;0)*
(Table9[Programme Length]&lt;=4)
)
)</f>
        <v>2.5295999999999999E-2</v>
      </c>
      <c r="M12" s="203">
        <f t="array" ref="M12">AVERAGE(
_xlfn._xlws.FILTER(
Table9[Normalised Income Impact Ratio],
ISNUMBER(Table9[Normalised Income Impact Ratio])*
(Table9[Normalised Income Impact Ratio]&gt;0)*
(Table9[Programme Length]&lt;=4)
)
)</f>
        <v>4.6403413579836912E-2</v>
      </c>
      <c r="N12" s="202">
        <f>COUNTIFS(
Table9[Normalised Income Impact Ratio],"&gt;0",
Table9[Programme Length],"&lt;=4"
)</f>
        <v>17</v>
      </c>
      <c r="O12" s="195">
        <f t="array" ref="O12">_xlfn.LET(
_xlpm.data,_xlfn._xlws.FILTER(
Table9[Normalised Income Impact Ratio],
ISNUMBER(Table9[Normalised Income Impact Ratio])*
(Table9[Normalised Income Impact Ratio]&gt;0)*
(Table9[Programme Length]&lt;=4)
),
_xlpm.med,MEDIAN(_xlpm.data),
_xlpm.mad,MEDIAN(ABS(_xlpm.data-_xlpm.med)),
SUMPRODUCT(--(ABS(_xlpm.data-_xlpm.med)&gt;2.5*_xlpm.mad))/COUNT(_xlpm.data)
)</f>
        <v>0.17647058823529413</v>
      </c>
      <c r="P12" s="202">
        <f t="array" ref="P12">_xlfn.LET(
_xlpm.data,_xlfn._xlws.FILTER(
Table9[Normalised Income Impact Ratio],
ISNUMBER(Table9[Normalised Income Impact Ratio])*
(Table9[Normalised Income Impact Ratio]&gt;0)*
(Table9[Programme Length]&lt;=4)
),
_xlpm.med,MEDIAN(_xlpm.data),
_xlpm.mad,MEDIAN(ABS(_xlpm.data-_xlpm.med)),
SUMPRODUCT(--(ABS(_xlpm.data-_xlpm.med)&gt;2.5*_xlpm.mad))
)</f>
        <v>3</v>
      </c>
      <c r="Q12" s="203">
        <f t="array" ref="Q12">_xlfn.LET(
_xlpm.data,_xlfn._xlws.FILTER(
Table9[Normalised Income Impact Ratio],
ISNUMBER(Table9[Normalised Income Impact Ratio])*
(Table9[Normalised Income Impact Ratio]&gt;0)*
(Table9[Programme Length]&lt;=4)
),
_xlpm.med,MEDIAN(_xlpm.data),
_xlpm.mad,MEDIAN(ABS(_xlpm.data-_xlpm.med)),
AVERAGE(_xlfn._xlws.FILTER(_xlpm.data,ABS(_xlpm.data-_xlpm.med)&lt;=2.5*_xlpm.mad))
)</f>
        <v>2.4031787904528593E-2</v>
      </c>
      <c r="R12" s="344">
        <f>N12-P12</f>
        <v>14</v>
      </c>
      <c r="S12" s="421"/>
      <c r="T12" s="206" t="s">
        <v>718</v>
      </c>
      <c r="U12" s="203">
        <f t="array" ref="U12">MEDIAN(
_xlfn._xlws.FILTER(
Table9[Private Sector Investment (USD) / Project cost ],
ISNUMBER(Table9[Private Sector Investment (USD) / Project cost ])*
(Table9[Private Sector Investment (USD) / Project cost ]&gt;0)*
(Table9[Programme Length]&lt;=4)
)
)</f>
        <v>0.1757894736842105</v>
      </c>
      <c r="V12" s="203">
        <f t="array" ref="V12">AVERAGE(
_xlfn._xlws.FILTER(
Table9[Private Sector Investment (USD) / Project cost ],
ISNUMBER(Table9[Private Sector Investment (USD) / Project cost ])*
(Table9[Private Sector Investment (USD) / Project cost ]&gt;0)*
(Table9[Programme Length]&lt;=4)
)
)</f>
        <v>0.82170372237850842</v>
      </c>
      <c r="W12" s="15">
        <f>COUNTIFS(
Table9[Private Sector Investment (USD) / Project cost ],"&gt;0",
Table9[Programme Length],"&lt;=4"
)</f>
        <v>21</v>
      </c>
      <c r="X12" s="195">
        <f t="array" ref="X12">_xlfn.LET(
_xlpm.data,_xlfn._xlws.FILTER(
Table9[Private Sector Investment (USD) / Project cost ],
ISNUMBER(Table9[Private Sector Investment (USD) / Project cost ])*
(Table9[Private Sector Investment (USD) / Project cost ]&gt;0)*
(Table9[Programme Length]&lt;=4)
),
_xlpm.med,MEDIAN(_xlpm.data),
_xlpm.mad,MEDIAN(ABS(_xlpm.data-_xlpm.med)),
SUMPRODUCT(--(ABS(_xlpm.data-_xlpm.med)&gt;2.5*_xlpm.mad))/COUNT(_xlpm.data)
)</f>
        <v>0.23809523809523808</v>
      </c>
      <c r="Y12" s="15">
        <f t="array" ref="Y12">_xlfn.LET(
_xlpm.data,_xlfn._xlws.FILTER(
Table9[Private Sector Investment (USD) / Project cost ],
ISNUMBER(Table9[Private Sector Investment (USD) / Project cost ])*
(Table9[Private Sector Investment (USD) / Project cost ]&gt;0)*
(Table9[Programme Length]&lt;=4)
),
_xlpm.med,MEDIAN(_xlpm.data),
_xlpm.mad,MEDIAN(ABS(_xlpm.data-_xlpm.med)),
SUMPRODUCT(--(ABS(_xlpm.data-_xlpm.med)&gt;2.5*_xlpm.mad))
)</f>
        <v>5</v>
      </c>
      <c r="Z12" s="203">
        <f t="array" ref="Z12">_xlfn.LET(
_xlpm.data,_xlfn._xlws.FILTER(
Table9[Private Sector Investment (USD) / Project cost ],
ISNUMBER(Table9[Private Sector Investment (USD) / Project cost ])*
(Table9[Private Sector Investment (USD) / Project cost ]&gt;0)*
(Table9[Programme Length]&lt;=4)
),
_xlpm.med,MEDIAN(_xlpm.data),
_xlpm.mad,MEDIAN(ABS(_xlpm.data-_xlpm.med)),
AVERAGE(_xlfn._xlws.FILTER(_xlpm.data,ABS(_xlpm.data-_xlpm.med)&lt;=2.5*_xlpm.mad))
)</f>
        <v>0.19858877598612323</v>
      </c>
      <c r="AA12" s="261">
        <f>W12-Y12</f>
        <v>16</v>
      </c>
      <c r="AB12" s="422"/>
      <c r="AC12" s="206" t="s">
        <v>718</v>
      </c>
      <c r="AD12" s="203">
        <f t="array" ref="AD12">MEDIAN(
_xlfn._xlws.FILTER(
Table9[Private Sector Revenues Generated (USD) / Project cost],
ISNUMBER(Table9[Private Sector Revenues Generated (USD) / Project cost])*
(Table9[Private Sector Revenues Generated (USD) / Project cost]&gt;0)*
(Table9[Programme Length]&lt;=4)
)
)</f>
        <v>0.23866666666666669</v>
      </c>
      <c r="AE12" s="203">
        <f t="array" ref="AE12">AVERAGE(
_xlfn._xlws.FILTER(
Table9[Private Sector Revenues Generated (USD) / Project cost],
ISNUMBER(Table9[Private Sector Revenues Generated (USD) / Project cost])*
(Table9[Private Sector Revenues Generated (USD) / Project cost]&gt;0)*
(Table9[Programme Length]&lt;=4)
)
)</f>
        <v>0.59608986872102998</v>
      </c>
      <c r="AF12" s="15">
        <f>COUNTIFS(
Table9[Private Sector Revenues Generated (USD) / Project cost],"&gt;0",
Table9[Programme Length],"&lt;=4"
)</f>
        <v>15</v>
      </c>
      <c r="AG12" s="195">
        <f t="array" ref="AG12">_xlfn.LET(
_xlpm.data,_xlfn._xlws.FILTER(
Table9[Private Sector Revenues Generated (USD) / Project cost],
ISNUMBER(Table9[Private Sector Revenues Generated (USD) / Project cost])*
(Table9[Private Sector Revenues Generated (USD) / Project cost]&gt;0)*
(Table9[Programme Length]&lt;=4)
),
_xlpm.med,MEDIAN(_xlpm.data),
_xlpm.mad,MEDIAN(ABS(_xlpm.data-_xlpm.med)),
SUMPRODUCT(--(ABS(_xlpm.data-_xlpm.med)&gt;2.5*_xlpm.mad))/COUNT(_xlpm.data)
)</f>
        <v>0.26666666666666666</v>
      </c>
      <c r="AH12" s="15">
        <f t="array" ref="AH12">_xlfn.LET(
_xlpm.data,_xlfn._xlws.FILTER(
Table9[Private Sector Revenues Generated (USD) / Project cost],
ISNUMBER(Table9[Private Sector Revenues Generated (USD) / Project cost])*
(Table9[Private Sector Revenues Generated (USD) / Project cost]&gt;0)*
(Table9[Programme Length]&lt;=4)
),
_xlpm.med,MEDIAN(_xlpm.data),
_xlpm.mad,MEDIAN(ABS(_xlpm.data-_xlpm.med)),
SUMPRODUCT(--(ABS(_xlpm.data-_xlpm.med)&gt;2.5*_xlpm.mad))
)</f>
        <v>4</v>
      </c>
      <c r="AI12" s="203">
        <f t="array" ref="AI12">_xlfn.LET(
_xlpm.data,_xlfn._xlws.FILTER(
Table9[Private Sector Revenues Generated (USD) / Project cost],
ISNUMBER(Table9[Private Sector Revenues Generated (USD) / Project cost])*
(Table9[Private Sector Revenues Generated (USD) / Project cost]&gt;0)*
(Table9[Programme Length]&lt;=4)
),
_xlpm.med,MEDIAN(_xlpm.data),
_xlpm.mad,MEDIAN(ABS(_xlpm.data-_xlpm.med)),
AVERAGE(_xlfn._xlws.FILTER(_xlpm.data,ABS(_xlpm.data-_xlpm.med)&lt;=2.5*_xlpm.mad))
)</f>
        <v>0.21464265583049064</v>
      </c>
      <c r="AJ12" s="15">
        <f>AF12-AH12</f>
        <v>11</v>
      </c>
      <c r="AL12" s="206" t="s">
        <v>718</v>
      </c>
      <c r="AM12" s="203">
        <f t="array" ref="AM12">MEDIAN(
_xlfn._xlws.FILTER(
Table9[Export Revenue Generated (USD) /Project Cost],
ISNUMBER(Table9[Export Revenue Generated (USD) /Project Cost])*
(Table9[Export Revenue Generated (USD) /Project Cost]&gt;0)*
(Table9[Programme Length]&lt;=4)
)
)</f>
        <v>3.6333847829880667E-2</v>
      </c>
      <c r="AN12" s="203">
        <f t="array" ref="AN12">AVERAGE(
_xlfn._xlws.FILTER(
Table9[Export Revenue Generated (USD) /Project Cost],
ISNUMBER(Table9[Export Revenue Generated (USD) /Project Cost])*
(Table9[Export Revenue Generated (USD) /Project Cost]&gt;0)*
(Table9[Programme Length]&lt;=4)
)
)</f>
        <v>9.5733942900764785E-2</v>
      </c>
      <c r="AO12" s="15">
        <f>COUNTIFS(
Table9[Export Revenue Generated (USD) /Project Cost],"&gt;0",
Table9[Programme Length],"&lt;=4"
)</f>
        <v>5</v>
      </c>
      <c r="AP12" s="195">
        <f t="array" ref="AP12">_xlfn.LET(
_xlpm.data,_xlfn._xlws.FILTER(
Table9[Export Revenue Generated (USD) /Project Cost],
ISNUMBER(Table9[Export Revenue Generated (USD) /Project Cost])*
(Table9[Export Revenue Generated (USD) /Project Cost]&gt;0)*
(Table9[Programme Length]&lt;=4)
),
_xlpm.med,MEDIAN(_xlpm.data),
_xlpm.mad,MEDIAN(ABS(_xlpm.data-_xlpm.med)),
SUMPRODUCT(--(ABS(_xlpm.data-_xlpm.med)&gt;2.5*_xlpm.mad))/COUNT(_xlpm.data)
)</f>
        <v>0.2</v>
      </c>
      <c r="AQ12" s="15">
        <f t="array" ref="AQ12">_xlfn.LET(
_xlpm.data,_xlfn._xlws.FILTER(
Table9[Export Revenue Generated (USD) /Project Cost],
ISNUMBER(Table9[Export Revenue Generated (USD) /Project Cost])*
(Table9[Export Revenue Generated (USD) /Project Cost]&gt;0)*
(Table9[Programme Length]&lt;=4)
),
_xlpm.med,MEDIAN(_xlpm.data),
_xlpm.mad,MEDIAN(ABS(_xlpm.data-_xlpm.med)),
SUMPRODUCT(--(ABS(_xlpm.data-_xlpm.med)&gt;2.5*_xlpm.mad))
)</f>
        <v>1</v>
      </c>
      <c r="AR12" s="203">
        <f t="array" ref="AR12">_xlfn.LET(
_xlpm.data,_xlfn._xlws.FILTER(
Table9[Export Revenue Generated (USD) /Project Cost],
ISNUMBER(Table9[Export Revenue Generated (USD) /Project Cost])*
(Table9[Export Revenue Generated (USD) /Project Cost]&gt;0)*
(Table9[Programme Length]&lt;=4)
),
_xlpm.med,MEDIAN(_xlpm.data),
_xlpm.mad,MEDIAN(ABS(_xlpm.data-_xlpm.med)),
AVERAGE(_xlfn._xlws.FILTER(_xlpm.data,ABS(_xlpm.data-_xlpm.med)&lt;=2.5*_xlpm.mad))
)</f>
        <v>3.2814023277639069E-2</v>
      </c>
      <c r="AS12" s="15">
        <f>AO12-AQ12</f>
        <v>4</v>
      </c>
      <c r="AU12" s="206" t="s">
        <v>718</v>
      </c>
      <c r="AV12" s="202">
        <f t="array" ref="AV12">MEDIAN(
_xlfn._xlws.FILTER(
Table9[Job created per $Mn],
ISNUMBER(Table9[Job created per $Mn])*
(Table9[Job created per $Mn]&gt;0)*
(Table9[Programme Length]&lt;=4)
)
)</f>
        <v>199.58210803281219</v>
      </c>
      <c r="AW12" s="202">
        <f t="array" ref="AW12">AVERAGE(
_xlfn._xlws.FILTER(
Table9[Job created per $Mn],
ISNUMBER(Table9[Job created per $Mn])*
(Table9[Job created per $Mn]&gt;0)*
(Table9[Programme Length]&lt;=4)
)
)</f>
        <v>475.66084400402889</v>
      </c>
      <c r="AX12" s="15">
        <f>COUNTIFS(
Table9[Job created per $Mn],"&gt;0",
Table9[Programme Length],"&lt;=4"
)</f>
        <v>11</v>
      </c>
      <c r="AY12" s="195">
        <f t="array" ref="AY12">_xlfn.LET(
_xlpm.data,
_xlfn._xlws.FILTER(
Table9[Job created per $Mn],
ISNUMBER(Table9[Job created per $Mn])*
(Table9[Job created per $Mn]&gt;0)*
(Table9[Programme Length]&lt;=4)
),
_xlpm.med,
MEDIAN(_xlpm.data),
_xlpm.mad,
MEDIAN(ABS(_xlpm.data-_xlpm.med)),
SUMPRODUCT(--(ABS(_xlpm.data-_xlpm.med)&gt;2.5*_xlpm.mad))/COUNT(_xlpm.data)
)</f>
        <v>9.0909090909090912E-2</v>
      </c>
      <c r="AZ12" s="15">
        <f t="array" ref="AZ12">_xlfn.LET(
_xlpm.data,
_xlfn._xlws.FILTER(
Table9[Job created per $Mn],
ISNUMBER(Table9[Job created per $Mn])*
(Table9[Job created per $Mn]&gt;0)*
(Table9[Programme Length]&lt;=4)
),
_xlpm.med,
MEDIAN(_xlpm.data),
_xlpm.mad,
MEDIAN(ABS(_xlpm.data-_xlpm.med)),
SUMPRODUCT(--(ABS(_xlpm.data-_xlpm.med)&gt;2.5*_xlpm.mad))
)</f>
        <v>1</v>
      </c>
      <c r="BA12" s="202">
        <f t="array" ref="BA12">_xlfn.LET(
_xlpm.data,
_xlfn._xlws.FILTER(
Table9[Job created per $Mn],
ISNUMBER(Table9[Job created per $Mn])*
(Table9[Job created per $Mn]&gt;0)*
(Table9[Programme Length]&lt;=4)
),
_xlpm.med,
MEDIAN(_xlpm.data),
_xlpm.mad,
MEDIAN(ABS(_xlpm.data-_xlpm.med)),
AVERAGE(
_xlfn._xlws.FILTER(
_xlpm.data,
ABS(_xlpm.data-_xlpm.med)&lt;=2.5*_xlpm.mad
)
)
)</f>
        <v>299.8935950710985</v>
      </c>
      <c r="BB12" s="15">
        <f>AX12-AZ12</f>
        <v>10</v>
      </c>
      <c r="BD12" s="206" t="s">
        <v>718</v>
      </c>
      <c r="BE12" s="202">
        <f t="array" ref="BE12">MEDIAN(
_xlfn._xlws.FILTER(
Table9[Job improved per $Mn],
ISNUMBER(Table9[Job improved per $Mn])*
(Table9[Job improved per $Mn]&gt;0)*
(Table9[Programme Length]&lt;=4)
)
)</f>
        <v>1500.4662878093845</v>
      </c>
      <c r="BF12" s="202">
        <f t="array" ref="BF12">AVERAGE(
_xlfn._xlws.FILTER(
Table9[Job improved per $Mn],
ISNUMBER(Table9[Job improved per $Mn])*
(Table9[Job improved per $Mn]&gt;0)*
(Table9[Programme Length]&lt;=4)
)
)</f>
        <v>2903.8880848045233</v>
      </c>
      <c r="BG12" s="15">
        <f>COUNTIFS(
Table9[Job improved per $Mn],"&gt;0",
Table9[Programme Length],"&lt;=4"
)</f>
        <v>26</v>
      </c>
      <c r="BH12" s="195">
        <f t="array" ref="BH12">_xlfn.LET(
_xlpm.data,
_xlfn._xlws.FILTER(
Table9[Job improved per $Mn],
ISNUMBER(Table9[Job improved per $Mn])*
(Table9[Job improved per $Mn]&gt;0)*
(Table9[Programme Length]&lt;=4)
),
_xlpm.med,
MEDIAN(_xlpm.data),
_xlpm.mad,
MEDIAN(ABS(_xlpm.data-_xlpm.med)),
SUMPRODUCT(--(ABS(_xlpm.data-_xlpm.med)&gt;2.5*_xlpm.mad))/COUNT(_xlpm.data)
)</f>
        <v>0.23076923076923078</v>
      </c>
      <c r="BI12" s="15">
        <f t="array" ref="BI12">_xlfn.LET(
_xlpm.data,
_xlfn._xlws.FILTER(
Table9[Job improved per $Mn],
ISNUMBER(Table9[Job improved per $Mn])*
(Table9[Job improved per $Mn]&gt;0)*
(Table9[Programme Length]&lt;=4)
),
_xlpm.med,
MEDIAN(_xlpm.data),
_xlpm.mad,
MEDIAN(ABS(_xlpm.data-_xlpm.med)),
SUMPRODUCT(--(ABS(_xlpm.data-_xlpm.med)&gt;2.5*_xlpm.mad))
)</f>
        <v>6</v>
      </c>
      <c r="BJ12" s="202">
        <f t="array" ref="BJ12">_xlfn.LET(
_xlpm.data,
_xlfn._xlws.FILTER(
Table9[Job improved per $Mn],
ISNUMBER(Table9[Job improved per $Mn])*
(Table9[Job improved per $Mn]&gt;0)*
(Table9[Programme Length]&lt;=4)
),
_xlpm.med,
MEDIAN(_xlpm.data),
_xlpm.mad,
MEDIAN(ABS(_xlpm.data-_xlpm.med)),
AVERAGE(
_xlfn._xlws.FILTER(
_xlpm.data,
ABS(_xlpm.data-_xlpm.med)&lt;=2.5*_xlpm.mad
)
)
)</f>
        <v>1238.7700348219118</v>
      </c>
      <c r="BK12" s="15">
        <f>BG12-BI12</f>
        <v>20</v>
      </c>
      <c r="BM12" s="206" t="s">
        <v>718</v>
      </c>
      <c r="BN12" s="203">
        <f t="array" ref="BN12">MEDIAN(
_xlfn._xlws.FILTER(
Table9[Beneficiary Income (USD) / Project Cost],
ISNUMBER(Table9[Beneficiary Income (USD) / Project Cost])*
(Table9[Beneficiary Income (USD) / Project Cost]&gt;0)*
(Table9[Programme Length]&lt;=4)
)
)</f>
        <v>0.57605489442643898</v>
      </c>
      <c r="BO12" s="203">
        <f t="array" ref="BO12">AVERAGE(
_xlfn._xlws.FILTER(
Table9[Beneficiary Income (USD) / Project Cost],
ISNUMBER(Table9[Beneficiary Income (USD) / Project Cost])*
(Table9[Beneficiary Income (USD) / Project Cost]&gt;0)*
(Table9[Programme Length]&lt;=4)
)
)</f>
        <v>1.4499833312235932</v>
      </c>
      <c r="BP12" s="15">
        <f>COUNTIFS(
Table9[Beneficiary Income (USD) / Project Cost],"&gt;0",
Table9[Programme Length],"&lt;=4"
)</f>
        <v>18</v>
      </c>
      <c r="BQ12" s="195">
        <f t="array" ref="BQ12">_xlfn.LET(
_xlpm.data,
_xlfn._xlws.FILTER(
Table9[Beneficiary Income (USD) / Project Cost],
ISNUMBER(Table9[Beneficiary Income (USD) / Project Cost])*
(Table9[Beneficiary Income (USD) / Project Cost]&gt;0)*
(Table9[Programme Length]&lt;=4)
),
_xlpm.med,
MEDIAN(_xlpm.data),
_xlpm.mad,
MEDIAN(ABS(_xlpm.data-_xlpm.med)),
SUMPRODUCT(--(ABS(_xlpm.data-_xlpm.med)&gt;2.5*_xlpm.mad))/COUNT(_xlpm.data)
)</f>
        <v>0.27777777777777779</v>
      </c>
      <c r="BR12" s="15">
        <f t="array" ref="BR12">_xlfn.LET(
_xlpm.data,
_xlfn._xlws.FILTER(
Table9[Beneficiary Income (USD) / Project Cost],
ISNUMBER(Table9[Beneficiary Income (USD) / Project Cost])*
(Table9[Beneficiary Income (USD) / Project Cost]&gt;0)*
(Table9[Programme Length]&lt;=4)
),
_xlpm.med,
MEDIAN(_xlpm.data),
_xlpm.mad,
MEDIAN(ABS(_xlpm.data-_xlpm.med)),
SUMPRODUCT(--(ABS(_xlpm.data-_xlpm.med)&gt;2.5*_xlpm.mad))
)</f>
        <v>5</v>
      </c>
      <c r="BS12" s="203">
        <f t="array" ref="BS12">_xlfn.LET(
_xlpm.data,
_xlfn._xlws.FILTER(
Table9[Beneficiary Income (USD) / Project Cost],
ISNUMBER(Table9[Beneficiary Income (USD) / Project Cost])*
(Table9[Beneficiary Income (USD) / Project Cost]&gt;0)*
(Table9[Programme Length]&lt;=4)
),
_xlpm.med,
MEDIAN(_xlpm.data),
_xlpm.mad,
MEDIAN(ABS(_xlpm.data-_xlpm.med)),
AVERAGE(
_xlfn._xlws.FILTER(
_xlpm.data,
ABS(_xlpm.data-_xlpm.med)&lt;=2.5*_xlpm.mad
)
)
)</f>
        <v>0.48420487264456058</v>
      </c>
      <c r="BT12" s="15">
        <f>BP12-BR12</f>
        <v>13</v>
      </c>
    </row>
    <row r="13" spans="2:72" ht="14.45" customHeight="1" x14ac:dyDescent="0.25">
      <c r="B13" s="376" t="s">
        <v>639</v>
      </c>
      <c r="C13" s="373"/>
      <c r="D13" s="373"/>
      <c r="E13" s="373"/>
      <c r="F13" s="373"/>
      <c r="G13" s="373"/>
      <c r="H13" s="373"/>
      <c r="I13" s="373"/>
      <c r="J13" s="417"/>
      <c r="K13" s="376" t="s">
        <v>639</v>
      </c>
      <c r="L13" s="373"/>
      <c r="M13" s="373"/>
      <c r="N13" s="373"/>
      <c r="O13" s="420"/>
      <c r="P13" s="373"/>
      <c r="Q13" s="373"/>
      <c r="R13" s="373"/>
      <c r="S13" s="417"/>
      <c r="T13" s="376" t="s">
        <v>639</v>
      </c>
      <c r="U13" s="373"/>
      <c r="V13" s="373"/>
      <c r="W13" s="373"/>
      <c r="X13" s="373"/>
      <c r="Y13" s="373"/>
      <c r="Z13" s="373"/>
      <c r="AA13" s="373"/>
      <c r="AB13" s="417"/>
      <c r="AC13" s="376" t="s">
        <v>639</v>
      </c>
      <c r="AD13" s="373"/>
      <c r="AE13" s="373"/>
      <c r="AF13" s="373"/>
      <c r="AG13" s="373"/>
      <c r="AH13" s="373"/>
      <c r="AI13" s="373"/>
      <c r="AJ13" s="373"/>
      <c r="AK13" s="417"/>
      <c r="AL13" s="376" t="s">
        <v>639</v>
      </c>
      <c r="AM13" s="373"/>
      <c r="AN13" s="373"/>
      <c r="AO13" s="373"/>
      <c r="AP13" s="373"/>
      <c r="AQ13" s="373"/>
      <c r="AR13" s="373"/>
      <c r="AS13" s="373"/>
      <c r="AT13" s="417"/>
      <c r="AU13" s="376" t="s">
        <v>639</v>
      </c>
      <c r="AV13" s="373"/>
      <c r="AW13" s="373"/>
      <c r="AX13" s="373"/>
      <c r="AY13" s="373"/>
      <c r="AZ13" s="373"/>
      <c r="BA13" s="373"/>
      <c r="BB13" s="373"/>
      <c r="BC13" s="417"/>
      <c r="BD13" s="376" t="s">
        <v>639</v>
      </c>
      <c r="BE13" s="373"/>
      <c r="BF13" s="373"/>
      <c r="BG13" s="373"/>
      <c r="BH13" s="420"/>
      <c r="BI13" s="373"/>
      <c r="BJ13" s="373"/>
      <c r="BK13" s="373"/>
      <c r="BL13" s="417"/>
      <c r="BM13" s="376" t="s">
        <v>639</v>
      </c>
      <c r="BN13" s="373"/>
      <c r="BO13" s="373"/>
      <c r="BP13" s="373"/>
      <c r="BQ13" s="420"/>
      <c r="BR13" s="373"/>
      <c r="BS13" s="373"/>
      <c r="BT13" s="373"/>
    </row>
    <row r="14" spans="2:72" x14ac:dyDescent="0.25">
      <c r="B14" s="206" t="s">
        <v>569</v>
      </c>
      <c r="C14" s="202">
        <f t="array" ref="C14">MEDIAN(_xlfn._xlws.FILTER(Table9[Income per beneficiary (USD)], (Table9[Income per beneficiary (USD)]&gt;0)*(Table9[Grouping]="Group 1")))</f>
        <v>108.65816765946225</v>
      </c>
      <c r="D14" s="202">
        <f t="array" ref="D14">AVERAGE(_xlfn._xlws.FILTER(Table9[Income per beneficiary (USD)], (Table9[Income per beneficiary (USD)]&gt;0)*(Table9[Grouping]="Group 1")))</f>
        <v>163.44125863805684</v>
      </c>
      <c r="E14" s="15">
        <f>COUNTIFS(Table9[Income per beneficiary (USD)],"&gt;0", Table9[Grouping],"Group 1")</f>
        <v>6</v>
      </c>
      <c r="F14" s="195">
        <f t="array" ref="F14">_xlfn.LET(
_xlpm.data,_xlfn._xlws.FILTER(
Table9[Income per beneficiary (USD)],
(Table9[Income per beneficiary (USD)]&gt;0)*
(Table9[Grouping]="Group 1")
),
_xlpm.med,MEDIAN(_xlpm.data),
_xlpm.mad,MEDIAN(ABS(_xlpm.data-_xlpm.med)),
SUMPRODUCT(--(ABS(_xlpm.data-_xlpm.med)&gt;2.5*_xlpm.mad))/COUNT(_xlpm.data)
)</f>
        <v>0.33333333333333331</v>
      </c>
      <c r="G14" s="15">
        <f t="array" ref="G14">_xlfn.LET(
_xlpm.data,_xlfn._xlws.FILTER(
Table9[Income per beneficiary (USD)],
(Table9[Income per beneficiary (USD)]&gt;0)*
(Table9[Grouping]="Group 1")
),
_xlpm.med,MEDIAN(_xlpm.data),
_xlpm.mad,MEDIAN(ABS(_xlpm.data-_xlpm.med)),
SUMPRODUCT(--(ABS(_xlpm.data-_xlpm.med)&gt;2.5*_xlpm.mad))
)</f>
        <v>2</v>
      </c>
      <c r="H14" s="202">
        <f t="array" ref="H14">_xlfn.LET(
_xlpm.data,_xlfn._xlws.FILTER(
Table9[Income per beneficiary (USD)],
(Table9[Income per beneficiary (USD)]&gt;0)*
(Table9[Grouping]="Group 1")
),
_xlpm.med,MEDIAN(_xlpm.data),
_xlpm.mad,MEDIAN(ABS(_xlpm.data-_xlpm.med)),
AVERAGE(_xlfn._xlws.FILTER(_xlpm.data,ABS(_xlpm.data-_xlpm.med)&lt;=2.5*_xlpm.mad))
)</f>
        <v>78.476919036384587</v>
      </c>
      <c r="I14" s="202">
        <f>E14-G14</f>
        <v>4</v>
      </c>
      <c r="J14" s="130"/>
      <c r="K14" s="206" t="s">
        <v>569</v>
      </c>
      <c r="L14" s="203">
        <f t="array" ref="L14">MEDIAN(
_xlfn._xlws.FILTER(
Table9[Normalised Income Impact Ratio],
ISNUMBER(Table9[Normalised Income Impact Ratio])*
(Table9[Normalised Income Impact Ratio]&gt;0)*
(Table9[Grouping]="Group 1")
)
)</f>
        <v>1.8666992000736318E-2</v>
      </c>
      <c r="M14" s="203">
        <f t="array" ref="M14">AVERAGE(
_xlfn._xlws.FILTER(
Table9[Normalised Income Impact Ratio],
ISNUMBER(Table9[Normalised Income Impact Ratio])*
(Table9[Normalised Income Impact Ratio]&gt;0)*
(Table9[Grouping]="Group 1")
)
)</f>
        <v>1.7297835719515049E-2</v>
      </c>
      <c r="N14" s="202">
        <f>COUNTIFS(
Table9[Normalised Income Impact Ratio],"&gt;0",
Table9[Grouping],"Group 1"
)</f>
        <v>5</v>
      </c>
      <c r="O14" s="195">
        <f t="array" ref="O14">_xlfn.LET(
_xlpm.data,_xlfn._xlws.FILTER(
Table9[Normalised Income Impact Ratio],
ISNUMBER(Table9[Normalised Income Impact Ratio])*
(Table9[Normalised Income Impact Ratio]&gt;0)*
(Table9[Grouping]="Group 1")
),
_xlpm.med,MEDIAN(_xlpm.data),
_xlpm.mad,MEDIAN(ABS(_xlpm.data-_xlpm.med)),
SUMPRODUCT(--(ABS(_xlpm.data-_xlpm.med)&gt;2.5*_xlpm.mad))/COUNT(_xlpm.data)
)</f>
        <v>0.2</v>
      </c>
      <c r="P14" s="202">
        <f t="array" ref="P14">_xlfn.LET(
_xlpm.data,_xlfn._xlws.FILTER(
Table9[Normalised Income Impact Ratio],
ISNUMBER(Table9[Normalised Income Impact Ratio])*
(Table9[Normalised Income Impact Ratio]&gt;0)*
(Table9[Grouping]="Group 1")
),
_xlpm.med,MEDIAN(_xlpm.data),
_xlpm.mad,MEDIAN(ABS(_xlpm.data-_xlpm.med)),
SUMPRODUCT(--(ABS(_xlpm.data-_xlpm.med)&gt;2.5*_xlpm.mad))
)</f>
        <v>1</v>
      </c>
      <c r="Q14" s="203">
        <f t="array" ref="Q14">_xlfn.LET(
_xlpm.data,_xlfn._xlws.FILTER(
Table9[Normalised Income Impact Ratio],
ISNUMBER(Table9[Normalised Income Impact Ratio])*
(Table9[Normalised Income Impact Ratio]&gt;0)*
(Table9[Grouping]="Group 1")
),
_xlpm.med,MEDIAN(_xlpm.data),
_xlpm.mad,MEDIAN(ABS(_xlpm.data-_xlpm.med)),
AVERAGE(_xlfn._xlws.FILTER(_xlpm.data,ABS(_xlpm.data-_xlpm.med)&lt;=2.5*_xlpm.mad))
)</f>
        <v>2.1521500998600163E-2</v>
      </c>
      <c r="R14" s="202">
        <f>N14-P14</f>
        <v>4</v>
      </c>
      <c r="S14" s="130"/>
      <c r="T14" s="206" t="s">
        <v>569</v>
      </c>
      <c r="U14" s="203">
        <f t="array" ref="U14">MEDIAN(
_xlfn._xlws.FILTER(
Table9[Private Sector Investment (USD) / Project cost ],
ISNUMBER(Table9[Private Sector Investment (USD) / Project cost ])*
(Table9[Private Sector Investment (USD) / Project cost ]&gt;0)*
(Table9[Grouping]="Group 1")
)
)</f>
        <v>0.2697065081379364</v>
      </c>
      <c r="V14" s="203">
        <f t="array" ref="V14">AVERAGE(
_xlfn._xlws.FILTER(
Table9[Private Sector Investment (USD) / Project cost ],
ISNUMBER(Table9[Private Sector Investment (USD) / Project cost ])*
(Table9[Private Sector Investment (USD) / Project cost ]&gt;0)*
(Table9[Grouping]="Group 1")
)
)</f>
        <v>1.0410856123405396</v>
      </c>
      <c r="W14" s="15">
        <f>COUNTIFS(
Table9[Private Sector Investment (USD) / Project cost ],"&gt;0",
Table9[Grouping],"Group 1"
)</f>
        <v>10</v>
      </c>
      <c r="X14" s="195">
        <f t="array" ref="X14">_xlfn.LET(
_xlpm.data,_xlfn._xlws.FILTER(
Table9[Private Sector Investment (USD) / Project cost ],
ISNUMBER(Table9[Private Sector Investment (USD) / Project cost ])*
(Table9[Private Sector Investment (USD) / Project cost ]&gt;0)*
(Table9[Grouping]="Group 1")
),
_xlpm.med,MEDIAN(_xlpm.data),
_xlpm.mad,MEDIAN(ABS(_xlpm.data-_xlpm.med)),
SUMPRODUCT(--(ABS(_xlpm.data-_xlpm.med)&gt;2.5*_xlpm.mad))/COUNT(_xlpm.data)
)</f>
        <v>0.3</v>
      </c>
      <c r="Y14" s="15">
        <f t="array" ref="Y14">_xlfn.LET(
_xlpm.data,_xlfn._xlws.FILTER(
Table9[Private Sector Investment (USD) / Project cost ],
ISNUMBER(Table9[Private Sector Investment (USD) / Project cost ])*
(Table9[Private Sector Investment (USD) / Project cost ]&gt;0)*
(Table9[Grouping]="Group 1")
),
_xlpm.med,MEDIAN(_xlpm.data),
_xlpm.mad,MEDIAN(ABS(_xlpm.data-_xlpm.med)),
SUMPRODUCT(--(ABS(_xlpm.data-_xlpm.med)&gt;2.5*_xlpm.mad))
)</f>
        <v>3</v>
      </c>
      <c r="Z14" s="203">
        <f t="array" ref="Z14">_xlfn.LET(
_xlpm.data,_xlfn._xlws.FILTER(
Table9[Private Sector Investment (USD) / Project cost ],
ISNUMBER(Table9[Private Sector Investment (USD) / Project cost ])*
(Table9[Private Sector Investment (USD) / Project cost ]&gt;0)*
(Table9[Grouping]="Group 1")
),
_xlpm.med,MEDIAN(_xlpm.data),
_xlpm.mad,MEDIAN(ABS(_xlpm.data-_xlpm.med)),
AVERAGE(_xlfn._xlws.FILTER(_xlpm.data,ABS(_xlpm.data-_xlpm.med)&lt;=2.5*_xlpm.mad))
)</f>
        <v>0.18838534009125088</v>
      </c>
      <c r="AA14" s="15">
        <f>W14-Y14</f>
        <v>7</v>
      </c>
      <c r="AC14" s="206" t="s">
        <v>569</v>
      </c>
      <c r="AD14" s="203">
        <f t="array" ref="AD14">MEDIAN(
_xlfn._xlws.FILTER(
Table9[Private Sector Revenues Generated (USD) / Project cost],
ISNUMBER(Table9[Private Sector Revenues Generated (USD) / Project cost])*
(Table9[Private Sector Revenues Generated (USD) / Project cost]&gt;0)*
(Table9[Grouping]="Group 1")
)
)</f>
        <v>0.68604651162790697</v>
      </c>
      <c r="AE14" s="203">
        <f t="array" ref="AE14">AVERAGE(
_xlfn._xlws.FILTER(
Table9[Private Sector Revenues Generated (USD) / Project cost],
ISNUMBER(Table9[Private Sector Revenues Generated (USD) / Project cost])*
(Table9[Private Sector Revenues Generated (USD) / Project cost]&gt;0)*
(Table9[Grouping]="Group 1")
)
)</f>
        <v>1.8431273507494883</v>
      </c>
      <c r="AF14" s="15">
        <f>COUNTIFS(
Table9[Private Sector Revenues Generated (USD) / Project cost],"&gt;0",
Table9[Grouping],"Group 1"
)</f>
        <v>9</v>
      </c>
      <c r="AG14" s="195">
        <f t="array" ref="AG14">_xlfn.LET(
_xlpm.data,_xlfn._xlws.FILTER(
Table9[Private Sector Revenues Generated (USD) / Project cost],
ISNUMBER(Table9[Private Sector Revenues Generated (USD) / Project cost])*
(Table9[Private Sector Revenues Generated (USD) / Project cost]&gt;0)*
(Table9[Grouping]="Group 1")
),
_xlpm.med,MEDIAN(_xlpm.data),
_xlpm.mad,MEDIAN(ABS(_xlpm.data-_xlpm.med)),
SUMPRODUCT(--(ABS(_xlpm.data-_xlpm.med)&gt;2.5*_xlpm.mad))/COUNT(_xlpm.data)
)</f>
        <v>0.1111111111111111</v>
      </c>
      <c r="AH14" s="15">
        <f t="array" ref="AH14">_xlfn.LET(
_xlpm.data,_xlfn._xlws.FILTER(
Table9[Private Sector Revenues Generated (USD) / Project cost],
ISNUMBER(Table9[Private Sector Revenues Generated (USD) / Project cost])*
(Table9[Private Sector Revenues Generated (USD) / Project cost]&gt;0)*
(Table9[Grouping]="Group 1")
),
_xlpm.med,MEDIAN(_xlpm.data),
_xlpm.mad,MEDIAN(ABS(_xlpm.data-_xlpm.med)),
SUMPRODUCT(--(ABS(_xlpm.data-_xlpm.med)&gt;2.5*_xlpm.mad))
)</f>
        <v>1</v>
      </c>
      <c r="AI14" s="203">
        <f t="array" ref="AI14">_xlfn.LET(
_xlpm.data,_xlfn._xlws.FILTER(
Table9[Private Sector Revenues Generated (USD) / Project cost],
ISNUMBER(Table9[Private Sector Revenues Generated (USD) / Project cost])*
(Table9[Private Sector Revenues Generated (USD) / Project cost]&gt;0)*
(Table9[Grouping]="Group 1")
),
_xlpm.med,MEDIAN(_xlpm.data),
_xlpm.mad,MEDIAN(ABS(_xlpm.data-_xlpm.med)),
AVERAGE(_xlfn._xlws.FILTER(_xlpm.data,ABS(_xlpm.data-_xlpm.med)&lt;=2.5*_xlpm.mad))
)</f>
        <v>0.79243985376346848</v>
      </c>
      <c r="AJ14" s="15">
        <f>AF14-AH14</f>
        <v>8</v>
      </c>
      <c r="AL14" s="206" t="s">
        <v>569</v>
      </c>
      <c r="AM14" s="203">
        <f t="array" ref="AM14">MEDIAN(
_xlfn._xlws.FILTER(
Table9[Export Revenue Generated (USD) /Project Cost],
ISNUMBER(Table9[Export Revenue Generated (USD) /Project Cost])*
(Table9[Export Revenue Generated (USD) /Project Cost]&gt;0)*
(Table9[Grouping]="Group 1")
)
)</f>
        <v>3.6333847829880667E-2</v>
      </c>
      <c r="AN14" s="203">
        <f t="array" ref="AN14">AVERAGE(
_xlfn._xlws.FILTER(
Table9[Export Revenue Generated (USD) /Project Cost],
ISNUMBER(Table9[Export Revenue Generated (USD) /Project Cost])*
(Table9[Export Revenue Generated (USD) /Project Cost]&gt;0)*
(Table9[Grouping]="Group 1")
)
)</f>
        <v>3.6333847829880667E-2</v>
      </c>
      <c r="AO14" s="15">
        <f>COUNTIFS(
Table9[Export Revenue Generated (USD) /Project Cost],"&gt;0",
Table9[Grouping],"Group 1"
)</f>
        <v>1</v>
      </c>
      <c r="AP14" s="195">
        <f t="array" ref="AP14">_xlfn.LET(
_xlpm.data,_xlfn._xlws.FILTER(
Table9[Export Revenue Generated (USD) /Project Cost],
ISNUMBER(Table9[Export Revenue Generated (USD) /Project Cost])*
(Table9[Export Revenue Generated (USD) /Project Cost]&gt;0)*
(Table9[Grouping]="Group 1")
),
_xlpm.med,MEDIAN(_xlpm.data),
_xlpm.mad,MEDIAN(ABS(_xlpm.data-_xlpm.med)),
SUMPRODUCT(--(ABS(_xlpm.data-_xlpm.med)&gt;2.5*_xlpm.mad))/COUNT(_xlpm.data)
)</f>
        <v>0</v>
      </c>
      <c r="AQ14" s="15">
        <f t="array" ref="AQ14">_xlfn.LET(
_xlpm.data,_xlfn._xlws.FILTER(
Table9[Export Revenue Generated (USD) /Project Cost],
ISNUMBER(Table9[Export Revenue Generated (USD) /Project Cost])*
(Table9[Export Revenue Generated (USD) /Project Cost]&gt;0)*
(Table9[Grouping]="Group 1")
),
_xlpm.med,MEDIAN(_xlpm.data),
_xlpm.mad,MEDIAN(ABS(_xlpm.data-_xlpm.med)),
SUMPRODUCT(--(ABS(_xlpm.data-_xlpm.med)&gt;2.5*_xlpm.mad))
)</f>
        <v>0</v>
      </c>
      <c r="AR14" s="203">
        <f t="array" ref="AR14">_xlfn.LET(
_xlpm.data,_xlfn._xlws.FILTER(
Table9[Export Revenue Generated (USD) /Project Cost],
ISNUMBER(Table9[Export Revenue Generated (USD) /Project Cost])*
(Table9[Export Revenue Generated (USD) /Project Cost]&gt;0)*
(Table9[Grouping]="Group 1")
),
_xlpm.med,MEDIAN(_xlpm.data),
_xlpm.mad,MEDIAN(ABS(_xlpm.data-_xlpm.med)),
AVERAGE(_xlfn._xlws.FILTER(_xlpm.data,ABS(_xlpm.data-_xlpm.med)&lt;=2.5*_xlpm.mad))
)</f>
        <v>3.6333847829880667E-2</v>
      </c>
      <c r="AS14" s="15">
        <f>AO14-AQ14</f>
        <v>1</v>
      </c>
      <c r="AU14" s="206" t="s">
        <v>569</v>
      </c>
      <c r="AV14" s="202">
        <f t="array" ref="AV14">MEDIAN(
_xlfn._xlws.FILTER(
Table9[Job created per $Mn],
ISNUMBER(Table9[Job created per $Mn])*
(Table9[Job created per $Mn]&gt;0)*
(Table9[Grouping]="Group 1")
)
)</f>
        <v>83.451118963486451</v>
      </c>
      <c r="AW14" s="202">
        <f t="array" ref="AW14">AVERAGE(
_xlfn._xlws.FILTER(
Table9[Job created per $Mn],
ISNUMBER(Table9[Job created per $Mn])*
(Table9[Job created per $Mn]&gt;0)*
(Table9[Grouping]="Group 1")
)
)</f>
        <v>1794.7326991547473</v>
      </c>
      <c r="AX14" s="15">
        <f>COUNTIFS(
Table9[Job created per $Mn],"&gt;0",
Table9[Grouping],"Group 1"
)</f>
        <v>7</v>
      </c>
      <c r="AY14" s="195">
        <f t="array" ref="AY14">_xlfn.LET(
_xlpm.data,
_xlfn._xlws.FILTER(
Table9[Job created per $Mn],
ISNUMBER(Table9[Job created per $Mn])*
(Table9[Job created per $Mn]&gt;0)*
(Table9[Grouping]="Group 1")
),
_xlpm.med,
MEDIAN(_xlpm.data),
_xlpm.mad,
MEDIAN(ABS(_xlpm.data-_xlpm.med)),
SUMPRODUCT(--(ABS(_xlpm.data-_xlpm.med)&gt;2.5*_xlpm.mad))/COUNT(_xlpm.data)
)</f>
        <v>0.42857142857142855</v>
      </c>
      <c r="AZ14" s="15">
        <f t="array" ref="AZ14">_xlfn.LET(
_xlpm.data,
_xlfn._xlws.FILTER(
Table9[Job created per $Mn],
ISNUMBER(Table9[Job created per $Mn])*
(Table9[Job created per $Mn]&gt;0)*
(Table9[Grouping]="Group 1")
),
_xlpm.med,
MEDIAN(_xlpm.data),
_xlpm.mad,
MEDIAN(ABS(_xlpm.data-_xlpm.med)),
SUMPRODUCT(--(ABS(_xlpm.data-_xlpm.med)&gt;2.5*_xlpm.mad))
)</f>
        <v>3</v>
      </c>
      <c r="BA14" s="202">
        <f t="array" ref="BA14">_xlfn.LET(
_xlpm.data,
_xlfn._xlws.FILTER(
Table9[Job created per $Mn],
ISNUMBER(Table9[Job created per $Mn])*
(Table9[Job created per $Mn]&gt;0)*
(Table9[Grouping]="Group 1")
),
_xlpm.med,
MEDIAN(_xlpm.data),
_xlpm.mad,
MEDIAN(ABS(_xlpm.data-_xlpm.med)),
AVERAGE(
_xlfn._xlws.FILTER(
_xlpm.data,
ABS(_xlpm.data-_xlpm.med)&lt;=2.5*_xlpm.mad
)
)
)</f>
        <v>37.362166931668924</v>
      </c>
      <c r="BB14" s="15">
        <f>AX14-AZ14</f>
        <v>4</v>
      </c>
      <c r="BD14" s="206" t="s">
        <v>569</v>
      </c>
      <c r="BE14" s="202">
        <f t="array" ref="BE14">MEDIAN(
_xlfn._xlws.FILTER(
Table9[Job improved per $Mn],
ISNUMBER(Table9[Job improved per $Mn])*
(Table9[Job improved per $Mn]&gt;0)*
(Table9[Grouping]="Group 1")
)
)</f>
        <v>4904.8194999176394</v>
      </c>
      <c r="BF14" s="202">
        <f t="array" ref="BF14">AVERAGE(
_xlfn._xlws.FILTER(
Table9[Job improved per $Mn],
ISNUMBER(Table9[Job improved per $Mn])*
(Table9[Job improved per $Mn]&gt;0)*
(Table9[Grouping]="Group 1")
)
)</f>
        <v>8992.6136819514777</v>
      </c>
      <c r="BG14" s="15">
        <f>COUNTIFS(
Table9[Job improved per $Mn],"&gt;0",
Table9[Grouping],"Group 1"
)</f>
        <v>10</v>
      </c>
      <c r="BH14" s="195">
        <f t="array" ref="BH14">_xlfn.LET(
_xlpm.data,
_xlfn._xlws.FILTER(
Table9[Job improved per $Mn],
ISNUMBER(Table9[Job improved per $Mn])*
(Table9[Job improved per $Mn]&gt;0)*
(Table9[Grouping]="Group 1")
),
_xlpm.med,
MEDIAN(_xlpm.data),
_xlpm.mad,
MEDIAN(ABS(_xlpm.data-_xlpm.med)),
SUMPRODUCT(--(ABS(_xlpm.data-_xlpm.med)&gt;2.5*_xlpm.mad))/COUNT(_xlpm.data)
)</f>
        <v>0.1</v>
      </c>
      <c r="BI14" s="15">
        <f t="array" ref="BI14">_xlfn.LET(
_xlpm.data,
_xlfn._xlws.FILTER(
Table9[Job improved per $Mn],
ISNUMBER(Table9[Job improved per $Mn])*
(Table9[Job improved per $Mn]&gt;0)*
(Table9[Grouping]="Group 1")
),
_xlpm.med,
MEDIAN(_xlpm.data),
_xlpm.mad,
MEDIAN(ABS(_xlpm.data-_xlpm.med)),
SUMPRODUCT(--(ABS(_xlpm.data-_xlpm.med)&gt;2.5*_xlpm.mad))
)</f>
        <v>1</v>
      </c>
      <c r="BJ14" s="202">
        <f t="array" ref="BJ14">_xlfn.LET(
_xlpm.data,
_xlfn._xlws.FILTER(
Table9[Job improved per $Mn],
ISNUMBER(Table9[Job improved per $Mn])*
(Table9[Job improved per $Mn]&gt;0)*
(Table9[Grouping]="Group 1")
),
_xlpm.med,
MEDIAN(_xlpm.data),
_xlpm.mad,
MEDIAN(ABS(_xlpm.data-_xlpm.med)),
AVERAGE(
_xlfn._xlws.FILTER(
_xlpm.data,
ABS(_xlpm.data-_xlpm.med)&lt;=2.5*_xlpm.mad
)
)
)</f>
        <v>5676.3537572809855</v>
      </c>
      <c r="BK14" s="15">
        <f>BG14-BI14</f>
        <v>9</v>
      </c>
      <c r="BM14" s="206" t="s">
        <v>569</v>
      </c>
      <c r="BN14" s="203">
        <f t="array" ref="BN14">MEDIAN(
_xlfn._xlws.FILTER(
Table9[Beneficiary Income (USD) / Project Cost],
ISNUMBER(Table9[Beneficiary Income (USD) / Project Cost])*
(Table9[Beneficiary Income (USD) / Project Cost]&gt;0)*
(Table9[Grouping]="Group 1")
)
)</f>
        <v>1.1971754362416105</v>
      </c>
      <c r="BO14" s="203">
        <f t="array" ref="BO14">AVERAGE(
_xlfn._xlws.FILTER(
Table9[Beneficiary Income (USD) / Project Cost],
ISNUMBER(Table9[Beneficiary Income (USD) / Project Cost])*
(Table9[Beneficiary Income (USD) / Project Cost]&gt;0)*
(Table9[Grouping]="Group 1")
)
)</f>
        <v>1.4361119292339291</v>
      </c>
      <c r="BP14" s="15">
        <f>COUNTIFS(
Table9[Beneficiary Income (USD) / Project Cost],"&gt;0",
Table9[Grouping],"Group 1"
)</f>
        <v>6</v>
      </c>
      <c r="BQ14" s="195">
        <f t="array" ref="BQ14">_xlfn.LET(
_xlpm.data,
_xlfn._xlws.FILTER(
Table9[Beneficiary Income (USD) / Project Cost],
ISNUMBER(Table9[Beneficiary Income (USD) / Project Cost])*
(Table9[Beneficiary Income (USD) / Project Cost]&gt;0)*
(Table9[Grouping]="Group 1")
),
_xlpm.med,
MEDIAN(_xlpm.data),
_xlpm.mad,
MEDIAN(ABS(_xlpm.data-_xlpm.med)),
SUMPRODUCT(--(ABS(_xlpm.data-_xlpm.med)&gt;2.5*_xlpm.mad))/COUNT(_xlpm.data)
)</f>
        <v>0</v>
      </c>
      <c r="BR14" s="15">
        <f t="array" ref="BR14">_xlfn.LET(
_xlpm.data,
_xlfn._xlws.FILTER(
Table9[Beneficiary Income (USD) / Project Cost],
ISNUMBER(Table9[Beneficiary Income (USD) / Project Cost])*
(Table9[Beneficiary Income (USD) / Project Cost]&gt;0)*
(Table9[Grouping]="Group 1")
),
_xlpm.med,
MEDIAN(_xlpm.data),
_xlpm.mad,
MEDIAN(ABS(_xlpm.data-_xlpm.med)),
SUMPRODUCT(--(ABS(_xlpm.data-_xlpm.med)&gt;2.5*_xlpm.mad))
)</f>
        <v>0</v>
      </c>
      <c r="BS14" s="203">
        <f t="array" ref="BS14">_xlfn.LET(
_xlpm.data,
_xlfn._xlws.FILTER(
Table9[Beneficiary Income (USD) / Project Cost],
ISNUMBER(Table9[Beneficiary Income (USD) / Project Cost])*
(Table9[Beneficiary Income (USD) / Project Cost]&gt;0)*
(Table9[Grouping]="Group 1")
),
_xlpm.med,
MEDIAN(_xlpm.data),
_xlpm.mad,
MEDIAN(ABS(_xlpm.data-_xlpm.med)),
AVERAGE(
_xlfn._xlws.FILTER(
_xlpm.data,
ABS(_xlpm.data-_xlpm.med)&lt;=2.5*_xlpm.mad
)
)
)</f>
        <v>1.4361119292339291</v>
      </c>
      <c r="BT14" s="15">
        <f>BP14-BR14</f>
        <v>6</v>
      </c>
    </row>
    <row r="15" spans="2:72" x14ac:dyDescent="0.25">
      <c r="B15" s="206" t="s">
        <v>658</v>
      </c>
      <c r="C15" s="202">
        <f t="array" ref="C15">MEDIAN(_xlfn._xlws.FILTER(Table9[Income per beneficiary (USD)], (Table9[Income per beneficiary (USD)]&gt;0)*(Table9[Grouping]="Group 2A (Low Stability)")))</f>
        <v>198.7638426627511</v>
      </c>
      <c r="D15" s="202">
        <f t="array" ref="D15">AVERAGE(_xlfn._xlws.FILTER(Table9[Income per beneficiary (USD)], (Table9[Income per beneficiary (USD)]&gt;0)*(Table9[Grouping]="Group 2A (Low Stability)")))</f>
        <v>269.01597688280367</v>
      </c>
      <c r="E15" s="15">
        <f>COUNTIFS(Table9[Income per beneficiary (USD)],"&gt;0", Table9[Grouping],"Group 2A (Low Stability)")</f>
        <v>16</v>
      </c>
      <c r="F15" s="195">
        <f t="array" ref="F15">_xlfn.LET(
_xlpm.data,_xlfn._xlws.FILTER(
Table9[Income per beneficiary (USD)],
(Table9[Income per beneficiary (USD)]&gt;0)*
(Table9[Grouping]="Group 2A (Low Stability)")
),
_xlpm.med,MEDIAN(_xlpm.data),
_xlpm.mad,MEDIAN(ABS(_xlpm.data-_xlpm.med)),
SUMPRODUCT(--(ABS(_xlpm.data-_xlpm.med)&gt;2.5*_xlpm.mad))/COUNT(_xlpm.data)
)</f>
        <v>0.125</v>
      </c>
      <c r="G15" s="15">
        <f t="array" ref="G15">_xlfn.LET(
_xlpm.data,_xlfn._xlws.FILTER(
Table9[Income per beneficiary (USD)],
(Table9[Income per beneficiary (USD)]&gt;0)*
(Table9[Grouping]="Group 2A (Low Stability)")
),
_xlpm.med,MEDIAN(_xlpm.data),
_xlpm.mad,MEDIAN(ABS(_xlpm.data-_xlpm.med)),
SUMPRODUCT(--(ABS(_xlpm.data-_xlpm.med)&gt;2.5*_xlpm.mad))
)</f>
        <v>2</v>
      </c>
      <c r="H15" s="202">
        <f t="array" ref="H15">_xlfn.LET(
_xlpm.data,_xlfn._xlws.FILTER(
Table9[Income per beneficiary (USD)],
(Table9[Income per beneficiary (USD)]&gt;0)*
(Table9[Grouping]="Group 2A (Low Stability)")
),
_xlpm.med,MEDIAN(_xlpm.data),
_xlpm.mad,MEDIAN(ABS(_xlpm.data-_xlpm.med)),
AVERAGE(_xlfn._xlws.FILTER(_xlpm.data,ABS(_xlpm.data-_xlpm.med)&lt;=2.5*_xlpm.mad))
)</f>
        <v>217.63550829196475</v>
      </c>
      <c r="I15" s="202">
        <f>E15-G15</f>
        <v>14</v>
      </c>
      <c r="J15" s="130"/>
      <c r="K15" s="206" t="s">
        <v>658</v>
      </c>
      <c r="L15" s="203">
        <f t="array" ref="L15">MEDIAN(
_xlfn._xlws.FILTER(
Table9[Normalised Income Impact Ratio],
ISNUMBER(Table9[Normalised Income Impact Ratio])*
(Table9[Normalised Income Impact Ratio]&gt;0)*
(Table9[Grouping]="Group 2A (Low Stability)")
)
)</f>
        <v>2.6056929877820469E-2</v>
      </c>
      <c r="M15" s="203">
        <f t="array" ref="M15">AVERAGE(
_xlfn._xlws.FILTER(
Table9[Normalised Income Impact Ratio],
ISNUMBER(Table9[Normalised Income Impact Ratio])*
(Table9[Normalised Income Impact Ratio]&gt;0)*
(Table9[Grouping]="Group 2A (Low Stability)")
)
)</f>
        <v>5.953055608129474E-2</v>
      </c>
      <c r="N15" s="202">
        <f>COUNTIFS(
Table9[Normalised Income Impact Ratio],"&gt;0",
Table9[Grouping],"Group 2A (Low Stability)"
)</f>
        <v>16</v>
      </c>
      <c r="O15" s="195">
        <f t="array" ref="O15">_xlfn.LET(
_xlpm.data,_xlfn._xlws.FILTER(
Table9[Normalised Income Impact Ratio],
ISNUMBER(Table9[Normalised Income Impact Ratio])*
(Table9[Normalised Income Impact Ratio]&gt;0)*
(Table9[Grouping]="Group 2A (Low Stability)")
),
_xlpm.med,MEDIAN(_xlpm.data),
_xlpm.mad,MEDIAN(ABS(_xlpm.data-_xlpm.med)),
SUMPRODUCT(--(ABS(_xlpm.data-_xlpm.med)&gt;2.5*_xlpm.mad))/COUNT(_xlpm.data)
)</f>
        <v>0.3125</v>
      </c>
      <c r="P15" s="202">
        <f t="array" ref="P15">_xlfn.LET(
_xlpm.data,_xlfn._xlws.FILTER(
Table9[Normalised Income Impact Ratio],
ISNUMBER(Table9[Normalised Income Impact Ratio])*
(Table9[Normalised Income Impact Ratio]&gt;0)*
(Table9[Grouping]="Group 2A (Low Stability)")
),
_xlpm.med,MEDIAN(_xlpm.data),
_xlpm.mad,MEDIAN(ABS(_xlpm.data-_xlpm.med)),
SUMPRODUCT(--(ABS(_xlpm.data-_xlpm.med)&gt;2.5*_xlpm.mad))
)</f>
        <v>5</v>
      </c>
      <c r="Q15" s="203">
        <f t="array" ref="Q15">_xlfn.LET(
_xlpm.data,_xlfn._xlws.FILTER(
Table9[Normalised Income Impact Ratio],
ISNUMBER(Table9[Normalised Income Impact Ratio])*
(Table9[Normalised Income Impact Ratio]&gt;0)*
(Table9[Grouping]="Group 2A (Low Stability)")
),
_xlpm.med,MEDIAN(_xlpm.data),
_xlpm.mad,MEDIAN(ABS(_xlpm.data-_xlpm.med)),
AVERAGE(_xlfn._xlws.FILTER(_xlpm.data,ABS(_xlpm.data-_xlpm.med)&lt;=2.5*_xlpm.mad))
)</f>
        <v>2.1945071535214869E-2</v>
      </c>
      <c r="R15" s="202">
        <f>N15-P15</f>
        <v>11</v>
      </c>
      <c r="S15" s="130"/>
      <c r="T15" s="206" t="s">
        <v>658</v>
      </c>
      <c r="U15" s="203">
        <f t="array" ref="U15">MEDIAN(
_xlfn._xlws.FILTER(
Table9[Private Sector Investment (USD) / Project cost ],
ISNUMBER(Table9[Private Sector Investment (USD) / Project cost ])*
(Table9[Private Sector Investment (USD) / Project cost ]&gt;0)*
(Table9[Grouping]="Group 2A (Low Stability)")
)
)</f>
        <v>0.31970482897384311</v>
      </c>
      <c r="V15" s="203">
        <f t="array" ref="V15">AVERAGE(
_xlfn._xlws.FILTER(
Table9[Private Sector Investment (USD) / Project cost ],
ISNUMBER(Table9[Private Sector Investment (USD) / Project cost ])*
(Table9[Private Sector Investment (USD) / Project cost ]&gt;0)*
(Table9[Grouping]="Group 2A (Low Stability)")
)
)</f>
        <v>0.74490777167947742</v>
      </c>
      <c r="W15" s="15">
        <f>COUNTIFS(
Table9[Private Sector Investment (USD) / Project cost ],"&gt;0",
Table9[Grouping],"Group 2A (Low Stability)"
)</f>
        <v>17</v>
      </c>
      <c r="X15" s="195">
        <f t="array" ref="X15">_xlfn.LET(
_xlpm.data,_xlfn._xlws.FILTER(
Table9[Private Sector Investment (USD) / Project cost ],
ISNUMBER(Table9[Private Sector Investment (USD) / Project cost ])*
(Table9[Private Sector Investment (USD) / Project cost ]&gt;0)*
(Table9[Grouping]="Group 2A (Low Stability)")
),
_xlpm.med,MEDIAN(_xlpm.data),
_xlpm.mad,MEDIAN(ABS(_xlpm.data-_xlpm.med)),
SUMPRODUCT(--(ABS(_xlpm.data-_xlpm.med)&gt;2.5*_xlpm.mad))/COUNT(_xlpm.data)
)</f>
        <v>0.29411764705882354</v>
      </c>
      <c r="Y15" s="15">
        <f t="array" ref="Y15">_xlfn.LET(
_xlpm.data,_xlfn._xlws.FILTER(
Table9[Private Sector Investment (USD) / Project cost ],
ISNUMBER(Table9[Private Sector Investment (USD) / Project cost ])*
(Table9[Private Sector Investment (USD) / Project cost ]&gt;0)*
(Table9[Grouping]="Group 2A (Low Stability)")
),
_xlpm.med,MEDIAN(_xlpm.data),
_xlpm.mad,MEDIAN(ABS(_xlpm.data-_xlpm.med)),
SUMPRODUCT(--(ABS(_xlpm.data-_xlpm.med)&gt;2.5*_xlpm.mad))
)</f>
        <v>5</v>
      </c>
      <c r="Z15" s="203">
        <f t="array" ref="Z15">_xlfn.LET(
_xlpm.data,_xlfn._xlws.FILTER(
Table9[Private Sector Investment (USD) / Project cost ],
ISNUMBER(Table9[Private Sector Investment (USD) / Project cost ])*
(Table9[Private Sector Investment (USD) / Project cost ]&gt;0)*
(Table9[Grouping]="Group 2A (Low Stability)")
),
_xlpm.med,MEDIAN(_xlpm.data),
_xlpm.mad,MEDIAN(ABS(_xlpm.data-_xlpm.med)),
AVERAGE(_xlfn._xlws.FILTER(_xlpm.data,ABS(_xlpm.data-_xlpm.med)&lt;=2.5*_xlpm.mad))
)</f>
        <v>0.27223122273315842</v>
      </c>
      <c r="AA15" s="15">
        <f>W15-Y15</f>
        <v>12</v>
      </c>
      <c r="AC15" s="206" t="s">
        <v>658</v>
      </c>
      <c r="AD15" s="203">
        <f t="array" ref="AD15">MEDIAN(_xlfn._xlws.FILTER(Table9[Private Sector Revenues Generated (USD) / Project cost],ISNUMBER(Table9[Private Sector Revenues Generated (USD) / Project cost])*(Table9[Private Sector Revenues Generated (USD) / Project cost]&gt;0)*(Table9[Grouping]="Group 2A (Low Stability)")))</f>
        <v>1.9327001256074459</v>
      </c>
      <c r="AE15" s="203">
        <f t="array" ref="AE15">AVERAGE(_xlfn._xlws.FILTER(Table9[Private Sector Revenues Generated (USD) / Project cost],ISNUMBER(Table9[Private Sector Revenues Generated (USD) / Project cost])*(Table9[Private Sector Revenues Generated (USD) / Project cost]&gt;0)*(Table9[Grouping]="Group 2A (Low Stability)")))</f>
        <v>4.9265461189708395</v>
      </c>
      <c r="AF15" s="15">
        <f>COUNTIFS(Table9[Private Sector Revenues Generated (USD) / Project cost],"&gt;0",Table9[Grouping],"Group 2A (Low Stability)")</f>
        <v>14</v>
      </c>
      <c r="AG15" s="195">
        <f t="array" ref="AG15">_xlfn.LET(_xlpm.data,_xlfn._xlws.FILTER(Table9[Private Sector Revenues Generated (USD) / Project cost],ISNUMBER(Table9[Private Sector Revenues Generated (USD) / Project cost])*(Table9[Private Sector Revenues Generated (USD) / Project cost]&gt;0)*(Table9[Grouping]="Group 2A (Low Stability)")),_xlpm.med,MEDIAN(_xlpm.data),_xlpm.mad,MEDIAN(ABS(_xlpm.data-_xlpm.med)),SUMPRODUCT(--(ABS(_xlpm.data-_xlpm.med)&gt;2.5*_xlpm.mad))/COUNT(_xlpm.data))</f>
        <v>0.21428571428571427</v>
      </c>
      <c r="AH15" s="15">
        <f t="array" ref="AH15">_xlfn.LET(_xlpm.data,_xlfn._xlws.FILTER(Table9[Private Sector Revenues Generated (USD) / Project cost],ISNUMBER(Table9[Private Sector Revenues Generated (USD) / Project cost])*(Table9[Private Sector Revenues Generated (USD) / Project cost]&gt;0)*(Table9[Grouping]="Group 2A (Low Stability)")),_xlpm.med,MEDIAN(_xlpm.data),_xlpm.mad,MEDIAN(ABS(_xlpm.data-_xlpm.med)),SUMPRODUCT(--(ABS(_xlpm.data-_xlpm.med)&gt;2.5*_xlpm.mad)))</f>
        <v>3</v>
      </c>
      <c r="AI15" s="203">
        <f t="array" ref="AI15">_xlfn.LET(_xlpm.data,_xlfn._xlws.FILTER(Table9[Private Sector Revenues Generated (USD) / Project cost],ISNUMBER(Table9[Private Sector Revenues Generated (USD) / Project cost])*(Table9[Private Sector Revenues Generated (USD) / Project cost]&gt;0)*(Table9[Grouping]="Group 2A (Low Stability)")),_xlpm.med,MEDIAN(_xlpm.data),_xlpm.mad,MEDIAN(ABS(_xlpm.data-_xlpm.med)),AVERAGE(_xlfn._xlws.FILTER(_xlpm.data,ABS(_xlpm.data-_xlpm.med)&lt;=2.5*_xlpm.mad)))</f>
        <v>1.4361326190379069</v>
      </c>
      <c r="AJ15" s="15">
        <f>AF15-AH15</f>
        <v>11</v>
      </c>
      <c r="AL15" s="206" t="s">
        <v>658</v>
      </c>
      <c r="AM15" s="203">
        <f t="array" ref="AM15">MEDIAN(
_xlfn._xlws.FILTER(
Table9[Export Revenue Generated (USD) /Project Cost],
ISNUMBER(Table9[Export Revenue Generated (USD) /Project Cost])*
(Table9[Export Revenue Generated (USD) /Project Cost]&gt;0)*
(Table9[Grouping]="Group 2A (Low Stability)")
)
)</f>
        <v>9.1880142857142869E-2</v>
      </c>
      <c r="AN15" s="203">
        <f t="array" ref="AN15">AVERAGE(
_xlfn._xlws.FILTER(
Table9[Export Revenue Generated (USD) /Project Cost],
ISNUMBER(Table9[Export Revenue Generated (USD) /Project Cost])*
(Table9[Export Revenue Generated (USD) /Project Cost]&gt;0)*
(Table9[Grouping]="Group 2A (Low Stability)")
)
)</f>
        <v>2.2767586861319393</v>
      </c>
      <c r="AO15" s="15">
        <f>COUNTIFS(
Table9[Export Revenue Generated (USD) /Project Cost],"&gt;0",
Table9[Grouping],"Group 2A (Low Stability)"
)</f>
        <v>7</v>
      </c>
      <c r="AP15" s="195">
        <f t="array" ref="AP15">_xlfn.LET(
_xlpm.data,_xlfn._xlws.FILTER(
Table9[Export Revenue Generated (USD) /Project Cost],
ISNUMBER(Table9[Export Revenue Generated (USD) /Project Cost])*
(Table9[Export Revenue Generated (USD) /Project Cost]&gt;0)*
(Table9[Grouping]="Group 2A (Low Stability)")
),
_xlpm.med,MEDIAN(_xlpm.data),
_xlpm.mad,MEDIAN(ABS(_xlpm.data-_xlpm.med)),
SUMPRODUCT(--(ABS(_xlpm.data-_xlpm.med)&gt;2.5*_xlpm.mad))/COUNT(_xlpm.data)
)</f>
        <v>0.14285714285714285</v>
      </c>
      <c r="AQ15" s="15">
        <f t="array" ref="AQ15">_xlfn.LET(
_xlpm.data,_xlfn._xlws.FILTER(
Table9[Export Revenue Generated (USD) /Project Cost],
ISNUMBER(Table9[Export Revenue Generated (USD) /Project Cost])*
(Table9[Export Revenue Generated (USD) /Project Cost]&gt;0)*
(Table9[Grouping]="Group 2A (Low Stability)")
),
_xlpm.med,MEDIAN(_xlpm.data),
_xlpm.mad,MEDIAN(ABS(_xlpm.data-_xlpm.med)),
SUMPRODUCT(--(ABS(_xlpm.data-_xlpm.med)&gt;2.5*_xlpm.mad))
)</f>
        <v>1</v>
      </c>
      <c r="AR15" s="203">
        <f t="array" ref="AR15">_xlfn.LET(
_xlpm.data,_xlfn._xlws.FILTER(
Table9[Export Revenue Generated (USD) /Project Cost],
ISNUMBER(Table9[Export Revenue Generated (USD) /Project Cost])*
(Table9[Export Revenue Generated (USD) /Project Cost]&gt;0)*
(Table9[Grouping]="Group 2A (Low Stability)")
),
_xlpm.med,MEDIAN(_xlpm.data),
_xlpm.mad,MEDIAN(ABS(_xlpm.data-_xlpm.med)),
AVERAGE(_xlfn._xlws.FILTER(_xlpm.data,ABS(_xlpm.data-_xlpm.med)&lt;=2.5*_xlpm.mad))
)</f>
        <v>7.3882832622338926E-2</v>
      </c>
      <c r="AS15" s="15">
        <f>AO15-AQ15</f>
        <v>6</v>
      </c>
      <c r="AU15" s="206" t="s">
        <v>658</v>
      </c>
      <c r="AV15" s="202">
        <f t="array" ref="AV15">MEDIAN(
_xlfn._xlws.FILTER(
Table9[Job created per $Mn],
ISNUMBER(Table9[Job created per $Mn])*
(Table9[Job created per $Mn]&gt;0)*
(Table9[Grouping]="Group 2A (Low Stability)")
)
)</f>
        <v>635.90163934426232</v>
      </c>
      <c r="AW15" s="202">
        <f t="array" ref="AW15">AVERAGE(
_xlfn._xlws.FILTER(
Table9[Job created per $Mn],
ISNUMBER(Table9[Job created per $Mn])*
(Table9[Job created per $Mn]&gt;0)*
(Table9[Grouping]="Group 2A (Low Stability)")
)
)</f>
        <v>1178.6231341084631</v>
      </c>
      <c r="AX15" s="15">
        <f>COUNTIFS(
Table9[Job created per $Mn],"&gt;0",
Table9[Grouping],"Group 2A (Low Stability)"
)</f>
        <v>13</v>
      </c>
      <c r="AY15" s="195">
        <f t="array" ref="AY15">_xlfn.LET(
_xlpm.data,
_xlfn._xlws.FILTER(
Table9[Job created per $Mn],
ISNUMBER(Table9[Job created per $Mn])*
(Table9[Job created per $Mn]&gt;0)*
(Table9[Grouping]="Group 2A (Low Stability)")
),
_xlpm.med,
MEDIAN(_xlpm.data),
_xlpm.mad,
MEDIAN(ABS(_xlpm.data-_xlpm.med)),
SUMPRODUCT(--(ABS(_xlpm.data-_xlpm.med)&gt;2.5*_xlpm.mad))/COUNT(_xlpm.data)
)</f>
        <v>0.30769230769230771</v>
      </c>
      <c r="AZ15" s="15">
        <f t="array" ref="AZ15">_xlfn.LET(
_xlpm.data,
_xlfn._xlws.FILTER(
Table9[Job created per $Mn],
ISNUMBER(Table9[Job created per $Mn])*
(Table9[Job created per $Mn]&gt;0)*
(Table9[Grouping]="Group 2A (Low Stability)")
),
_xlpm.med,
MEDIAN(_xlpm.data),
_xlpm.mad,
MEDIAN(ABS(_xlpm.data-_xlpm.med)),
SUMPRODUCT(--(ABS(_xlpm.data-_xlpm.med)&gt;2.5*_xlpm.mad))
)</f>
        <v>4</v>
      </c>
      <c r="BA15" s="202">
        <f t="array" ref="BA15">_xlfn.LET(
_xlpm.data,
_xlfn._xlws.FILTER(
Table9[Job created per $Mn],
ISNUMBER(Table9[Job created per $Mn])*
(Table9[Job created per $Mn]&gt;0)*
(Table9[Grouping]="Group 2A (Low Stability)")
),
_xlpm.med,
MEDIAN(_xlpm.data),
_xlpm.mad,
MEDIAN(ABS(_xlpm.data-_xlpm.med)),
AVERAGE(
_xlfn._xlws.FILTER(
_xlpm.data,
ABS(_xlpm.data-_xlpm.med)&lt;=2.5*_xlpm.mad
)
)
)</f>
        <v>517.55639485739061</v>
      </c>
      <c r="BB15" s="15">
        <f>AX15-AZ15</f>
        <v>9</v>
      </c>
      <c r="BD15" s="206" t="s">
        <v>658</v>
      </c>
      <c r="BE15" s="202">
        <f t="array" ref="BE15">MEDIAN(
_xlfn._xlws.FILTER(
Table9[Job improved per $Mn],
ISNUMBER(Table9[Job improved per $Mn])*
(Table9[Job improved per $Mn]&gt;0)*
(Table9[Grouping]="Group 2A (Low Stability)")
)
)</f>
        <v>2497.840827596086</v>
      </c>
      <c r="BF15" s="202">
        <f t="array" ref="BF15">AVERAGE(
_xlfn._xlws.FILTER(
Table9[Job improved per $Mn],
ISNUMBER(Table9[Job improved per $Mn])*
(Table9[Job improved per $Mn]&gt;0)*
(Table9[Grouping]="Group 2A (Low Stability)")
)
)</f>
        <v>7368.4274706699925</v>
      </c>
      <c r="BG15" s="15">
        <f>COUNTIFS(
Table9[Job improved per $Mn],"&gt;0",
Table9[Grouping],"Group 2A (Low Stability)"
)</f>
        <v>21</v>
      </c>
      <c r="BH15" s="195">
        <f t="array" ref="BH15">_xlfn.LET(
_xlpm.data,
_xlfn._xlws.FILTER(
Table9[Job improved per $Mn],
ISNUMBER(Table9[Job improved per $Mn])*
(Table9[Job improved per $Mn]&gt;0)*
(Table9[Grouping]="Group 2A (Low Stability)")
),
_xlpm.med,
MEDIAN(_xlpm.data),
_xlpm.mad,
MEDIAN(ABS(_xlpm.data-_xlpm.med)),
SUMPRODUCT(--(ABS(_xlpm.data-_xlpm.med)&gt;2.5*_xlpm.mad))/COUNT(_xlpm.data)
)</f>
        <v>0.2857142857142857</v>
      </c>
      <c r="BI15" s="15">
        <f t="array" ref="BI15">_xlfn.LET(
_xlpm.data,
_xlfn._xlws.FILTER(
Table9[Job improved per $Mn],
ISNUMBER(Table9[Job improved per $Mn])*
(Table9[Job improved per $Mn]&gt;0)*
(Table9[Grouping]="Group 2A (Low Stability)")
),
_xlpm.med,
MEDIAN(_xlpm.data),
_xlpm.mad,
MEDIAN(ABS(_xlpm.data-_xlpm.med)),
SUMPRODUCT(--(ABS(_xlpm.data-_xlpm.med)&gt;2.5*_xlpm.mad))
)</f>
        <v>6</v>
      </c>
      <c r="BJ15" s="202">
        <f t="array" ref="BJ15">_xlfn.LET(
_xlpm.data,
_xlfn._xlws.FILTER(
Table9[Job improved per $Mn],
ISNUMBER(Table9[Job improved per $Mn])*
(Table9[Job improved per $Mn]&gt;0)*
(Table9[Grouping]="Group 2A (Low Stability)")
),
_xlpm.med,
MEDIAN(_xlpm.data),
_xlpm.mad,
MEDIAN(ABS(_xlpm.data-_xlpm.med)),
AVERAGE(
_xlfn._xlws.FILTER(
_xlpm.data,
ABS(_xlpm.data-_xlpm.med)&lt;=2.5*_xlpm.mad
)
)
)</f>
        <v>2579.2045060776695</v>
      </c>
      <c r="BK15" s="15">
        <f>BG15-BI15</f>
        <v>15</v>
      </c>
      <c r="BM15" s="206" t="s">
        <v>658</v>
      </c>
      <c r="BN15" s="203">
        <f t="array" ref="BN15">MEDIAN(
_xlfn._xlws.FILTER(
Table9[Beneficiary Income (USD) / Project Cost],
ISNUMBER(Table9[Beneficiary Income (USD) / Project Cost])*
(Table9[Beneficiary Income (USD) / Project Cost]&gt;0)*
(Table9[Grouping]="Group 2A (Low Stability)")
)
)</f>
        <v>1.2907713052836876</v>
      </c>
      <c r="BO15" s="203">
        <f t="array" ref="BO15">AVERAGE(
_xlfn._xlws.FILTER(
Table9[Beneficiary Income (USD) / Project Cost],
ISNUMBER(Table9[Beneficiary Income (USD) / Project Cost])*
(Table9[Beneficiary Income (USD) / Project Cost]&gt;0)*
(Table9[Grouping]="Group 2A (Low Stability)")
)
)</f>
        <v>1.8985462700689286</v>
      </c>
      <c r="BP15" s="15">
        <f>COUNTIFS(
Table9[Beneficiary Income (USD) / Project Cost],"&gt;0",
Table9[Grouping],"Group 2A (Low Stability)"
)</f>
        <v>16</v>
      </c>
      <c r="BQ15" s="195">
        <f t="array" ref="BQ15">_xlfn.LET(
_xlpm.data,
_xlfn._xlws.FILTER(
Table9[Beneficiary Income (USD) / Project Cost],
ISNUMBER(Table9[Beneficiary Income (USD) / Project Cost])*
(Table9[Beneficiary Income (USD) / Project Cost]&gt;0)*
(Table9[Grouping]="Group 2A (Low Stability)")
),
_xlpm.med,
MEDIAN(_xlpm.data),
_xlpm.mad,
MEDIAN(ABS(_xlpm.data-_xlpm.med)),
SUMPRODUCT(--(ABS(_xlpm.data-_xlpm.med)&gt;2.5*_xlpm.mad))/COUNT(_xlpm.data)
)</f>
        <v>0.1875</v>
      </c>
      <c r="BR15" s="15">
        <f t="array" ref="BR15">_xlfn.LET(
_xlpm.data,
_xlfn._xlws.FILTER(
Table9[Beneficiary Income (USD) / Project Cost],
ISNUMBER(Table9[Beneficiary Income (USD) / Project Cost])*
(Table9[Beneficiary Income (USD) / Project Cost]&gt;0)*
(Table9[Grouping]="Group 2A (Low Stability)")
),
_xlpm.med,
MEDIAN(_xlpm.data),
_xlpm.mad,
MEDIAN(ABS(_xlpm.data-_xlpm.med)),
SUMPRODUCT(--(ABS(_xlpm.data-_xlpm.med)&gt;2.5*_xlpm.mad))
)</f>
        <v>3</v>
      </c>
      <c r="BS15" s="203">
        <f t="array" ref="BS15">_xlfn.LET(
_xlpm.data,
_xlfn._xlws.FILTER(
Table9[Beneficiary Income (USD) / Project Cost],
ISNUMBER(Table9[Beneficiary Income (USD) / Project Cost])*
(Table9[Beneficiary Income (USD) / Project Cost]&gt;0)*
(Table9[Grouping]="Group 2A (Low Stability)")
),
_xlpm.med,
MEDIAN(_xlpm.data),
_xlpm.mad,
MEDIAN(ABS(_xlpm.data-_xlpm.med)),
AVERAGE(
_xlfn._xlws.FILTER(
_xlpm.data,
ABS(_xlpm.data-_xlpm.med)&lt;=2.5*_xlpm.mad
)
)
)</f>
        <v>1.1550785110267823</v>
      </c>
      <c r="BT15" s="15">
        <f>BP15-BR15</f>
        <v>13</v>
      </c>
    </row>
    <row r="16" spans="2:72" x14ac:dyDescent="0.25">
      <c r="B16" s="206" t="s">
        <v>659</v>
      </c>
      <c r="C16" s="202">
        <f t="array" ref="C16">MEDIAN(_xlfn._xlws.FILTER(Table9[Income per beneficiary (USD)], (Table9[Income per beneficiary (USD)]&gt;0)*(Table9[Grouping]="Group 2B (High Inflation)")))</f>
        <v>270.83958837772394</v>
      </c>
      <c r="D16" s="202">
        <f t="array" ref="D16">AVERAGE(_xlfn._xlws.FILTER(Table9[Income per beneficiary (USD)], (Table9[Income per beneficiary (USD)]&gt;0)*(Table9[Grouping]="Group 2B (High Inflation)")))</f>
        <v>661.73081046561924</v>
      </c>
      <c r="E16" s="15">
        <f>COUNTIFS(Table9[Income per beneficiary (USD)],"&gt;0", Table9[Grouping],"Group 2B (High Inflation)")</f>
        <v>18</v>
      </c>
      <c r="F16" s="195">
        <f t="array" ref="F16">_xlfn.LET(
_xlpm.data,_xlfn._xlws.FILTER(
Table9[Income per beneficiary (USD)],
(Table9[Income per beneficiary (USD)]&gt;0)*
(Table9[Grouping]="Group 2B (High Inflation)")
),
_xlpm.med,MEDIAN(_xlpm.data),
_xlpm.mad,MEDIAN(ABS(_xlpm.data-_xlpm.med)),
SUMPRODUCT(--(ABS(_xlpm.data-_xlpm.med)&gt;2.5*_xlpm.mad))/COUNT(_xlpm.data)
)</f>
        <v>0.22222222222222221</v>
      </c>
      <c r="G16" s="15">
        <f t="array" ref="G16">_xlfn.LET(
_xlpm.data,_xlfn._xlws.FILTER(
Table9[Income per beneficiary (USD)],
(Table9[Income per beneficiary (USD)]&gt;0)*
(Table9[Grouping]="Group 2B (High Inflation)")
),
_xlpm.med,MEDIAN(_xlpm.data),
_xlpm.mad,MEDIAN(ABS(_xlpm.data-_xlpm.med)),
SUMPRODUCT(--(ABS(_xlpm.data-_xlpm.med)&gt;2.5*_xlpm.mad))
)</f>
        <v>4</v>
      </c>
      <c r="H16" s="202">
        <f t="array" ref="H16">_xlfn.LET(
_xlpm.data,_xlfn._xlws.FILTER(
Table9[Income per beneficiary (USD)],
(Table9[Income per beneficiary (USD)]&gt;0)*
(Table9[Grouping]="Group 2B (High Inflation)")
),
_xlpm.med,MEDIAN(_xlpm.data),
_xlpm.mad,MEDIAN(ABS(_xlpm.data-_xlpm.med)),
AVERAGE(_xlfn._xlws.FILTER(_xlpm.data,ABS(_xlpm.data-_xlpm.med)&lt;=2.5*_xlpm.mad))
)</f>
        <v>241.83368626197085</v>
      </c>
      <c r="I16" s="202">
        <f>E16-G16</f>
        <v>14</v>
      </c>
      <c r="J16" s="130"/>
      <c r="K16" s="206" t="s">
        <v>659</v>
      </c>
      <c r="L16" s="203">
        <f t="array" ref="L16">MEDIAN(
_xlfn._xlws.FILTER(
Table9[Normalised Income Impact Ratio],
ISNUMBER(Table9[Normalised Income Impact Ratio])*
(Table9[Normalised Income Impact Ratio]&gt;0)*
(Table9[Grouping]="Group 2B (High Inflation)")
)
)</f>
        <v>3.923450788381494E-2</v>
      </c>
      <c r="M16" s="203">
        <f t="array" ref="M16">AVERAGE(
_xlfn._xlws.FILTER(
Table9[Normalised Income Impact Ratio],
ISNUMBER(Table9[Normalised Income Impact Ratio])*
(Table9[Normalised Income Impact Ratio]&gt;0)*
(Table9[Grouping]="Group 2B (High Inflation)")
)
)</f>
        <v>0.10712433822763731</v>
      </c>
      <c r="N16" s="202">
        <f>COUNTIFS(
Table9[Normalised Income Impact Ratio],"&gt;0",
Table9[Grouping],"Group 2B (High Inflation)"
)</f>
        <v>18</v>
      </c>
      <c r="O16" s="195">
        <f t="array" ref="O16">_xlfn.LET(
_xlpm.data,_xlfn._xlws.FILTER(
Table9[Normalised Income Impact Ratio],
ISNUMBER(Table9[Normalised Income Impact Ratio])*
(Table9[Normalised Income Impact Ratio]&gt;0)*
(Table9[Grouping]="Group 2B (High Inflation)")
),
_xlpm.med,MEDIAN(_xlpm.data),
_xlpm.mad,MEDIAN(ABS(_xlpm.data-_xlpm.med)),
SUMPRODUCT(--(ABS(_xlpm.data-_xlpm.med)&gt;2.5*_xlpm.mad))/COUNT(_xlpm.data)
)</f>
        <v>0.16666666666666666</v>
      </c>
      <c r="P16" s="202">
        <f t="array" ref="P16">_xlfn.LET(
_xlpm.data,_xlfn._xlws.FILTER(
Table9[Normalised Income Impact Ratio],
ISNUMBER(Table9[Normalised Income Impact Ratio])*
(Table9[Normalised Income Impact Ratio]&gt;0)*
(Table9[Grouping]="Group 2B (High Inflation)")
),
_xlpm.med,MEDIAN(_xlpm.data),
_xlpm.mad,MEDIAN(ABS(_xlpm.data-_xlpm.med)),
SUMPRODUCT(--(ABS(_xlpm.data-_xlpm.med)&gt;2.5*_xlpm.mad))
)</f>
        <v>3</v>
      </c>
      <c r="Q16" s="203">
        <f t="array" ref="Q16">_xlfn.LET(
_xlpm.data,_xlfn._xlws.FILTER(
Table9[Normalised Income Impact Ratio],
ISNUMBER(Table9[Normalised Income Impact Ratio])*
(Table9[Normalised Income Impact Ratio]&gt;0)*
(Table9[Grouping]="Group 2B (High Inflation)")
),
_xlpm.med,MEDIAN(_xlpm.data),
_xlpm.mad,MEDIAN(ABS(_xlpm.data-_xlpm.med)),
AVERAGE(_xlfn._xlws.FILTER(_xlpm.data,ABS(_xlpm.data-_xlpm.med)&lt;=2.5*_xlpm.mad))
)</f>
        <v>4.0689375319343697E-2</v>
      </c>
      <c r="R16" s="202">
        <f>N16-P16</f>
        <v>15</v>
      </c>
      <c r="S16" s="130"/>
      <c r="T16" s="206" t="s">
        <v>659</v>
      </c>
      <c r="U16" s="203">
        <f t="array" ref="U16">MEDIAN(
_xlfn._xlws.FILTER(
Table9[Private Sector Investment (USD) / Project cost ],
ISNUMBER(Table9[Private Sector Investment (USD) / Project cost ])*
(Table9[Private Sector Investment (USD) / Project cost ]&gt;0)*
(Table9[Grouping]="Group 2B (High Inflation)")
)
)</f>
        <v>0.52782178217821785</v>
      </c>
      <c r="V16" s="203">
        <f t="array" ref="V16">AVERAGE(
_xlfn._xlws.FILTER(
Table9[Private Sector Investment (USD) / Project cost ],
ISNUMBER(Table9[Private Sector Investment (USD) / Project cost ])*
(Table9[Private Sector Investment (USD) / Project cost ]&gt;0)*
(Table9[Grouping]="Group 2B (High Inflation)")
)
)</f>
        <v>1.9500804970893983</v>
      </c>
      <c r="W16" s="15">
        <f>COUNTIFS(
Table9[Private Sector Investment (USD) / Project cost ],"&gt;0",
Table9[Grouping],"Group 2B (High Inflation)"
)</f>
        <v>27</v>
      </c>
      <c r="X16" s="195">
        <f t="array" ref="X16">_xlfn.LET(
_xlpm.data,_xlfn._xlws.FILTER(
Table9[Private Sector Investment (USD) / Project cost ],
ISNUMBER(Table9[Private Sector Investment (USD) / Project cost ])*
(Table9[Private Sector Investment (USD) / Project cost ]&gt;0)*
(Table9[Grouping]="Group 2B (High Inflation)")
),
_xlpm.med,MEDIAN(_xlpm.data),
_xlpm.mad,MEDIAN(ABS(_xlpm.data-_xlpm.med)),
SUMPRODUCT(--(ABS(_xlpm.data-_xlpm.med)&gt;2.5*_xlpm.mad))/COUNT(_xlpm.data)
)</f>
        <v>0.18518518518518517</v>
      </c>
      <c r="Y16" s="15">
        <f t="array" ref="Y16">_xlfn.LET(
_xlpm.data,_xlfn._xlws.FILTER(
Table9[Private Sector Investment (USD) / Project cost ],
ISNUMBER(Table9[Private Sector Investment (USD) / Project cost ])*
(Table9[Private Sector Investment (USD) / Project cost ]&gt;0)*
(Table9[Grouping]="Group 2B (High Inflation)")
),
_xlpm.med,MEDIAN(_xlpm.data),
_xlpm.mad,MEDIAN(ABS(_xlpm.data-_xlpm.med)),
SUMPRODUCT(--(ABS(_xlpm.data-_xlpm.med)&gt;2.5*_xlpm.mad))
)</f>
        <v>5</v>
      </c>
      <c r="Z16" s="203">
        <f t="array" ref="Z16">_xlfn.LET(
_xlpm.data,_xlfn._xlws.FILTER(
Table9[Private Sector Investment (USD) / Project cost ],
ISNUMBER(Table9[Private Sector Investment (USD) / Project cost ])*
(Table9[Private Sector Investment (USD) / Project cost ]&gt;0)*
(Table9[Grouping]="Group 2B (High Inflation)")
),
_xlpm.med,MEDIAN(_xlpm.data),
_xlpm.mad,MEDIAN(ABS(_xlpm.data-_xlpm.med)),
AVERAGE(_xlfn._xlws.FILTER(_xlpm.data,ABS(_xlpm.data-_xlpm.med)&lt;=2.5*_xlpm.mad))
)</f>
        <v>0.48740605038359769</v>
      </c>
      <c r="AA16" s="15">
        <f>W16-Y16</f>
        <v>22</v>
      </c>
      <c r="AC16" s="206" t="s">
        <v>659</v>
      </c>
      <c r="AD16" s="203">
        <f t="array" ref="AD16">MEDIAN(
_xlfn._xlws.FILTER(
Table9[Private Sector Revenues Generated (USD) / Project cost],
ISNUMBER(Table9[Private Sector Revenues Generated (USD) / Project cost])*
(Table9[Private Sector Revenues Generated (USD) / Project cost]&gt;0)*
(Table9[Grouping]="Group 2B (High Inflation)")
)
)</f>
        <v>1.2038596491228071</v>
      </c>
      <c r="AE16" s="203">
        <f t="array" ref="AE16">AVERAGE(
_xlfn._xlws.FILTER(
Table9[Private Sector Revenues Generated (USD) / Project cost],
ISNUMBER(Table9[Private Sector Revenues Generated (USD) / Project cost])*
(Table9[Private Sector Revenues Generated (USD) / Project cost]&gt;0)*
(Table9[Grouping]="Group 2B (High Inflation)")
)
)</f>
        <v>2.2916841184073014</v>
      </c>
      <c r="AF16" s="15">
        <f>COUNTIFS(
Table9[Private Sector Revenues Generated (USD) / Project cost],"&gt;0",
Table9[Grouping],"Group 2B (High Inflation)"
)</f>
        <v>22</v>
      </c>
      <c r="AG16" s="195">
        <f t="array" ref="AG16">_xlfn.LET(
_xlpm.data,_xlfn._xlws.FILTER(
Table9[Private Sector Revenues Generated (USD) / Project cost],
ISNUMBER(Table9[Private Sector Revenues Generated (USD) / Project cost])*
(Table9[Private Sector Revenues Generated (USD) / Project cost]&gt;0)*
(Table9[Grouping]="Group 2B (High Inflation)")
),
_xlpm.med,MEDIAN(_xlpm.data),
_xlpm.mad,MEDIAN(ABS(_xlpm.data-_xlpm.med)),
SUMPRODUCT(--(ABS(_xlpm.data-_xlpm.med)&gt;2.5*_xlpm.mad))/COUNT(_xlpm.data)
)</f>
        <v>0.18181818181818182</v>
      </c>
      <c r="AH16" s="15">
        <f t="array" ref="AH16">_xlfn.LET(
_xlpm.data,_xlfn._xlws.FILTER(
Table9[Private Sector Revenues Generated (USD) / Project cost],
ISNUMBER(Table9[Private Sector Revenues Generated (USD) / Project cost])*
(Table9[Private Sector Revenues Generated (USD) / Project cost]&gt;0)*
(Table9[Grouping]="Group 2B (High Inflation)")
),
_xlpm.med,MEDIAN(_xlpm.data),
_xlpm.mad,MEDIAN(ABS(_xlpm.data-_xlpm.med)),
SUMPRODUCT(--(ABS(_xlpm.data-_xlpm.med)&gt;2.5*_xlpm.mad))
)</f>
        <v>4</v>
      </c>
      <c r="AI16" s="203">
        <f t="array" ref="AI16">_xlfn.LET(
_xlpm.data,_xlfn._xlws.FILTER(
Table9[Private Sector Revenues Generated (USD) / Project cost],
ISNUMBER(Table9[Private Sector Revenues Generated (USD) / Project cost])*
(Table9[Private Sector Revenues Generated (USD) / Project cost]&gt;0)*
(Table9[Grouping]="Group 2B (High Inflation)")
),
_xlpm.med,MEDIAN(_xlpm.data),
_xlpm.mad,MEDIAN(ABS(_xlpm.data-_xlpm.med)),
AVERAGE(_xlfn._xlws.FILTER(_xlpm.data,ABS(_xlpm.data-_xlpm.med)&lt;=2.5*_xlpm.mad))
)</f>
        <v>0.97906527533860199</v>
      </c>
      <c r="AJ16" s="15">
        <f>AF16-AH16</f>
        <v>18</v>
      </c>
      <c r="AL16" s="206" t="s">
        <v>659</v>
      </c>
      <c r="AM16" s="203">
        <f t="array" ref="AM16">MEDIAN(
_xlfn._xlws.FILTER(
Table9[Export Revenue Generated (USD) /Project Cost],
ISNUMBER(Table9[Export Revenue Generated (USD) /Project Cost])*
(Table9[Export Revenue Generated (USD) /Project Cost]&gt;0)*
(Table9[Grouping]="Group 2B (High Inflation)")
)
)</f>
        <v>0.39370681069663382</v>
      </c>
      <c r="AN16" s="203">
        <f t="array" ref="AN16">AVERAGE(
_xlfn._xlws.FILTER(
Table9[Export Revenue Generated (USD) /Project Cost],
ISNUMBER(Table9[Export Revenue Generated (USD) /Project Cost])*
(Table9[Export Revenue Generated (USD) /Project Cost]&gt;0)*
(Table9[Grouping]="Group 2B (High Inflation)")
)
)</f>
        <v>13.874419124609432</v>
      </c>
      <c r="AO16" s="15">
        <f>COUNTIFS(
Table9[Export Revenue Generated (USD) /Project Cost],"&gt;0",
Table9[Grouping],"Group 2B (High Inflation)"
)</f>
        <v>6</v>
      </c>
      <c r="AP16" s="195">
        <f t="array" ref="AP16">_xlfn.LET(
_xlpm.data,_xlfn._xlws.FILTER(
Table9[Export Revenue Generated (USD) /Project Cost],
ISNUMBER(Table9[Export Revenue Generated (USD) /Project Cost])*
(Table9[Export Revenue Generated (USD) /Project Cost]&gt;0)*
(Table9[Grouping]="Group 2B (High Inflation)")
),
_xlpm.med,MEDIAN(_xlpm.data),
_xlpm.mad,MEDIAN(ABS(_xlpm.data-_xlpm.med)),
SUMPRODUCT(--(ABS(_xlpm.data-_xlpm.med)&gt;2.5*_xlpm.mad))/COUNT(_xlpm.data)
)</f>
        <v>0.33333333333333331</v>
      </c>
      <c r="AQ16" s="15">
        <f t="array" ref="AQ16">_xlfn.LET(
_xlpm.data,_xlfn._xlws.FILTER(
Table9[Export Revenue Generated (USD) /Project Cost],
ISNUMBER(Table9[Export Revenue Generated (USD) /Project Cost])*
(Table9[Export Revenue Generated (USD) /Project Cost]&gt;0)*
(Table9[Grouping]="Group 2B (High Inflation)")
),
_xlpm.med,MEDIAN(_xlpm.data),
_xlpm.mad,MEDIAN(ABS(_xlpm.data-_xlpm.med)),
SUMPRODUCT(--(ABS(_xlpm.data-_xlpm.med)&gt;2.5*_xlpm.mad))
)</f>
        <v>2</v>
      </c>
      <c r="AR16" s="203">
        <f t="array" ref="AR16">_xlfn.LET(
_xlpm.data,_xlfn._xlws.FILTER(
Table9[Export Revenue Generated (USD) /Project Cost],
ISNUMBER(Table9[Export Revenue Generated (USD) /Project Cost])*
(Table9[Export Revenue Generated (USD) /Project Cost]&gt;0)*
(Table9[Grouping]="Group 2B (High Inflation)")
),
_xlpm.med,MEDIAN(_xlpm.data),
_xlpm.mad,MEDIAN(ABS(_xlpm.data-_xlpm.med)),
AVERAGE(_xlfn._xlws.FILTER(_xlpm.data,ABS(_xlpm.data-_xlpm.med)&lt;=2.5*_xlpm.mad))
)</f>
        <v>0.24743156432833674</v>
      </c>
      <c r="AS16" s="15">
        <f>AO16-AQ16</f>
        <v>4</v>
      </c>
      <c r="AU16" s="206" t="s">
        <v>659</v>
      </c>
      <c r="AV16" s="202">
        <f t="array" ref="AV16">MEDIAN(
_xlfn._xlws.FILTER(
Table9[Job created per $Mn],
ISNUMBER(Table9[Job created per $Mn])*
(Table9[Job created per $Mn]&gt;0)*
(Table9[Grouping]="Group 2B (High Inflation)")
)
)</f>
        <v>198.89429824764571</v>
      </c>
      <c r="AW16" s="202">
        <f t="array" ref="AW16">AVERAGE(
_xlfn._xlws.FILTER(
Table9[Job created per $Mn],
ISNUMBER(Table9[Job created per $Mn])*
(Table9[Job created per $Mn]&gt;0)*
(Table9[Grouping]="Group 2B (High Inflation)")
)
)</f>
        <v>468.40171088838571</v>
      </c>
      <c r="AX16" s="15">
        <f>COUNTIFS(
Table9[Job created per $Mn],"&gt;0",
Table9[Grouping],"Group 2B (High Inflation)"
)</f>
        <v>19</v>
      </c>
      <c r="AY16" s="195">
        <f t="array" ref="AY16">_xlfn.LET(
_xlpm.data,
_xlfn._xlws.FILTER(
Table9[Job created per $Mn],
ISNUMBER(Table9[Job created per $Mn])*
(Table9[Job created per $Mn]&gt;0)*
(Table9[Grouping]="Group 2B (High Inflation)")
),
_xlpm.med,
MEDIAN(_xlpm.data),
_xlpm.mad,
MEDIAN(ABS(_xlpm.data-_xlpm.med)),
SUMPRODUCT(--(ABS(_xlpm.data-_xlpm.med)&gt;2.5*_xlpm.mad))/COUNT(_xlpm.data)
)</f>
        <v>0.21052631578947367</v>
      </c>
      <c r="AZ16" s="15">
        <f t="array" ref="AZ16">_xlfn.LET(
_xlpm.data,
_xlfn._xlws.FILTER(
Table9[Job created per $Mn],
ISNUMBER(Table9[Job created per $Mn])*
(Table9[Job created per $Mn]&gt;0)*
(Table9[Grouping]="Group 2B (High Inflation)")
),
_xlpm.med,
MEDIAN(_xlpm.data),
_xlpm.mad,
MEDIAN(ABS(_xlpm.data-_xlpm.med)),
SUMPRODUCT(--(ABS(_xlpm.data-_xlpm.med)&gt;2.5*_xlpm.mad))
)</f>
        <v>4</v>
      </c>
      <c r="BA16" s="202">
        <f t="array" ref="BA16">_xlfn.LET(
_xlpm.data,
_xlfn._xlws.FILTER(
Table9[Job created per $Mn],
ISNUMBER(Table9[Job created per $Mn])*
(Table9[Job created per $Mn]&gt;0)*
(Table9[Grouping]="Group 2B (High Inflation)")
),
_xlpm.med,
MEDIAN(_xlpm.data),
_xlpm.mad,
MEDIAN(ABS(_xlpm.data-_xlpm.med)),
AVERAGE(
_xlfn._xlws.FILTER(
_xlpm.data,
ABS(_xlpm.data-_xlpm.med)&lt;=2.5*_xlpm.mad
)
)
)</f>
        <v>155.02880321389327</v>
      </c>
      <c r="BB16" s="15">
        <f>AX16-AZ16</f>
        <v>15</v>
      </c>
      <c r="BD16" s="206" t="s">
        <v>659</v>
      </c>
      <c r="BE16" s="202">
        <f t="array" ref="BE16">MEDIAN(
_xlfn._xlws.FILTER(
Table9[Job improved per $Mn],
ISNUMBER(Table9[Job improved per $Mn])*
(Table9[Job improved per $Mn]&gt;0)*
(Table9[Grouping]="Group 2B (High Inflation)")
)
)</f>
        <v>1761.5542521994134</v>
      </c>
      <c r="BF16" s="202">
        <f t="array" ref="BF16">AVERAGE(
_xlfn._xlws.FILTER(
Table9[Job improved per $Mn],
ISNUMBER(Table9[Job improved per $Mn])*
(Table9[Job improved per $Mn]&gt;0)*
(Table9[Grouping]="Group 2B (High Inflation)")
)
)</f>
        <v>3933.9055049233202</v>
      </c>
      <c r="BG16" s="15">
        <f>COUNTIFS(
Table9[Job improved per $Mn],"&gt;0",
Table9[Grouping],"Group 2B (High Inflation)"
)</f>
        <v>28</v>
      </c>
      <c r="BH16" s="195">
        <f t="array" ref="BH16">_xlfn.LET(
_xlpm.data,
_xlfn._xlws.FILTER(
Table9[Job improved per $Mn],
ISNUMBER(Table9[Job improved per $Mn])*
(Table9[Job improved per $Mn]&gt;0)*
(Table9[Grouping]="Group 2B (High Inflation)")
),
_xlpm.med,
MEDIAN(_xlpm.data),
_xlpm.mad,
MEDIAN(ABS(_xlpm.data-_xlpm.med)),
SUMPRODUCT(--(ABS(_xlpm.data-_xlpm.med)&gt;2.5*_xlpm.mad))/COUNT(_xlpm.data)
)</f>
        <v>0.25</v>
      </c>
      <c r="BI16" s="15">
        <f t="array" ref="BI16">_xlfn.LET(
_xlpm.data,
_xlfn._xlws.FILTER(
Table9[Job improved per $Mn],
ISNUMBER(Table9[Job improved per $Mn])*
(Table9[Job improved per $Mn]&gt;0)*
(Table9[Grouping]="Group 2B (High Inflation)")
),
_xlpm.med,
MEDIAN(_xlpm.data),
_xlpm.mad,
MEDIAN(ABS(_xlpm.data-_xlpm.med)),
SUMPRODUCT(--(ABS(_xlpm.data-_xlpm.med)&gt;2.5*_xlpm.mad))
)</f>
        <v>7</v>
      </c>
      <c r="BJ16" s="202">
        <f t="array" ref="BJ16">_xlfn.LET(
_xlpm.data,
_xlfn._xlws.FILTER(
Table9[Job improved per $Mn],
ISNUMBER(Table9[Job improved per $Mn])*
(Table9[Job improved per $Mn]&gt;0)*
(Table9[Grouping]="Group 2B (High Inflation)")
),
_xlpm.med,
MEDIAN(_xlpm.data),
_xlpm.mad,
MEDIAN(ABS(_xlpm.data-_xlpm.med)),
AVERAGE(
_xlfn._xlws.FILTER(
_xlpm.data,
ABS(_xlpm.data-_xlpm.med)&lt;=2.5*_xlpm.mad
)
)
)</f>
        <v>1523.4732546657742</v>
      </c>
      <c r="BK16" s="15">
        <f>BG16-BI16</f>
        <v>21</v>
      </c>
      <c r="BM16" s="206" t="s">
        <v>659</v>
      </c>
      <c r="BN16" s="203">
        <f t="array" ref="BN16">MEDIAN(
_xlfn._xlws.FILTER(
Table9[Beneficiary Income (USD) / Project Cost],
ISNUMBER(Table9[Beneficiary Income (USD) / Project Cost])*
(Table9[Beneficiary Income (USD) / Project Cost]&gt;0)*
(Table9[Grouping]="Group 2B (High Inflation)")
)
)</f>
        <v>1.1640735593775156</v>
      </c>
      <c r="BO16" s="203">
        <f t="array" ref="BO16">AVERAGE(
_xlfn._xlws.FILTER(
Table9[Beneficiary Income (USD) / Project Cost],
ISNUMBER(Table9[Beneficiary Income (USD) / Project Cost])*
(Table9[Beneficiary Income (USD) / Project Cost]&gt;0)*
(Table9[Grouping]="Group 2B (High Inflation)")
)
)</f>
        <v>1.4442916054277828</v>
      </c>
      <c r="BP16" s="15">
        <f>COUNTIFS(
Table9[Beneficiary Income (USD) / Project Cost],"&gt;0",
Table9[Grouping],"Group 2B (High Inflation)"
)</f>
        <v>18</v>
      </c>
      <c r="BQ16" s="195">
        <f t="array" ref="BQ16">_xlfn.LET(
_xlpm.data,
_xlfn._xlws.FILTER(
Table9[Beneficiary Income (USD) / Project Cost],
ISNUMBER(Table9[Beneficiary Income (USD) / Project Cost])*
(Table9[Beneficiary Income (USD) / Project Cost]&gt;0)*
(Table9[Grouping]="Group 2B (High Inflation)")
),
_xlpm.med,
MEDIAN(_xlpm.data),
_xlpm.mad,
MEDIAN(ABS(_xlpm.data-_xlpm.med)),
SUMPRODUCT(--(ABS(_xlpm.data-_xlpm.med)&gt;2.5*_xlpm.mad))/COUNT(_xlpm.data)
)</f>
        <v>0.1111111111111111</v>
      </c>
      <c r="BR16" s="15">
        <f t="array" ref="BR16">_xlfn.LET(
_xlpm.data,
_xlfn._xlws.FILTER(
Table9[Beneficiary Income (USD) / Project Cost],
ISNUMBER(Table9[Beneficiary Income (USD) / Project Cost])*
(Table9[Beneficiary Income (USD) / Project Cost]&gt;0)*
(Table9[Grouping]="Group 2B (High Inflation)")
),
_xlpm.med,
MEDIAN(_xlpm.data),
_xlpm.mad,
MEDIAN(ABS(_xlpm.data-_xlpm.med)),
SUMPRODUCT(--(ABS(_xlpm.data-_xlpm.med)&gt;2.5*_xlpm.mad))
)</f>
        <v>2</v>
      </c>
      <c r="BS16" s="203">
        <f t="array" ref="BS16">_xlfn.LET(
_xlpm.data,
_xlfn._xlws.FILTER(
Table9[Beneficiary Income (USD) / Project Cost],
ISNUMBER(Table9[Beneficiary Income (USD) / Project Cost])*
(Table9[Beneficiary Income (USD) / Project Cost]&gt;0)*
(Table9[Grouping]="Group 2B (High Inflation)")
),
_xlpm.med,
MEDIAN(_xlpm.data),
_xlpm.mad,
MEDIAN(ABS(_xlpm.data-_xlpm.med)),
AVERAGE(
_xlfn._xlws.FILTER(
_xlpm.data,
ABS(_xlpm.data-_xlpm.med)&lt;=2.5*_xlpm.mad
)
)
)</f>
        <v>1.0610852274389311</v>
      </c>
      <c r="BT16" s="15">
        <f>BP16-BR16</f>
        <v>16</v>
      </c>
    </row>
    <row r="17" spans="2:72" x14ac:dyDescent="0.25">
      <c r="B17" s="206" t="s">
        <v>571</v>
      </c>
      <c r="C17" s="202">
        <f t="array" ref="C17">MEDIAN(_xlfn._xlws.FILTER(Table9[Income per beneficiary (USD)], (Table9[Income per beneficiary (USD)]&gt;0)*(Table9[Grouping]="Group 3")))</f>
        <v>310.31798831659512</v>
      </c>
      <c r="D17" s="202">
        <f t="array" ref="D17">AVERAGE(_xlfn._xlws.FILTER(Table9[Income per beneficiary (USD)], (Table9[Income per beneficiary (USD)]&gt;0)*(Table9[Grouping]="Group 3")))</f>
        <v>608.53399415829756</v>
      </c>
      <c r="E17" s="15">
        <f>COUNTIFS(Table9[Income per beneficiary (USD)],"&gt;0", Table9[Grouping],"Group 3")</f>
        <v>4</v>
      </c>
      <c r="F17" s="195">
        <f t="array" ref="F17">_xlfn.LET(
_xlpm.data,_xlfn._xlws.FILTER(
Table9[Income per beneficiary (USD)],
(Table9[Income per beneficiary (USD)]&gt;0)*
(Table9[Grouping]="Group 3")
),
_xlpm.med,MEDIAN(_xlpm.data),
_xlpm.mad,MEDIAN(ABS(_xlpm.data-_xlpm.med)),
SUMPRODUCT(--(ABS(_xlpm.data-_xlpm.med)&gt;2.5*_xlpm.mad))/COUNT(_xlpm.data)
)</f>
        <v>0.25</v>
      </c>
      <c r="G17" s="15">
        <f t="array" ref="G17">_xlfn.LET(
_xlpm.data,_xlfn._xlws.FILTER(
Table9[Income per beneficiary (USD)],
(Table9[Income per beneficiary (USD)]&gt;0)*
(Table9[Grouping]="Group 3")
),
_xlpm.med,MEDIAN(_xlpm.data),
_xlpm.mad,MEDIAN(ABS(_xlpm.data-_xlpm.med)),
SUMPRODUCT(--(ABS(_xlpm.data-_xlpm.med)&gt;2.5*_xlpm.mad))
)</f>
        <v>1</v>
      </c>
      <c r="H17" s="202">
        <f t="array" ref="H17">_xlfn.LET(
_xlpm.data,_xlfn._xlws.FILTER(
Table9[Income per beneficiary (USD)],
(Table9[Income per beneficiary (USD)]&gt;0)*
(Table9[Grouping]="Group 3")
),
_xlpm.med,MEDIAN(_xlpm.data),
_xlpm.mad,MEDIAN(ABS(_xlpm.data-_xlpm.med)),
AVERAGE(_xlfn._xlws.FILTER(_xlpm.data,ABS(_xlpm.data-_xlpm.med)&lt;=2.5*_xlpm.mad))
)</f>
        <v>211.37865887773009</v>
      </c>
      <c r="I17" s="202">
        <f>E17-G17</f>
        <v>3</v>
      </c>
      <c r="J17" s="130"/>
      <c r="K17" s="206" t="s">
        <v>571</v>
      </c>
      <c r="L17" s="203">
        <f t="array" ref="L17">MEDIAN(
_xlfn._xlws.FILTER(
Table9[Normalised Income Impact Ratio],
ISNUMBER(Table9[Normalised Income Impact Ratio])*
(Table9[Normalised Income Impact Ratio]&gt;0)*
(Table9[Grouping]="Group 3")
)
)</f>
        <v>1.5295037480412312E-2</v>
      </c>
      <c r="M17" s="203">
        <f t="array" ref="M17">AVERAGE(
_xlfn._xlws.FILTER(
Table9[Normalised Income Impact Ratio],
ISNUMBER(Table9[Normalised Income Impact Ratio])*
(Table9[Normalised Income Impact Ratio]&gt;0)*
(Table9[Grouping]="Group 3")
)
)</f>
        <v>7.2177798243311747E-2</v>
      </c>
      <c r="N17" s="202">
        <f>COUNTIFS(
Table9[Normalised Income Impact Ratio],"&gt;0",
Table9[Grouping],"Group 3"
)</f>
        <v>4</v>
      </c>
      <c r="O17" s="195">
        <f t="array" ref="O17">_xlfn.LET(
_xlpm.data,_xlfn._xlws.FILTER(
Table9[Normalised Income Impact Ratio],
ISNUMBER(Table9[Normalised Income Impact Ratio])*
(Table9[Normalised Income Impact Ratio]&gt;0)*
(Table9[Grouping]="Group 3")
),
_xlpm.med,MEDIAN(_xlpm.data),
_xlpm.mad,MEDIAN(ABS(_xlpm.data-_xlpm.med)),
SUMPRODUCT(--(ABS(_xlpm.data-_xlpm.med)&gt;2.5*_xlpm.mad))/COUNT(_xlpm.data)
)</f>
        <v>0.25</v>
      </c>
      <c r="P17" s="202">
        <f t="array" ref="P17">_xlfn.LET(
_xlpm.data,_xlfn._xlws.FILTER(
Table9[Normalised Income Impact Ratio],
ISNUMBER(Table9[Normalised Income Impact Ratio])*
(Table9[Normalised Income Impact Ratio]&gt;0)*
(Table9[Grouping]="Group 3")
),
_xlpm.med,MEDIAN(_xlpm.data),
_xlpm.mad,MEDIAN(ABS(_xlpm.data-_xlpm.med)),
SUMPRODUCT(--(ABS(_xlpm.data-_xlpm.med)&gt;2.5*_xlpm.mad))
)</f>
        <v>1</v>
      </c>
      <c r="Q17" s="203">
        <f t="array" ref="Q17">_xlfn.LET(
_xlpm.data,_xlfn._xlws.FILTER(
Table9[Normalised Income Impact Ratio],
ISNUMBER(Table9[Normalised Income Impact Ratio])*
(Table9[Normalised Income Impact Ratio]&gt;0)*
(Table9[Grouping]="Group 3")
),
_xlpm.med,MEDIAN(_xlpm.data),
_xlpm.mad,MEDIAN(ABS(_xlpm.data-_xlpm.med)),
AVERAGE(_xlfn._xlws.FILTER(_xlpm.data,ABS(_xlpm.data-_xlpm.med)&lt;=2.5*_xlpm.mad))
)</f>
        <v>1.0522778610129948E-2</v>
      </c>
      <c r="R17" s="202">
        <f>N17-P17</f>
        <v>3</v>
      </c>
      <c r="S17" s="130"/>
      <c r="T17" s="206" t="s">
        <v>571</v>
      </c>
      <c r="U17" s="203">
        <f t="array" ref="U17">MEDIAN(
_xlfn._xlws.FILTER(
Table9[Private Sector Investment (USD) / Project cost ],
ISNUMBER(Table9[Private Sector Investment (USD) / Project cost ])*
(Table9[Private Sector Investment (USD) / Project cost ]&gt;0)*
(Table9[Grouping]="Group 3")
)
)</f>
        <v>1.133113833333333</v>
      </c>
      <c r="V17" s="203">
        <f t="array" ref="V17">AVERAGE(
_xlfn._xlws.FILTER(
Table9[Private Sector Investment (USD) / Project cost ],
ISNUMBER(Table9[Private Sector Investment (USD) / Project cost ])*
(Table9[Private Sector Investment (USD) / Project cost ]&gt;0)*
(Table9[Grouping]="Group 3")
)
)</f>
        <v>3.3985386007176444</v>
      </c>
      <c r="W17" s="15">
        <f>COUNTIFS(
Table9[Private Sector Investment (USD) / Project cost ],"&gt;0",
Table9[Grouping],"Group 3"
)</f>
        <v>3</v>
      </c>
      <c r="X17" s="195">
        <f t="array" ref="X17">_xlfn.LET(
_xlpm.data,_xlfn._xlws.FILTER(
Table9[Private Sector Investment (USD) / Project cost ],
ISNUMBER(Table9[Private Sector Investment (USD) / Project cost ])*
(Table9[Private Sector Investment (USD) / Project cost ]&gt;0)*
(Table9[Grouping]="Group 3")
),
_xlpm.med,MEDIAN(_xlpm.data),
_xlpm.mad,MEDIAN(ABS(_xlpm.data-_xlpm.med)),
SUMPRODUCT(--(ABS(_xlpm.data-_xlpm.med)&gt;2.5*_xlpm.mad))/COUNT(_xlpm.data)
)</f>
        <v>0.33333333333333331</v>
      </c>
      <c r="Y17" s="15">
        <f t="array" ref="Y17">_xlfn.LET(
_xlpm.data,_xlfn._xlws.FILTER(
Table9[Private Sector Investment (USD) / Project cost ],
ISNUMBER(Table9[Private Sector Investment (USD) / Project cost ])*
(Table9[Private Sector Investment (USD) / Project cost ]&gt;0)*
(Table9[Grouping]="Group 3")
),
_xlpm.med,MEDIAN(_xlpm.data),
_xlpm.mad,MEDIAN(ABS(_xlpm.data-_xlpm.med)),
SUMPRODUCT(--(ABS(_xlpm.data-_xlpm.med)&gt;2.5*_xlpm.mad))
)</f>
        <v>1</v>
      </c>
      <c r="Z17" s="203">
        <f t="array" ref="Z17">_xlfn.LET(
_xlpm.data,_xlfn._xlws.FILTER(
Table9[Private Sector Investment (USD) / Project cost ],
ISNUMBER(Table9[Private Sector Investment (USD) / Project cost ])*
(Table9[Private Sector Investment (USD) / Project cost ]&gt;0)*
(Table9[Grouping]="Group 3")
),
_xlpm.med,MEDIAN(_xlpm.data),
_xlpm.mad,MEDIAN(ABS(_xlpm.data-_xlpm.med)),
AVERAGE(_xlfn._xlws.FILTER(_xlpm.data,ABS(_xlpm.data-_xlpm.med)&lt;=2.5*_xlpm.mad))
)</f>
        <v>0.6434649166666665</v>
      </c>
      <c r="AA17" s="15">
        <f>W17-Y17</f>
        <v>2</v>
      </c>
      <c r="AC17" s="206" t="s">
        <v>571</v>
      </c>
      <c r="AD17" s="203">
        <f t="array" ref="AD17">MEDIAN(
_xlfn._xlws.FILTER(
Table9[Private Sector Revenues Generated (USD) / Project cost],
ISNUMBER(Table9[Private Sector Revenues Generated (USD) / Project cost])*
(Table9[Private Sector Revenues Generated (USD) / Project cost]&gt;0)*
(Table9[Grouping]="Group 3")
)
)</f>
        <v>0.53767324166666663</v>
      </c>
      <c r="AE17" s="203">
        <f t="array" ref="AE17">AVERAGE(
_xlfn._xlws.FILTER(
Table9[Private Sector Revenues Generated (USD) / Project cost],
ISNUMBER(Table9[Private Sector Revenues Generated (USD) / Project cost])*
(Table9[Private Sector Revenues Generated (USD) / Project cost]&gt;0)*
(Table9[Grouping]="Group 3")
)
)</f>
        <v>0.53767324166666663</v>
      </c>
      <c r="AF17" s="15">
        <f>COUNTIFS(
Table9[Private Sector Revenues Generated (USD) / Project cost],"&gt;0",
Table9[Grouping],"Group 3"
)</f>
        <v>2</v>
      </c>
      <c r="AG17" s="195">
        <f t="array" ref="AG17">_xlfn.LET(
_xlpm.data,_xlfn._xlws.FILTER(
Table9[Private Sector Revenues Generated (USD) / Project cost],
ISNUMBER(Table9[Private Sector Revenues Generated (USD) / Project cost])*
(Table9[Private Sector Revenues Generated (USD) / Project cost]&gt;0)*
(Table9[Grouping]="Group 3")
),
_xlpm.med,MEDIAN(_xlpm.data),
_xlpm.mad,MEDIAN(ABS(_xlpm.data-_xlpm.med)),
SUMPRODUCT(--(ABS(_xlpm.data-_xlpm.med)&gt;2.5*_xlpm.mad))/COUNT(_xlpm.data)
)</f>
        <v>0</v>
      </c>
      <c r="AH17" s="15">
        <f t="array" ref="AH17">_xlfn.LET(
_xlpm.data,_xlfn._xlws.FILTER(
Table9[Private Sector Revenues Generated (USD) / Project cost],
ISNUMBER(Table9[Private Sector Revenues Generated (USD) / Project cost])*
(Table9[Private Sector Revenues Generated (USD) / Project cost]&gt;0)*
(Table9[Grouping]="Group 3")
),
_xlpm.med,MEDIAN(_xlpm.data),
_xlpm.mad,MEDIAN(ABS(_xlpm.data-_xlpm.med)),
SUMPRODUCT(--(ABS(_xlpm.data-_xlpm.med)&gt;2.5*_xlpm.mad))
)</f>
        <v>0</v>
      </c>
      <c r="AI17" s="203">
        <f t="array" ref="AI17">_xlfn.LET(
_xlpm.data,_xlfn._xlws.FILTER(
Table9[Private Sector Revenues Generated (USD) / Project cost],
ISNUMBER(Table9[Private Sector Revenues Generated (USD) / Project cost])*
(Table9[Private Sector Revenues Generated (USD) / Project cost]&gt;0)*
(Table9[Grouping]="Group 3")
),
_xlpm.med,MEDIAN(_xlpm.data),
_xlpm.mad,MEDIAN(ABS(_xlpm.data-_xlpm.med)),
AVERAGE(_xlfn._xlws.FILTER(_xlpm.data,ABS(_xlpm.data-_xlpm.med)&lt;=2.5*_xlpm.mad))
)</f>
        <v>0.53767324166666663</v>
      </c>
      <c r="AJ17" s="15">
        <f>AF17-AH17</f>
        <v>2</v>
      </c>
      <c r="AL17" s="206" t="s">
        <v>571</v>
      </c>
      <c r="AM17" s="204" t="e" vm="37">
        <f t="array" ref="AM17">MEDIAN(
_xlfn._xlws.FILTER(
Table9[Export Revenue Generated (USD) /Project Cost],
ISNUMBER(Table9[Export Revenue Generated (USD) /Project Cost])*
(Table9[Export Revenue Generated (USD) /Project Cost]&gt;0)*
(Table9[Grouping]="Group 3")
)
)</f>
        <v>#VALUE!</v>
      </c>
      <c r="AN17" s="204" t="e" vm="37">
        <f t="array" ref="AN17">AVERAGE(
_xlfn._xlws.FILTER(
Table9[Export Revenue Generated (USD) /Project Cost],
ISNUMBER(Table9[Export Revenue Generated (USD) /Project Cost])*
(Table9[Export Revenue Generated (USD) /Project Cost]&gt;0)*
(Table9[Grouping]="Group 3")
)
)</f>
        <v>#VALUE!</v>
      </c>
      <c r="AO17" s="15">
        <f>COUNTIFS(
Table9[Export Revenue Generated (USD) /Project Cost],"&gt;0",
Table9[Grouping],"Group 3"
)</f>
        <v>0</v>
      </c>
      <c r="AP17" s="15" t="e" vm="37">
        <f t="array" ref="AP17">_xlfn.LET(
_xlpm.data,_xlfn._xlws.FILTER(
Table9[Export Revenue Generated (USD) /Project Cost],
ISNUMBER(Table9[Export Revenue Generated (USD) /Project Cost])*
(Table9[Export Revenue Generated (USD) /Project Cost]&gt;0)*
(Table9[Grouping]="Group 3")
),
_xlpm.med,MEDIAN(_xlpm.data),
_xlpm.mad,MEDIAN(ABS(_xlpm.data-_xlpm.med)),
SUMPRODUCT(--(ABS(_xlpm.data-_xlpm.med)&gt;2.5*_xlpm.mad))/COUNT(_xlpm.data)
)</f>
        <v>#VALUE!</v>
      </c>
      <c r="AQ17" s="15" t="e" vm="37">
        <f t="array" ref="AQ17">_xlfn.LET(
_xlpm.data,_xlfn._xlws.FILTER(
Table9[Export Revenue Generated (USD) /Project Cost],
ISNUMBER(Table9[Export Revenue Generated (USD) /Project Cost])*
(Table9[Export Revenue Generated (USD) /Project Cost]&gt;0)*
(Table9[Grouping]="Group 3")
),
_xlpm.med,MEDIAN(_xlpm.data),
_xlpm.mad,MEDIAN(ABS(_xlpm.data-_xlpm.med)),
SUMPRODUCT(--(ABS(_xlpm.data-_xlpm.med)&gt;2.5*_xlpm.mad))
)</f>
        <v>#VALUE!</v>
      </c>
      <c r="AR17" s="203" t="e" vm="37">
        <f t="array" ref="AR17">_xlfn.LET(
_xlpm.data,_xlfn._xlws.FILTER(
Table9[Export Revenue Generated (USD) /Project Cost],
ISNUMBER(Table9[Export Revenue Generated (USD) /Project Cost])*
(Table9[Export Revenue Generated (USD) /Project Cost]&gt;0)*
(Table9[Grouping]="Group 3")
),
_xlpm.med,MEDIAN(_xlpm.data),
_xlpm.mad,MEDIAN(ABS(_xlpm.data-_xlpm.med)),
AVERAGE(_xlfn._xlws.FILTER(_xlpm.data,ABS(_xlpm.data-_xlpm.med)&lt;=2.5*_xlpm.mad))
)</f>
        <v>#VALUE!</v>
      </c>
      <c r="AS17" s="15" t="e" vm="38">
        <f>AO17-AQ17</f>
        <v>#VALUE!</v>
      </c>
      <c r="AU17" s="206" t="s">
        <v>571</v>
      </c>
      <c r="AV17" s="202">
        <f t="array" ref="AV17">MEDIAN(
_xlfn._xlws.FILTER(
Table9[Job created per $Mn],
ISNUMBER(Table9[Job created per $Mn])*
(Table9[Job created per $Mn]&gt;0)*
(Table9[Grouping]="Group 3")
)
)</f>
        <v>565.18920068027205</v>
      </c>
      <c r="AW17" s="202">
        <f t="array" ref="AW17">AVERAGE(
_xlfn._xlws.FILTER(
Table9[Job created per $Mn],
ISNUMBER(Table9[Job created per $Mn])*
(Table9[Job created per $Mn]&gt;0)*
(Table9[Grouping]="Group 3")
)
)</f>
        <v>565.18920068027205</v>
      </c>
      <c r="AX17" s="15">
        <f>COUNTIFS(
Table9[Job created per $Mn],"&gt;0",
Table9[Grouping],"Group 3"
)</f>
        <v>2</v>
      </c>
      <c r="AY17" s="195">
        <f t="array" ref="AY17">_xlfn.LET(
_xlpm.data,
_xlfn._xlws.FILTER(
Table9[Job created per $Mn],
ISNUMBER(Table9[Job created per $Mn])*
(Table9[Job created per $Mn]&gt;0)*
(Table9[Grouping]="Group 3")
),
_xlpm.med,
MEDIAN(_xlpm.data),
_xlpm.mad,
MEDIAN(ABS(_xlpm.data-_xlpm.med)),
SUMPRODUCT(--(ABS(_xlpm.data-_xlpm.med)&gt;2.5*_xlpm.mad))/COUNT(_xlpm.data)
)</f>
        <v>0</v>
      </c>
      <c r="AZ17" s="15">
        <f t="array" ref="AZ17">_xlfn.LET(
_xlpm.data,
_xlfn._xlws.FILTER(
Table9[Job created per $Mn],
ISNUMBER(Table9[Job created per $Mn])*
(Table9[Job created per $Mn]&gt;0)*
(Table9[Grouping]="Group 3")
),
_xlpm.med,
MEDIAN(_xlpm.data),
_xlpm.mad,
MEDIAN(ABS(_xlpm.data-_xlpm.med)),
SUMPRODUCT(--(ABS(_xlpm.data-_xlpm.med)&gt;2.5*_xlpm.mad))
)</f>
        <v>0</v>
      </c>
      <c r="BA17" s="202">
        <f t="array" ref="BA17">_xlfn.LET(
_xlpm.data,
_xlfn._xlws.FILTER(
Table9[Job created per $Mn],
ISNUMBER(Table9[Job created per $Mn])*
(Table9[Job created per $Mn]&gt;0)*
(Table9[Grouping]="Group 3")
),
_xlpm.med,
MEDIAN(_xlpm.data),
_xlpm.mad,
MEDIAN(ABS(_xlpm.data-_xlpm.med)),
AVERAGE(
_xlfn._xlws.FILTER(
_xlpm.data,
ABS(_xlpm.data-_xlpm.med)&lt;=2.5*_xlpm.mad
)
)
)</f>
        <v>565.18920068027205</v>
      </c>
      <c r="BB17" s="15">
        <f>AX17-AZ17</f>
        <v>2</v>
      </c>
      <c r="BD17" s="206" t="s">
        <v>571</v>
      </c>
      <c r="BE17" s="202">
        <f t="array" ref="BE17">MEDIAN(
_xlfn._xlws.FILTER(
Table9[Job improved per $Mn],
ISNUMBER(Table9[Job improved per $Mn])*
(Table9[Job improved per $Mn]&gt;0)*
(Table9[Grouping]="Group 3")
)
)</f>
        <v>833.85126253891383</v>
      </c>
      <c r="BF17" s="202">
        <f t="array" ref="BF17">AVERAGE(
_xlfn._xlws.FILTER(
Table9[Job improved per $Mn],
ISNUMBER(Table9[Job improved per $Mn])*
(Table9[Job improved per $Mn]&gt;0)*
(Table9[Grouping]="Group 3")
)
)</f>
        <v>1883.4334640572458</v>
      </c>
      <c r="BG17" s="15">
        <f>COUNTIFS(
Table9[Job improved per $Mn],"&gt;0",
Table9[Grouping],"Group 3"
)</f>
        <v>6</v>
      </c>
      <c r="BH17" s="195">
        <f t="array" ref="BH17">_xlfn.LET(
_xlpm.data,
_xlfn._xlws.FILTER(
Table9[Job improved per $Mn],
ISNUMBER(Table9[Job improved per $Mn])*
(Table9[Job improved per $Mn]&gt;0)*
(Table9[Grouping]="Group 3")
),
_xlpm.med,
MEDIAN(_xlpm.data),
_xlpm.mad,
MEDIAN(ABS(_xlpm.data-_xlpm.med)),
SUMPRODUCT(--(ABS(_xlpm.data-_xlpm.med)&gt;2.5*_xlpm.mad))/COUNT(_xlpm.data)
)</f>
        <v>0.33333333333333331</v>
      </c>
      <c r="BI17" s="15">
        <f t="array" ref="BI17">_xlfn.LET(
_xlpm.data,
_xlfn._xlws.FILTER(
Table9[Job improved per $Mn],
ISNUMBER(Table9[Job improved per $Mn])*
(Table9[Job improved per $Mn]&gt;0)*
(Table9[Grouping]="Group 3")
),
_xlpm.med,
MEDIAN(_xlpm.data),
_xlpm.mad,
MEDIAN(ABS(_xlpm.data-_xlpm.med)),
SUMPRODUCT(--(ABS(_xlpm.data-_xlpm.med)&gt;2.5*_xlpm.mad))
)</f>
        <v>2</v>
      </c>
      <c r="BJ17" s="202">
        <f t="array" ref="BJ17">_xlfn.LET(
_xlpm.data,
_xlfn._xlws.FILTER(
Table9[Job improved per $Mn],
ISNUMBER(Table9[Job improved per $Mn])*
(Table9[Job improved per $Mn]&gt;0)*
(Table9[Grouping]="Group 3")
),
_xlpm.med,
MEDIAN(_xlpm.data),
_xlpm.mad,
MEDIAN(ABS(_xlpm.data-_xlpm.med)),
AVERAGE(
_xlfn._xlws.FILTER(
_xlpm.data,
ABS(_xlpm.data-_xlpm.med)&lt;=2.5*_xlpm.mad
)
)
)</f>
        <v>724.83176254156479</v>
      </c>
      <c r="BK17" s="15">
        <f>BG17-BI17</f>
        <v>4</v>
      </c>
      <c r="BM17" s="206" t="s">
        <v>571</v>
      </c>
      <c r="BN17" s="203">
        <f t="array" ref="BN17">MEDIAN(
_xlfn._xlws.FILTER(
Table9[Beneficiary Income (USD) / Project Cost],
ISNUMBER(Table9[Beneficiary Income (USD) / Project Cost])*
(Table9[Beneficiary Income (USD) / Project Cost]&gt;0)*
(Table9[Grouping]="Group 3")
)
)</f>
        <v>0.89272098440677961</v>
      </c>
      <c r="BO17" s="203">
        <f t="array" ref="BO17">AVERAGE(
_xlfn._xlws.FILTER(
Table9[Beneficiary Income (USD) / Project Cost],
ISNUMBER(Table9[Beneficiary Income (USD) / Project Cost])*
(Table9[Beneficiary Income (USD) / Project Cost]&gt;0)*
(Table9[Grouping]="Group 3")
)
)</f>
        <v>1.0914830657328014</v>
      </c>
      <c r="BP17" s="15">
        <f>COUNTIFS(
Table9[Beneficiary Income (USD) / Project Cost],"&gt;0",
Table9[Grouping],"Group 3"
)</f>
        <v>4</v>
      </c>
      <c r="BQ17" s="195">
        <f t="array" ref="BQ17">_xlfn.LET(
_xlpm.data,
_xlfn._xlws.FILTER(
Table9[Beneficiary Income (USD) / Project Cost],
ISNUMBER(Table9[Beneficiary Income (USD) / Project Cost])*
(Table9[Beneficiary Income (USD) / Project Cost]&gt;0)*
(Table9[Grouping]="Group 3")
),
_xlpm.med,
MEDIAN(_xlpm.data),
_xlpm.mad,
MEDIAN(ABS(_xlpm.data-_xlpm.med)),
SUMPRODUCT(--(ABS(_xlpm.data-_xlpm.med)&gt;2.5*_xlpm.mad))/COUNT(_xlpm.data)
)</f>
        <v>0</v>
      </c>
      <c r="BR17" s="15">
        <f t="array" ref="BR17">_xlfn.LET(
_xlpm.data,
_xlfn._xlws.FILTER(
Table9[Beneficiary Income (USD) / Project Cost],
ISNUMBER(Table9[Beneficiary Income (USD) / Project Cost])*
(Table9[Beneficiary Income (USD) / Project Cost]&gt;0)*
(Table9[Grouping]="Group 3")
),
_xlpm.med,
MEDIAN(_xlpm.data),
_xlpm.mad,
MEDIAN(ABS(_xlpm.data-_xlpm.med)),
SUMPRODUCT(--(ABS(_xlpm.data-_xlpm.med)&gt;2.5*_xlpm.mad))
)</f>
        <v>0</v>
      </c>
      <c r="BS17" s="203">
        <f t="array" ref="BS17">_xlfn.LET(
_xlpm.data,
_xlfn._xlws.FILTER(
Table9[Beneficiary Income (USD) / Project Cost],
ISNUMBER(Table9[Beneficiary Income (USD) / Project Cost])*
(Table9[Beneficiary Income (USD) / Project Cost]&gt;0)*
(Table9[Grouping]="Group 3")
),
_xlpm.med,
MEDIAN(_xlpm.data),
_xlpm.mad,
MEDIAN(ABS(_xlpm.data-_xlpm.med)),
AVERAGE(
_xlfn._xlws.FILTER(
_xlpm.data,
ABS(_xlpm.data-_xlpm.med)&lt;=2.5*_xlpm.mad
)
)
)</f>
        <v>1.0914830657328014</v>
      </c>
      <c r="BT17" s="15">
        <f>BP17-BR17</f>
        <v>4</v>
      </c>
    </row>
    <row r="18" spans="2:72" x14ac:dyDescent="0.25">
      <c r="B18" s="373" t="s">
        <v>643</v>
      </c>
      <c r="C18" s="373"/>
      <c r="D18" s="373"/>
      <c r="E18" s="373"/>
      <c r="F18" s="420"/>
      <c r="G18" s="373"/>
      <c r="H18" s="373"/>
      <c r="I18" s="373"/>
      <c r="J18" s="417"/>
      <c r="K18" s="373" t="s">
        <v>643</v>
      </c>
      <c r="L18" s="373"/>
      <c r="M18" s="373"/>
      <c r="N18" s="373"/>
      <c r="O18" s="420"/>
      <c r="P18" s="373"/>
      <c r="Q18" s="373"/>
      <c r="R18" s="373"/>
      <c r="S18" s="417"/>
      <c r="T18" s="373" t="s">
        <v>643</v>
      </c>
      <c r="U18" s="373"/>
      <c r="V18" s="373"/>
      <c r="W18" s="373"/>
      <c r="X18" s="373"/>
      <c r="Y18" s="373"/>
      <c r="Z18" s="373"/>
      <c r="AA18" s="373"/>
      <c r="AB18" s="417"/>
      <c r="AC18" s="373" t="s">
        <v>643</v>
      </c>
      <c r="AD18" s="373"/>
      <c r="AE18" s="373"/>
      <c r="AF18" s="373"/>
      <c r="AG18" s="373"/>
      <c r="AH18" s="373"/>
      <c r="AI18" s="373"/>
      <c r="AJ18" s="373"/>
      <c r="AK18" s="417"/>
      <c r="AL18" s="373" t="s">
        <v>643</v>
      </c>
      <c r="AM18" s="373"/>
      <c r="AN18" s="373"/>
      <c r="AO18" s="373"/>
      <c r="AP18" s="373"/>
      <c r="AQ18" s="373"/>
      <c r="AR18" s="373"/>
      <c r="AS18" s="373"/>
      <c r="AT18" s="417"/>
      <c r="AU18" s="373" t="s">
        <v>643</v>
      </c>
      <c r="AV18" s="373"/>
      <c r="AW18" s="373"/>
      <c r="AX18" s="373"/>
      <c r="AY18" s="373"/>
      <c r="AZ18" s="373"/>
      <c r="BA18" s="373"/>
      <c r="BB18" s="373"/>
      <c r="BC18" s="417"/>
      <c r="BD18" s="373" t="s">
        <v>643</v>
      </c>
      <c r="BE18" s="373"/>
      <c r="BF18" s="373"/>
      <c r="BG18" s="373"/>
      <c r="BH18" s="420"/>
      <c r="BI18" s="373"/>
      <c r="BJ18" s="373"/>
      <c r="BK18" s="373"/>
      <c r="BL18" s="417"/>
      <c r="BM18" s="373" t="s">
        <v>643</v>
      </c>
      <c r="BN18" s="373"/>
      <c r="BO18" s="373"/>
      <c r="BP18" s="373"/>
      <c r="BQ18" s="420"/>
      <c r="BR18" s="373"/>
      <c r="BS18" s="373"/>
      <c r="BT18" s="373"/>
    </row>
    <row r="19" spans="2:72" x14ac:dyDescent="0.25">
      <c r="B19" s="206" t="s">
        <v>586</v>
      </c>
      <c r="C19" s="202">
        <f t="array" ref="C19">MEDIAN(_xlfn._xlws.FILTER(Table9[Income per beneficiary (USD)], (Table9[Income per beneficiary (USD)]&gt;0)*(Table9[Country Income Level]="Low-Income")))</f>
        <v>154.28601015043586</v>
      </c>
      <c r="D19" s="202">
        <f t="array" ref="D19">AVERAGE(_xlfn._xlws.FILTER(Table9[Income per beneficiary (USD)], (Table9[Income per beneficiary (USD)]&gt;0)*(Table9[Country Income Level]="Low-Income")))</f>
        <v>250.80971214545696</v>
      </c>
      <c r="E19" s="15">
        <f>COUNTIFS(Table9[Income per beneficiary (USD)],"&gt;0", Table9[Country Income Level],"Low-Income")</f>
        <v>12</v>
      </c>
      <c r="F19" s="195">
        <f t="array" ref="F19">_xlfn.LET(
_xlpm.data,_xlfn._xlws.FILTER(
Table9[Income per beneficiary (USD)],
(Table9[Income per beneficiary (USD)]&gt;0)*
(Table9[Country Income Level]="Low-Income")
),
_xlpm.med,MEDIAN(_xlpm.data),
_xlpm.mad,MEDIAN(ABS(_xlpm.data-_xlpm.med)),
SUMPRODUCT(--(ABS(_xlpm.data-_xlpm.med)&gt;2.5*_xlpm.mad))/COUNT(_xlpm.data)
)</f>
        <v>0.16666666666666666</v>
      </c>
      <c r="G19" s="15">
        <f t="array" ref="G19">_xlfn.LET(
_xlpm.data,_xlfn._xlws.FILTER(
Table9[Income per beneficiary (USD)],
(Table9[Income per beneficiary (USD)]&gt;0)*
(Table9[Country Income Level]="Low-Income")
),
_xlpm.med,MEDIAN(_xlpm.data),
_xlpm.mad,MEDIAN(ABS(_xlpm.data-_xlpm.med)),
SUMPRODUCT(--(ABS(_xlpm.data-_xlpm.med)&gt;2.5*_xlpm.mad))
)</f>
        <v>2</v>
      </c>
      <c r="H19" s="202">
        <f t="array" ref="H19">_xlfn.LET(
_xlpm.data,_xlfn._xlws.FILTER(
Table9[Income per beneficiary (USD)],
(Table9[Income per beneficiary (USD)]&gt;0)*
(Table9[Country Income Level]="Low-Income")
),
_xlpm.med,MEDIAN(_xlpm.data),
_xlpm.mad,MEDIAN(ABS(_xlpm.data-_xlpm.med)),
AVERAGE(_xlfn._xlws.FILTER(_xlpm.data,ABS(_xlpm.data-_xlpm.med)&lt;=2.5*_xlpm.mad))
)</f>
        <v>159.72542083458265</v>
      </c>
      <c r="I19" s="202">
        <f>E19-G19</f>
        <v>10</v>
      </c>
      <c r="J19" s="130"/>
      <c r="K19" s="206" t="s">
        <v>586</v>
      </c>
      <c r="L19" s="203">
        <f t="array" ref="L19">MEDIAN(
_xlfn._xlws.FILTER(
Table9[Normalised Income Impact Ratio],
ISNUMBER(Table9[Normalised Income Impact Ratio])*
(Table9[Normalised Income Impact Ratio]&gt;0)*
(Table9[Country Income Level]="Low-Income")
)
)</f>
        <v>4.0204608987968862E-2</v>
      </c>
      <c r="M19" s="203">
        <f t="array" ref="M19">AVERAGE(
_xlfn._xlws.FILTER(
Table9[Normalised Income Impact Ratio],
ISNUMBER(Table9[Normalised Income Impact Ratio])*
(Table9[Normalised Income Impact Ratio]&gt;0)*
(Table9[Country Income Level]="Low-Income")
)
)</f>
        <v>0.12864310778802734</v>
      </c>
      <c r="N19" s="434">
        <f>COUNTIFS(
Table9[Normalised Income Impact Ratio],"&gt;0",
Table9[Country Income Level],"Low-Income"
)</f>
        <v>11</v>
      </c>
      <c r="O19" s="195">
        <f t="array" ref="O19">_xlfn.LET(
_xlpm.data,_xlfn._xlws.FILTER(
Table9[Normalised Income Impact Ratio],
ISNUMBER(Table9[Normalised Income Impact Ratio])*
(Table9[Normalised Income Impact Ratio]&gt;0)*
(Table9[Country Income Level]="Low-Income")
),
_xlpm.med,MEDIAN(_xlpm.data),
_xlpm.mad,MEDIAN(ABS(_xlpm.data-_xlpm.med)),
SUMPRODUCT(--(ABS(_xlpm.data-_xlpm.med)&gt;2.5*_xlpm.mad))/COUNT(_xlpm.data)
)</f>
        <v>0.45454545454545453</v>
      </c>
      <c r="P19" s="15">
        <f t="array" ref="P19">_xlfn.LET(
_xlpm.data,_xlfn._xlws.FILTER(
Table9[Normalised Income Impact Ratio],
ISNUMBER(Table9[Normalised Income Impact Ratio])*
(Table9[Normalised Income Impact Ratio]&gt;0)*
(Table9[Country Income Level]="Low-Income")
),
_xlpm.med,MEDIAN(_xlpm.data),
_xlpm.mad,MEDIAN(ABS(_xlpm.data-_xlpm.med)),
SUMPRODUCT(--(ABS(_xlpm.data-_xlpm.med)&gt;2.5*_xlpm.mad))
)</f>
        <v>5</v>
      </c>
      <c r="Q19" s="203">
        <f t="array" ref="Q19">_xlfn.LET(
_xlpm.data,_xlfn._xlws.FILTER(
Table9[Normalised Income Impact Ratio],
ISNUMBER(Table9[Normalised Income Impact Ratio])*
(Table9[Normalised Income Impact Ratio]&gt;0)*
(Table9[Country Income Level]="Low-Income")
),
_xlpm.med,MEDIAN(_xlpm.data),
_xlpm.mad,MEDIAN(ABS(_xlpm.data-_xlpm.med)),
AVERAGE(_xlfn._xlws.FILTER(_xlpm.data,ABS(_xlpm.data-_xlpm.med)&lt;=2.5*_xlpm.mad))
)</f>
        <v>2.6261486063480204E-2</v>
      </c>
      <c r="R19" s="434">
        <f>N19-P19</f>
        <v>6</v>
      </c>
      <c r="T19" s="206" t="s">
        <v>586</v>
      </c>
      <c r="U19" s="203">
        <f t="array" ref="U19">MEDIAN(
_xlfn._xlws.FILTER(
Table9[Private Sector Investment (USD) / Project cost ],
ISNUMBER(Table9[Private Sector Investment (USD) / Project cost ])*
(Table9[Private Sector Investment (USD) / Project cost ]&gt;0)*
(Table9[Country Income Level]="Low-Income")
)
)</f>
        <v>0.31970482897384311</v>
      </c>
      <c r="V19" s="203">
        <f t="array" ref="V19">AVERAGE(
_xlfn._xlws.FILTER(
Table9[Private Sector Investment (USD) / Project cost ],
ISNUMBER(Table9[Private Sector Investment (USD) / Project cost ])*
(Table9[Private Sector Investment (USD) / Project cost ]&gt;0)*
(Table9[Country Income Level]="Low-Income")
)
)</f>
        <v>0.87104922300326193</v>
      </c>
      <c r="W19" s="15">
        <f>COUNTIFS(
Table9[Private Sector Investment (USD) / Project cost ],"&gt;0",
Table9[Country Income Level],"Low-Income"
)</f>
        <v>21</v>
      </c>
      <c r="X19" s="195">
        <f t="array" ref="X19">_xlfn.LET(
_xlpm.data,_xlfn._xlws.FILTER(
Table9[Private Sector Investment (USD) / Project cost ],
ISNUMBER(Table9[Private Sector Investment (USD) / Project cost ])*
(Table9[Private Sector Investment (USD) / Project cost ]&gt;0)*
(Table9[Country Income Level]="Low-Income")
),
_xlpm.med,MEDIAN(_xlpm.data),
_xlpm.mad,MEDIAN(ABS(_xlpm.data-_xlpm.med)),
SUMPRODUCT(--(ABS(_xlpm.data-_xlpm.med)&gt;2.5*_xlpm.mad))/COUNT(_xlpm.data)
)</f>
        <v>0.23809523809523808</v>
      </c>
      <c r="Y19" s="15">
        <f t="array" ref="Y19">_xlfn.LET(
_xlpm.data,_xlfn._xlws.FILTER(
Table9[Private Sector Investment (USD) / Project cost ],
ISNUMBER(Table9[Private Sector Investment (USD) / Project cost ])*
(Table9[Private Sector Investment (USD) / Project cost ]&gt;0)*
(Table9[Country Income Level]="Low-Income")
),
_xlpm.med,MEDIAN(_xlpm.data),
_xlpm.mad,MEDIAN(ABS(_xlpm.data-_xlpm.med)),
SUMPRODUCT(--(ABS(_xlpm.data-_xlpm.med)&gt;2.5*_xlpm.mad))
)</f>
        <v>5</v>
      </c>
      <c r="Z19" s="203">
        <f t="array" ref="Z19">_xlfn.LET(
_xlpm.data,_xlfn._xlws.FILTER(
Table9[Private Sector Investment (USD) / Project cost ],
ISNUMBER(Table9[Private Sector Investment (USD) / Project cost ])*
(Table9[Private Sector Investment (USD) / Project cost ]&gt;0)*
(Table9[Country Income Level]="Low-Income")
),
_xlpm.med,MEDIAN(_xlpm.data),
_xlpm.mad,MEDIAN(ABS(_xlpm.data-_xlpm.med)),
AVERAGE(_xlfn._xlws.FILTER(_xlpm.data,ABS(_xlpm.data-_xlpm.med)&lt;=2.5*_xlpm.mad))
)</f>
        <v>0.29119939462637839</v>
      </c>
      <c r="AA19" s="202">
        <f>W19-Y19</f>
        <v>16</v>
      </c>
      <c r="AB19" s="130"/>
      <c r="AC19" s="206" t="s">
        <v>586</v>
      </c>
      <c r="AD19" s="203">
        <f t="array" ref="AD19">MEDIAN(
_xlfn._xlws.FILTER(
Table9[Private Sector Revenues Generated (USD) / Project cost],
ISNUMBER(Table9[Private Sector Revenues Generated (USD) / Project cost])*
(Table9[Private Sector Revenues Generated (USD) / Project cost]&gt;0)*
(Table9[Country Income Level]="Low-Income")
)
)</f>
        <v>1.1209320865687951</v>
      </c>
      <c r="AE19" s="203">
        <f t="array" ref="AE19">AVERAGE(
_xlfn._xlws.FILTER(
Table9[Private Sector Revenues Generated (USD) / Project cost],
ISNUMBER(Table9[Private Sector Revenues Generated (USD) / Project cost])*
(Table9[Private Sector Revenues Generated (USD) / Project cost]&gt;0)*
(Table9[Country Income Level]="Low-Income")
)
)</f>
        <v>2.3332542906804625</v>
      </c>
      <c r="AF19" s="15">
        <f>COUNTIFS(
Table9[Private Sector Revenues Generated (USD) / Project cost],"&gt;0",
Table9[Country Income Level],"Low-Income"
)</f>
        <v>17</v>
      </c>
      <c r="AG19" s="195">
        <f t="array" ref="AG19">_xlfn.LET(
_xlpm.data,_xlfn._xlws.FILTER(
Table9[Private Sector Revenues Generated (USD) / Project cost],
ISNUMBER(Table9[Private Sector Revenues Generated (USD) / Project cost])*
(Table9[Private Sector Revenues Generated (USD) / Project cost]&gt;0)*
(Table9[Country Income Level]="Low-Income")
),
_xlpm.med,MEDIAN(_xlpm.data),
_xlpm.mad,MEDIAN(ABS(_xlpm.data-_xlpm.med)),
SUMPRODUCT(--(ABS(_xlpm.data-_xlpm.med)&gt;2.5*_xlpm.mad))/COUNT(_xlpm.data)
)</f>
        <v>0.11764705882352941</v>
      </c>
      <c r="AH19" s="15">
        <f t="array" ref="AH19">_xlfn.LET(
_xlpm.data,_xlfn._xlws.FILTER(
Table9[Private Sector Revenues Generated (USD) / Project cost],
ISNUMBER(Table9[Private Sector Revenues Generated (USD) / Project cost])*
(Table9[Private Sector Revenues Generated (USD) / Project cost]&gt;0)*
(Table9[Country Income Level]="Low-Income")
),
_xlpm.med,MEDIAN(_xlpm.data),
_xlpm.mad,MEDIAN(ABS(_xlpm.data-_xlpm.med)),
SUMPRODUCT(--(ABS(_xlpm.data-_xlpm.med)&gt;2.5*_xlpm.mad))
)</f>
        <v>2</v>
      </c>
      <c r="AI19" s="203">
        <f t="array" ref="AI19">_xlfn.LET(
_xlpm.data,_xlfn._xlws.FILTER(
Table9[Private Sector Revenues Generated (USD) / Project cost],
ISNUMBER(Table9[Private Sector Revenues Generated (USD) / Project cost])*
(Table9[Private Sector Revenues Generated (USD) / Project cost]&gt;0)*
(Table9[Country Income Level]="Low-Income")
),
_xlpm.med,MEDIAN(_xlpm.data),
_xlpm.mad,MEDIAN(ABS(_xlpm.data-_xlpm.med)),
AVERAGE(_xlfn._xlws.FILTER(_xlpm.data,ABS(_xlpm.data-_xlpm.med)&lt;=2.5*_xlpm.mad))
)</f>
        <v>0.9812408924125855</v>
      </c>
      <c r="AJ19" s="15">
        <f>AF19-AH19</f>
        <v>15</v>
      </c>
      <c r="AL19" s="206" t="s">
        <v>586</v>
      </c>
      <c r="AM19" s="203">
        <f t="array" ref="AM19">MEDIAN(
_xlfn._xlws.FILTER(
Table9[Export Revenue Generated (USD) /Project Cost],
ISNUMBER(Table9[Export Revenue Generated (USD) /Project Cost])*
(Table9[Export Revenue Generated (USD) /Project Cost]&gt;0)*
(Table9[Country Income Level]="Low-Income")
)
)</f>
        <v>0.10208563993256134</v>
      </c>
      <c r="AN19" s="203">
        <f t="array" ref="AN19">AVERAGE(
_xlfn._xlws.FILTER(
Table9[Export Revenue Generated (USD) /Project Cost],
ISNUMBER(Table9[Export Revenue Generated (USD) /Project Cost])*
(Table9[Export Revenue Generated (USD) /Project Cost]&gt;0)*
(Table9[Country Income Level]="Low-Income")
)
)</f>
        <v>0.13440879336257158</v>
      </c>
      <c r="AO19" s="15">
        <f>COUNTIFS(
Table9[Export Revenue Generated (USD) /Project Cost],"&gt;0",
Table9[Country Income Level],"Low-Income"
)</f>
        <v>6</v>
      </c>
      <c r="AP19" s="195">
        <f t="array" ref="AP19">_xlfn.LET(
_xlpm.data,_xlfn._xlws.FILTER(
Table9[Export Revenue Generated (USD) /Project Cost],
ISNUMBER(Table9[Export Revenue Generated (USD) /Project Cost])*
(Table9[Export Revenue Generated (USD) /Project Cost]&gt;0)*
(Table9[Country Income Level]="Low-Income")
),
_xlpm.med,MEDIAN(_xlpm.data),
_xlpm.mad,MEDIAN(ABS(_xlpm.data-_xlpm.med)),
SUMPRODUCT(--(ABS(_xlpm.data-_xlpm.med)&gt;2.5*_xlpm.mad))/COUNT(_xlpm.data)
)</f>
        <v>0.33333333333333331</v>
      </c>
      <c r="AQ19" s="15">
        <f t="array" ref="AQ19">_xlfn.LET(
_xlpm.data,_xlfn._xlws.FILTER(
Table9[Export Revenue Generated (USD) /Project Cost],
ISNUMBER(Table9[Export Revenue Generated (USD) /Project Cost])*
(Table9[Export Revenue Generated (USD) /Project Cost]&gt;0)*
(Table9[Country Income Level]="Low-Income")
),
_xlpm.med,MEDIAN(_xlpm.data),
_xlpm.mad,MEDIAN(ABS(_xlpm.data-_xlpm.med)),
SUMPRODUCT(--(ABS(_xlpm.data-_xlpm.med)&gt;2.5*_xlpm.mad))
)</f>
        <v>2</v>
      </c>
      <c r="AR19" s="203">
        <f t="array" ref="AR19">_xlfn.LET(
_xlpm.data,_xlfn._xlws.FILTER(
Table9[Export Revenue Generated (USD) /Project Cost],
ISNUMBER(Table9[Export Revenue Generated (USD) /Project Cost])*
(Table9[Export Revenue Generated (USD) /Project Cost]&gt;0)*
(Table9[Country Income Level]="Low-Income")
),
_xlpm.med,MEDIAN(_xlpm.data),
_xlpm.mad,MEDIAN(ABS(_xlpm.data-_xlpm.med)),
AVERAGE(_xlfn._xlws.FILTER(_xlpm.data,ABS(_xlpm.data-_xlpm.med)&lt;=2.5*_xlpm.mad))
)</f>
        <v>0.11392918360264429</v>
      </c>
      <c r="AS19" s="15">
        <f>AO19-AQ19</f>
        <v>4</v>
      </c>
      <c r="AU19" s="206" t="s">
        <v>586</v>
      </c>
      <c r="AV19" s="202">
        <f t="array" ref="AV19">MEDIAN(
_xlfn._xlws.FILTER(
Table9[Job created per $Mn],
ISNUMBER(Table9[Job created per $Mn])*
(Table9[Job created per $Mn]&gt;0)*
(Table9[Country Income Level]="Low-Income")
)
)</f>
        <v>227.74559947095156</v>
      </c>
      <c r="AW19" s="202">
        <f t="array" ref="AW19">AVERAGE(
_xlfn._xlws.FILTER(
Table9[Job created per $Mn],
ISNUMBER(Table9[Job created per $Mn])*
(Table9[Job created per $Mn]&gt;0)*
(Table9[Country Income Level]="Low-Income")
)
)</f>
        <v>1220.4893654124385</v>
      </c>
      <c r="AX19" s="15">
        <f>COUNTIFS(
Table9[Job created per $Mn],"&gt;0",
Table9[Country Income Level],"Low-Income"
)</f>
        <v>14</v>
      </c>
      <c r="AY19" s="195">
        <f t="array" ref="AY19">_xlfn.LET(
_xlpm.data,
_xlfn._xlws.FILTER(
Table9[Job created per $Mn],
ISNUMBER(Table9[Job created per $Mn])*
(Table9[Job created per $Mn]&gt;0)*
(Table9[Country Income Level]="Low-Income")
),
_xlpm.med,
MEDIAN(_xlpm.data),
_xlpm.mad,
MEDIAN(ABS(_xlpm.data-_xlpm.med)),
SUMPRODUCT(--(ABS(_xlpm.data-_xlpm.med)&gt;2.5*_xlpm.mad))/COUNT(_xlpm.data)
)</f>
        <v>0.21428571428571427</v>
      </c>
      <c r="AZ19" s="15">
        <f t="array" ref="AZ19">_xlfn.LET(
_xlpm.data,
_xlfn._xlws.FILTER(
Table9[Job created per $Mn],
ISNUMBER(Table9[Job created per $Mn])*
(Table9[Job created per $Mn]&gt;0)*
(Table9[Country Income Level]="Low-Income")
),
_xlpm.med,
MEDIAN(_xlpm.data),
_xlpm.mad,
MEDIAN(ABS(_xlpm.data-_xlpm.med)),
SUMPRODUCT(--(ABS(_xlpm.data-_xlpm.med)&gt;2.5*_xlpm.mad))
)</f>
        <v>3</v>
      </c>
      <c r="BA19" s="202">
        <f t="array" ref="BA19">_xlfn.LET(
_xlpm.data,
_xlfn._xlws.FILTER(
Table9[Job created per $Mn],
ISNUMBER(Table9[Job created per $Mn])*
(Table9[Job created per $Mn]&gt;0)*
(Table9[Country Income Level]="Low-Income")
),
_xlpm.med,
MEDIAN(_xlpm.data),
_xlpm.mad,
MEDIAN(ABS(_xlpm.data-_xlpm.med)),
AVERAGE(
_xlfn._xlws.FILTER(
_xlpm.data,
ABS(_xlpm.data-_xlpm.med)&lt;=2.5*_xlpm.mad
)
)
)</f>
        <v>219.75291450667294</v>
      </c>
      <c r="BB19" s="15">
        <f>AX19-AZ19</f>
        <v>11</v>
      </c>
      <c r="BD19" s="206" t="s">
        <v>586</v>
      </c>
      <c r="BE19" s="202">
        <f t="array" ref="BE19">MEDIAN(
_xlfn._xlws.FILTER(
Table9[Job improved per $Mn],
ISNUMBER(Table9[Job improved per $Mn])*
(Table9[Job improved per $Mn]&gt;0)*
(Table9[Country Income Level]="Low-Income")
)
)</f>
        <v>2386.5026995573412</v>
      </c>
      <c r="BF19" s="202">
        <f t="array" ref="BF19">AVERAGE(
_xlfn._xlws.FILTER(
Table9[Job improved per $Mn],
ISNUMBER(Table9[Job improved per $Mn])*
(Table9[Job improved per $Mn]&gt;0)*
(Table9[Country Income Level]="Low-Income")
)
)</f>
        <v>4230.7805798577356</v>
      </c>
      <c r="BG19" s="15">
        <f>COUNTIFS(
Table9[Job improved per $Mn],"&gt;0",
Table9[Country Income Level],"Low-Income"
)</f>
        <v>17</v>
      </c>
      <c r="BH19" s="195">
        <f t="array" ref="BH19">_xlfn.LET(
_xlpm.data,
_xlfn._xlws.FILTER(
Table9[Job improved per $Mn],
ISNUMBER(Table9[Job improved per $Mn])*
(Table9[Job improved per $Mn]&gt;0)*
(Table9[Country Income Level]="Low-Income")
),
_xlpm.med,
MEDIAN(_xlpm.data),
_xlpm.mad,
MEDIAN(ABS(_xlpm.data-_xlpm.med)),
SUMPRODUCT(--(ABS(_xlpm.data-_xlpm.med)&gt;2.5*_xlpm.mad))/COUNT(_xlpm.data)
)</f>
        <v>0.11764705882352941</v>
      </c>
      <c r="BI19" s="15">
        <f t="array" ref="BI19">_xlfn.LET(
_xlpm.data,
_xlfn._xlws.FILTER(
Table9[Job improved per $Mn],
ISNUMBER(Table9[Job improved per $Mn])*
(Table9[Job improved per $Mn]&gt;0)*
(Table9[Country Income Level]="Low-Income")
),
_xlpm.med,
MEDIAN(_xlpm.data),
_xlpm.mad,
MEDIAN(ABS(_xlpm.data-_xlpm.med)),
SUMPRODUCT(--(ABS(_xlpm.data-_xlpm.med)&gt;2.5*_xlpm.mad))
)</f>
        <v>2</v>
      </c>
      <c r="BJ19" s="202">
        <f t="array" ref="BJ19">_xlfn.LET(
_xlpm.data,
_xlfn._xlws.FILTER(
Table9[Job improved per $Mn],
ISNUMBER(Table9[Job improved per $Mn])*
(Table9[Job improved per $Mn]&gt;0)*
(Table9[Country Income Level]="Low-Income")
),
_xlpm.med,
MEDIAN(_xlpm.data),
_xlpm.mad,
MEDIAN(ABS(_xlpm.data-_xlpm.med)),
AVERAGE(
_xlfn._xlws.FILTER(
_xlpm.data,
ABS(_xlpm.data-_xlpm.med)&lt;=2.5*_xlpm.mad
)
)
)</f>
        <v>2357.6192103151984</v>
      </c>
      <c r="BK19" s="15">
        <f>BG19-BI19</f>
        <v>15</v>
      </c>
      <c r="BM19" s="206" t="s">
        <v>586</v>
      </c>
      <c r="BN19" s="203">
        <f t="array" ref="BN19">MEDIAN(
_xlfn._xlws.FILTER(
Table9[Beneficiary Income (USD) / Project Cost],
ISNUMBER(Table9[Beneficiary Income (USD) / Project Cost])*
(Table9[Beneficiary Income (USD) / Project Cost]&gt;0)*
(Table9[Country Income Level]="Low-Income")
)
)</f>
        <v>0.82986517142857141</v>
      </c>
      <c r="BO19" s="203">
        <f t="array" ref="BO19">AVERAGE(
_xlfn._xlws.FILTER(
Table9[Beneficiary Income (USD) / Project Cost],
ISNUMBER(Table9[Beneficiary Income (USD) / Project Cost])*
(Table9[Beneficiary Income (USD) / Project Cost]&gt;0)*
(Table9[Country Income Level]="Low-Income")
)
)</f>
        <v>1.0781688199705626</v>
      </c>
      <c r="BP19" s="15">
        <f>COUNTIFS(
Table9[Beneficiary Income (USD) / Project Cost],"&gt;0",
Table9[Country Income Level],"Low-Income"
)</f>
        <v>12</v>
      </c>
      <c r="BQ19" s="195">
        <f t="array" ref="BQ19">_xlfn.LET(
_xlpm.data,
_xlfn._xlws.FILTER(
Table9[Beneficiary Income (USD) / Project Cost],
ISNUMBER(Table9[Beneficiary Income (USD) / Project Cost])*
(Table9[Beneficiary Income (USD) / Project Cost]&gt;0)*
(Table9[Country Income Level]="Low-Income")
),
_xlpm.med,
MEDIAN(_xlpm.data),
_xlpm.mad,
MEDIAN(ABS(_xlpm.data-_xlpm.med)),
SUMPRODUCT(--(ABS(_xlpm.data-_xlpm.med)&gt;2.5*_xlpm.mad))/COUNT(_xlpm.data)
)</f>
        <v>8.3333333333333329E-2</v>
      </c>
      <c r="BR19" s="15">
        <f t="array" ref="BR19">_xlfn.LET(
_xlpm.data,
_xlfn._xlws.FILTER(
Table9[Beneficiary Income (USD) / Project Cost],
ISNUMBER(Table9[Beneficiary Income (USD) / Project Cost])*
(Table9[Beneficiary Income (USD) / Project Cost]&gt;0)*
(Table9[Country Income Level]="Low-Income")
),
_xlpm.med,
MEDIAN(_xlpm.data),
_xlpm.mad,
MEDIAN(ABS(_xlpm.data-_xlpm.med)),
SUMPRODUCT(--(ABS(_xlpm.data-_xlpm.med)&gt;2.5*_xlpm.mad))
)</f>
        <v>1</v>
      </c>
      <c r="BS19" s="203">
        <f t="array" ref="BS19">_xlfn.LET(
_xlpm.data,
_xlfn._xlws.FILTER(
Table9[Beneficiary Income (USD) / Project Cost],
ISNUMBER(Table9[Beneficiary Income (USD) / Project Cost])*
(Table9[Beneficiary Income (USD) / Project Cost]&gt;0)*
(Table9[Country Income Level]="Low-Income")
),
_xlpm.med,
MEDIAN(_xlpm.data),
_xlpm.mad,
MEDIAN(ABS(_xlpm.data-_xlpm.med)),
AVERAGE(
_xlfn._xlws.FILTER(
_xlpm.data,
ABS(_xlpm.data-_xlpm.med)&lt;=2.5*_xlpm.mad
)
)
)</f>
        <v>0.87556732389550163</v>
      </c>
      <c r="BT19" s="15">
        <f>BP19-BR19</f>
        <v>11</v>
      </c>
    </row>
    <row r="20" spans="2:72" x14ac:dyDescent="0.25">
      <c r="B20" s="206" t="s">
        <v>583</v>
      </c>
      <c r="C20" s="202">
        <f t="array" ref="C20">MEDIAN(_xlfn._xlws.FILTER(Table9[Income per beneficiary (USD)], (Table9[Income per beneficiary (USD)]&gt;0)*(Table9[Country Income Level]="Lower-Middle Income")))</f>
        <v>191.32203389830511</v>
      </c>
      <c r="D20" s="202">
        <f t="array" ref="D20">AVERAGE(_xlfn._xlws.FILTER(Table9[Income per beneficiary (USD)], (Table9[Income per beneficiary (USD)]&gt;0)*(Table9[Country Income Level]="Lower-Middle Income")))</f>
        <v>608.00698818317051</v>
      </c>
      <c r="E20" s="15">
        <f>COUNTIFS(Table9[Income per beneficiary (USD)],"&gt;0", Table9[Country Income Level],"Lower-Middle Income")</f>
        <v>21</v>
      </c>
      <c r="F20" s="195">
        <f t="array" ref="F20">_xlfn.LET(
_xlpm.data,_xlfn._xlws.FILTER(
Table9[Income per beneficiary (USD)],
(Table9[Income per beneficiary (USD)]&gt;0)*
(Table9[Country Income Level]="Lower-Middle Income")
),
_xlpm.med,MEDIAN(_xlpm.data),
_xlpm.mad,MEDIAN(ABS(_xlpm.data-_xlpm.med)),
SUMPRODUCT(--(ABS(_xlpm.data-_xlpm.med)&gt;2.5*_xlpm.mad))/COUNT(_xlpm.data)
)</f>
        <v>0.33333333333333331</v>
      </c>
      <c r="G20" s="15">
        <f t="array" ref="G20">_xlfn.LET(
_xlpm.data,_xlfn._xlws.FILTER(
Table9[Income per beneficiary (USD)],
(Table9[Income per beneficiary (USD)]&gt;0)*
(Table9[Country Income Level]="Lower-Middle Income")
),
_xlpm.med,MEDIAN(_xlpm.data),
_xlpm.mad,MEDIAN(ABS(_xlpm.data-_xlpm.med)),
SUMPRODUCT(--(ABS(_xlpm.data-_xlpm.med)&gt;2.5*_xlpm.mad))
)</f>
        <v>7</v>
      </c>
      <c r="H20" s="202">
        <f t="array" ref="H20">_xlfn.LET(
_xlpm.data,_xlfn._xlws.FILTER(
Table9[Income per beneficiary (USD)],
(Table9[Income per beneficiary (USD)]&gt;0)*
(Table9[Country Income Level]="Lower-Middle Income")
),
_xlpm.med,MEDIAN(_xlpm.data),
_xlpm.mad,MEDIAN(ABS(_xlpm.data-_xlpm.med)),
AVERAGE(_xlfn._xlws.FILTER(_xlpm.data,ABS(_xlpm.data-_xlpm.med)&lt;=2.5*_xlpm.mad))
)</f>
        <v>176.82506634490929</v>
      </c>
      <c r="I20" s="202">
        <f>E20-G20</f>
        <v>14</v>
      </c>
      <c r="J20" s="130"/>
      <c r="K20" s="206" t="s">
        <v>583</v>
      </c>
      <c r="L20" s="203">
        <f t="array" ref="L20">MEDIAN(
_xlfn._xlws.FILTER(
Table9[Normalised Income Impact Ratio],
ISNUMBER(Table9[Normalised Income Impact Ratio])*
(Table9[Normalised Income Impact Ratio]&gt;0)*
(Table9[Country Income Level]="Lower-Middle Income")
)
)</f>
        <v>2.6493124495294999E-2</v>
      </c>
      <c r="M20" s="203">
        <f t="array" ref="M20">AVERAGE(
_xlfn._xlws.FILTER(
Table9[Normalised Income Impact Ratio],
ISNUMBER(Table9[Normalised Income Impact Ratio])*
(Table9[Normalised Income Impact Ratio]&gt;0)*
(Table9[Country Income Level]="Lower-Middle Income")
)
)</f>
        <v>7.6219569692980257E-2</v>
      </c>
      <c r="N20" s="15">
        <f>COUNTIFS(
Table9[Normalised Income Impact Ratio],"&gt;0",
Table9[Country Income Level],"Lower-Middle Income"
)</f>
        <v>21</v>
      </c>
      <c r="O20" s="195">
        <f t="array" ref="O20">_xlfn.LET(
_xlpm.data,_xlfn._xlws.FILTER(
Table9[Normalised Income Impact Ratio],
ISNUMBER(Table9[Normalised Income Impact Ratio])*
(Table9[Normalised Income Impact Ratio]&gt;0)*
(Table9[Country Income Level]="Lower-Middle Income")
),
_xlpm.med,MEDIAN(_xlpm.data),
_xlpm.mad,MEDIAN(ABS(_xlpm.data-_xlpm.med)),
SUMPRODUCT(--(ABS(_xlpm.data-_xlpm.med)&gt;2.5*_xlpm.mad))/COUNT(_xlpm.data)
)</f>
        <v>0.2857142857142857</v>
      </c>
      <c r="P20" s="15">
        <f t="array" ref="P20">_xlfn.LET(
_xlpm.data,_xlfn._xlws.FILTER(
Table9[Normalised Income Impact Ratio],
ISNUMBER(Table9[Normalised Income Impact Ratio])*
(Table9[Normalised Income Impact Ratio]&gt;0)*
(Table9[Country Income Level]="Lower-Middle Income")
),
_xlpm.med,MEDIAN(_xlpm.data),
_xlpm.mad,MEDIAN(ABS(_xlpm.data-_xlpm.med)),
SUMPRODUCT(--(ABS(_xlpm.data-_xlpm.med)&gt;2.5*_xlpm.mad))
)</f>
        <v>6</v>
      </c>
      <c r="Q20" s="203">
        <f t="array" ref="Q20">_xlfn.LET(
_xlpm.data,_xlfn._xlws.FILTER(
Table9[Normalised Income Impact Ratio],
ISNUMBER(Table9[Normalised Income Impact Ratio])*
(Table9[Normalised Income Impact Ratio]&gt;0)*
(Table9[Country Income Level]="Lower-Middle Income")
),
_xlpm.med,MEDIAN(_xlpm.data),
_xlpm.mad,MEDIAN(ABS(_xlpm.data-_xlpm.med)),
AVERAGE(_xlfn._xlws.FILTER(_xlpm.data,ABS(_xlpm.data-_xlpm.med)&lt;=2.5*_xlpm.mad))
)</f>
        <v>2.3891690454265181E-2</v>
      </c>
      <c r="R20" s="15">
        <f>N20-P20</f>
        <v>15</v>
      </c>
      <c r="T20" s="206" t="s">
        <v>583</v>
      </c>
      <c r="U20" s="203">
        <f t="array" ref="U20">MEDIAN(
_xlfn._xlws.FILTER(
Table9[Private Sector Investment (USD) / Project cost ],
ISNUMBER(Table9[Private Sector Investment (USD) / Project cost ])*
(Table9[Private Sector Investment (USD) / Project cost ]&gt;0)*
(Table9[Country Income Level]="Lower-Middle Income")
)
)</f>
        <v>0.48347128953771279</v>
      </c>
      <c r="V20" s="203">
        <f t="array" ref="V20">AVERAGE(
_xlfn._xlws.FILTER(
Table9[Private Sector Investment (USD) / Project cost ],
ISNUMBER(Table9[Private Sector Investment (USD) / Project cost ])*
(Table9[Private Sector Investment (USD) / Project cost ]&gt;0)*
(Table9[Country Income Level]="Lower-Middle Income")
)
)</f>
        <v>2.233384209280294</v>
      </c>
      <c r="W20" s="15">
        <f>COUNTIFS(
Table9[Private Sector Investment (USD) / Project cost ],"&gt;0",
Table9[Country Income Level],"Lower-Middle Income"
)</f>
        <v>22</v>
      </c>
      <c r="X20" s="195">
        <f t="array" ref="X20">_xlfn.LET(
_xlpm.data,_xlfn._xlws.FILTER(
Table9[Private Sector Investment (USD) / Project cost ],
ISNUMBER(Table9[Private Sector Investment (USD) / Project cost ])*
(Table9[Private Sector Investment (USD) / Project cost ]&gt;0)*
(Table9[Country Income Level]="Lower-Middle Income")
),
_xlpm.med,MEDIAN(_xlpm.data),
_xlpm.mad,MEDIAN(ABS(_xlpm.data-_xlpm.med)),
SUMPRODUCT(--(ABS(_xlpm.data-_xlpm.med)&gt;2.5*_xlpm.mad))/COUNT(_xlpm.data)
)</f>
        <v>0.18181818181818182</v>
      </c>
      <c r="Y20" s="15">
        <f t="array" ref="Y20">_xlfn.LET(
_xlpm.data,_xlfn._xlws.FILTER(
Table9[Private Sector Investment (USD) / Project cost ],
ISNUMBER(Table9[Private Sector Investment (USD) / Project cost ])*
(Table9[Private Sector Investment (USD) / Project cost ]&gt;0)*
(Table9[Country Income Level]="Lower-Middle Income")
),
_xlpm.med,MEDIAN(_xlpm.data),
_xlpm.mad,MEDIAN(ABS(_xlpm.data-_xlpm.med)),
SUMPRODUCT(--(ABS(_xlpm.data-_xlpm.med)&gt;2.5*_xlpm.mad))
)</f>
        <v>4</v>
      </c>
      <c r="Z20" s="203">
        <f t="array" ref="Z20">_xlfn.LET(
_xlpm.data,_xlfn._xlws.FILTER(
Table9[Private Sector Investment (USD) / Project cost ],
ISNUMBER(Table9[Private Sector Investment (USD) / Project cost ])*
(Table9[Private Sector Investment (USD) / Project cost ]&gt;0)*
(Table9[Country Income Level]="Lower-Middle Income")
),
_xlpm.med,MEDIAN(_xlpm.data),
_xlpm.mad,MEDIAN(ABS(_xlpm.data-_xlpm.med)),
AVERAGE(_xlfn._xlws.FILTER(_xlpm.data,ABS(_xlpm.data-_xlpm.med)&lt;=2.5*_xlpm.mad))
)</f>
        <v>0.45013482465486071</v>
      </c>
      <c r="AA20" s="202">
        <f>W20-Y20</f>
        <v>18</v>
      </c>
      <c r="AB20" s="130"/>
      <c r="AC20" s="206" t="s">
        <v>583</v>
      </c>
      <c r="AD20" s="203">
        <f t="array" ref="AD20">MEDIAN(
_xlfn._xlws.FILTER(
Table9[Private Sector Revenues Generated (USD) / Project cost],
ISNUMBER(Table9[Private Sector Revenues Generated (USD) / Project cost])*
(Table9[Private Sector Revenues Generated (USD) / Project cost]&gt;0)*
(Table9[Country Income Level]="Lower-Middle Income")
)
)</f>
        <v>1.959925063457816</v>
      </c>
      <c r="AE20" s="203">
        <f t="array" ref="AE20">AVERAGE(
_xlfn._xlws.FILTER(
Table9[Private Sector Revenues Generated (USD) / Project cost],
ISNUMBER(Table9[Private Sector Revenues Generated (USD) / Project cost])*
(Table9[Private Sector Revenues Generated (USD) / Project cost]&gt;0)*
(Table9[Country Income Level]="Lower-Middle Income")
)
)</f>
        <v>4.1551942776728099</v>
      </c>
      <c r="AF20" s="15">
        <f>COUNTIFS(
Table9[Private Sector Revenues Generated (USD) / Project cost],"&gt;0",
Table9[Country Income Level],"Lower-Middle Income"
)</f>
        <v>21</v>
      </c>
      <c r="AG20" s="195">
        <f t="array" ref="AG20">_xlfn.LET(
_xlpm.data,_xlfn._xlws.FILTER(
Table9[Private Sector Revenues Generated (USD) / Project cost],
ISNUMBER(Table9[Private Sector Revenues Generated (USD) / Project cost])*
(Table9[Private Sector Revenues Generated (USD) / Project cost]&gt;0)*
(Table9[Country Income Level]="Lower-Middle Income")
),
_xlpm.med,MEDIAN(_xlpm.data),
_xlpm.mad,MEDIAN(ABS(_xlpm.data-_xlpm.med)),
SUMPRODUCT(--(ABS(_xlpm.data-_xlpm.med)&gt;2.5*_xlpm.mad))/COUNT(_xlpm.data)
)</f>
        <v>0.23809523809523808</v>
      </c>
      <c r="AH20" s="15">
        <f t="array" ref="AH20">_xlfn.LET(
_xlpm.data,_xlfn._xlws.FILTER(
Table9[Private Sector Revenues Generated (USD) / Project cost],
ISNUMBER(Table9[Private Sector Revenues Generated (USD) / Project cost])*
(Table9[Private Sector Revenues Generated (USD) / Project cost]&gt;0)*
(Table9[Country Income Level]="Lower-Middle Income")
),
_xlpm.med,MEDIAN(_xlpm.data),
_xlpm.mad,MEDIAN(ABS(_xlpm.data-_xlpm.med)),
SUMPRODUCT(--(ABS(_xlpm.data-_xlpm.med)&gt;2.5*_xlpm.mad))
)</f>
        <v>5</v>
      </c>
      <c r="AI20" s="203">
        <f t="array" ref="AI20">_xlfn.LET(
_xlpm.data,_xlfn._xlws.FILTER(
Table9[Private Sector Revenues Generated (USD) / Project cost],
ISNUMBER(Table9[Private Sector Revenues Generated (USD) / Project cost])*
(Table9[Private Sector Revenues Generated (USD) / Project cost]&gt;0)*
(Table9[Country Income Level]="Lower-Middle Income")
),
_xlpm.med,MEDIAN(_xlpm.data),
_xlpm.mad,MEDIAN(ABS(_xlpm.data-_xlpm.med)),
AVERAGE(_xlfn._xlws.FILTER(_xlpm.data,ABS(_xlpm.data-_xlpm.med)&lt;=2.5*_xlpm.mad))
)</f>
        <v>1.266577466416499</v>
      </c>
      <c r="AJ20" s="15">
        <f>AF20-AH20</f>
        <v>16</v>
      </c>
      <c r="AL20" s="206" t="s">
        <v>583</v>
      </c>
      <c r="AM20" s="203">
        <f t="array" ref="AM20">MEDIAN(
_xlfn._xlws.FILTER(
Table9[Export Revenue Generated (USD) /Project Cost],
ISNUMBER(Table9[Export Revenue Generated (USD) /Project Cost])*
(Table9[Export Revenue Generated (USD) /Project Cost]&gt;0)*
(Table9[Country Income Level]="Lower-Middle Income")
)
)</f>
        <v>0.29210173529411765</v>
      </c>
      <c r="AN20" s="203">
        <f t="array" ref="AN20">AVERAGE(
_xlfn._xlws.FILTER(
Table9[Export Revenue Generated (USD) /Project Cost],
ISNUMBER(Table9[Export Revenue Generated (USD) /Project Cost])*
(Table9[Export Revenue Generated (USD) /Project Cost]&gt;0)*
(Table9[Country Income Level]="Lower-Middle Income")
)
)</f>
        <v>3.1060050609918179</v>
      </c>
      <c r="AO20" s="15">
        <f>COUNTIFS(
Table9[Export Revenue Generated (USD) /Project Cost],"&gt;0",
Table9[Country Income Level],"Lower-Middle Income"
)</f>
        <v>6</v>
      </c>
      <c r="AP20" s="195">
        <f t="array" ref="AP20">_xlfn.LET(
_xlpm.data,_xlfn._xlws.FILTER(
Table9[Export Revenue Generated (USD) /Project Cost],
ISNUMBER(Table9[Export Revenue Generated (USD) /Project Cost])*
(Table9[Export Revenue Generated (USD) /Project Cost]&gt;0)*
(Table9[Country Income Level]="Lower-Middle Income")
),
_xlpm.med,MEDIAN(_xlpm.data),
_xlpm.mad,MEDIAN(ABS(_xlpm.data-_xlpm.med)),
SUMPRODUCT(--(ABS(_xlpm.data-_xlpm.med)&gt;2.5*_xlpm.mad))/COUNT(_xlpm.data)
)</f>
        <v>0.33333333333333331</v>
      </c>
      <c r="AQ20" s="15">
        <f t="array" ref="AQ20">_xlfn.LET(
_xlpm.data,_xlfn._xlws.FILTER(
Table9[Export Revenue Generated (USD) /Project Cost],
ISNUMBER(Table9[Export Revenue Generated (USD) /Project Cost])*
(Table9[Export Revenue Generated (USD) /Project Cost]&gt;0)*
(Table9[Country Income Level]="Lower-Middle Income")
),
_xlpm.med,MEDIAN(_xlpm.data),
_xlpm.mad,MEDIAN(ABS(_xlpm.data-_xlpm.med)),
SUMPRODUCT(--(ABS(_xlpm.data-_xlpm.med)&gt;2.5*_xlpm.mad))
)</f>
        <v>2</v>
      </c>
      <c r="AR20" s="203">
        <f t="array" ref="AR20">_xlfn.LET(
_xlpm.data,_xlfn._xlws.FILTER(
Table9[Export Revenue Generated (USD) /Project Cost],
ISNUMBER(Table9[Export Revenue Generated (USD) /Project Cost])*
(Table9[Export Revenue Generated (USD) /Project Cost]&gt;0)*
(Table9[Country Income Level]="Lower-Middle Income")
),
_xlpm.med,MEDIAN(_xlpm.data),
_xlpm.mad,MEDIAN(ABS(_xlpm.data-_xlpm.med)),
AVERAGE(_xlfn._xlws.FILTER(_xlpm.data,ABS(_xlpm.data-_xlpm.med)&lt;=2.5*_xlpm.mad))
)</f>
        <v>0.15530701710452899</v>
      </c>
      <c r="AS20" s="15">
        <f>AO20-AQ20</f>
        <v>4</v>
      </c>
      <c r="AU20" s="206" t="s">
        <v>583</v>
      </c>
      <c r="AV20" s="202">
        <f t="array" ref="AV20">MEDIAN(
_xlfn._xlws.FILTER(
Table9[Job created per $Mn],
ISNUMBER(Table9[Job created per $Mn])*
(Table9[Job created per $Mn]&gt;0)*
(Table9[Country Income Level]="Lower-Middle Income")
)
)</f>
        <v>629.30083333333323</v>
      </c>
      <c r="AW20" s="202">
        <f t="array" ref="AW20">AVERAGE(
_xlfn._xlws.FILTER(
Table9[Job created per $Mn],
ISNUMBER(Table9[Job created per $Mn])*
(Table9[Job created per $Mn]&gt;0)*
(Table9[Country Income Level]="Lower-Middle Income")
)
)</f>
        <v>1108.0422469671544</v>
      </c>
      <c r="AX20" s="15">
        <f>COUNTIFS(
Table9[Job created per $Mn],"&gt;0",
Table9[Country Income Level],"Lower-Middle Income"
)</f>
        <v>16</v>
      </c>
      <c r="AY20" s="195">
        <f t="array" ref="AY20">_xlfn.LET(
_xlpm.data,
_xlfn._xlws.FILTER(
Table9[Job created per $Mn],
ISNUMBER(Table9[Job created per $Mn])*
(Table9[Job created per $Mn]&gt;0)*
(Table9[Country Income Level]="Lower-Middle Income")
),
_xlpm.med,
MEDIAN(_xlpm.data),
_xlpm.mad,
MEDIAN(ABS(_xlpm.data-_xlpm.med)),
SUMPRODUCT(--(ABS(_xlpm.data-_xlpm.med)&gt;2.5*_xlpm.mad))/COUNT(_xlpm.data)
)</f>
        <v>0.25</v>
      </c>
      <c r="AZ20" s="15">
        <f t="array" ref="AZ20">_xlfn.LET(
_xlpm.data,
_xlfn._xlws.FILTER(
Table9[Job created per $Mn],
ISNUMBER(Table9[Job created per $Mn])*
(Table9[Job created per $Mn]&gt;0)*
(Table9[Country Income Level]="Lower-Middle Income")
),
_xlpm.med,
MEDIAN(_xlpm.data),
_xlpm.mad,
MEDIAN(ABS(_xlpm.data-_xlpm.med)),
SUMPRODUCT(--(ABS(_xlpm.data-_xlpm.med)&gt;2.5*_xlpm.mad))
)</f>
        <v>4</v>
      </c>
      <c r="BA20" s="202">
        <f t="array" ref="BA20">_xlfn.LET(
_xlpm.data,
_xlfn._xlws.FILTER(
Table9[Job created per $Mn],
ISNUMBER(Table9[Job created per $Mn])*
(Table9[Job created per $Mn]&gt;0)*
(Table9[Country Income Level]="Lower-Middle Income")
),
_xlpm.med,
MEDIAN(_xlpm.data),
_xlpm.mad,
MEDIAN(ABS(_xlpm.data-_xlpm.med)),
AVERAGE(
_xlfn._xlws.FILTER(
_xlpm.data,
ABS(_xlpm.data-_xlpm.med)&lt;=2.5*_xlpm.mad
)
)
)</f>
        <v>588.71523014841364</v>
      </c>
      <c r="BB20" s="15">
        <f>AX20-AZ20</f>
        <v>12</v>
      </c>
      <c r="BD20" s="206" t="s">
        <v>583</v>
      </c>
      <c r="BE20" s="202">
        <f t="array" ref="BE20">MEDIAN(
_xlfn._xlws.FILTER(
Table9[Job improved per $Mn],
ISNUMBER(Table9[Job improved per $Mn])*
(Table9[Job improved per $Mn]&gt;0)*
(Table9[Country Income Level]="Lower-Middle Income")
)
)</f>
        <v>3189.769846249128</v>
      </c>
      <c r="BF20" s="202">
        <f t="array" ref="BF20">AVERAGE(
_xlfn._xlws.FILTER(
Table9[Job improved per $Mn],
ISNUMBER(Table9[Job improved per $Mn])*
(Table9[Job improved per $Mn]&gt;0)*
(Table9[Country Income Level]="Lower-Middle Income")
)
)</f>
        <v>7202.5512224812655</v>
      </c>
      <c r="BG20" s="15">
        <f>COUNTIFS(
Table9[Job improved per $Mn],"&gt;0",
Table9[Country Income Level],"Lower-Middle Income"
)</f>
        <v>33</v>
      </c>
      <c r="BH20" s="195">
        <f t="array" ref="BH20">_xlfn.LET(
_xlpm.data,
_xlfn._xlws.FILTER(
Table9[Job improved per $Mn],
ISNUMBER(Table9[Job improved per $Mn])*
(Table9[Job improved per $Mn]&gt;0)*
(Table9[Country Income Level]="Lower-Middle Income")
),
_xlpm.med,
MEDIAN(_xlpm.data),
_xlpm.mad,
MEDIAN(ABS(_xlpm.data-_xlpm.med)),
SUMPRODUCT(--(ABS(_xlpm.data-_xlpm.med)&gt;2.5*_xlpm.mad))/COUNT(_xlpm.data)
)</f>
        <v>0.30303030303030304</v>
      </c>
      <c r="BI20" s="15">
        <f t="array" ref="BI20">_xlfn.LET(
_xlpm.data,
_xlfn._xlws.FILTER(
Table9[Job improved per $Mn],
ISNUMBER(Table9[Job improved per $Mn])*
(Table9[Job improved per $Mn]&gt;0)*
(Table9[Country Income Level]="Lower-Middle Income")
),
_xlpm.med,
MEDIAN(_xlpm.data),
_xlpm.mad,
MEDIAN(ABS(_xlpm.data-_xlpm.med)),
SUMPRODUCT(--(ABS(_xlpm.data-_xlpm.med)&gt;2.5*_xlpm.mad))
)</f>
        <v>10</v>
      </c>
      <c r="BJ20" s="202">
        <f t="array" ref="BJ20">_xlfn.LET(
_xlpm.data,
_xlfn._xlws.FILTER(
Table9[Job improved per $Mn],
ISNUMBER(Table9[Job improved per $Mn])*
(Table9[Job improved per $Mn]&gt;0)*
(Table9[Country Income Level]="Lower-Middle Income")
),
_xlpm.med,
MEDIAN(_xlpm.data),
_xlpm.mad,
MEDIAN(ABS(_xlpm.data-_xlpm.med)),
AVERAGE(
_xlfn._xlws.FILTER(
_xlpm.data,
ABS(_xlpm.data-_xlpm.med)&lt;=2.5*_xlpm.mad
)
)
)</f>
        <v>2592.8889018296109</v>
      </c>
      <c r="BK20" s="15">
        <f>BG20-BI20</f>
        <v>23</v>
      </c>
      <c r="BM20" s="206" t="s">
        <v>583</v>
      </c>
      <c r="BN20" s="203">
        <f t="array" ref="BN20">MEDIAN(
_xlfn._xlws.FILTER(
Table9[Beneficiary Income (USD) / Project Cost],
ISNUMBER(Table9[Beneficiary Income (USD) / Project Cost])*
(Table9[Beneficiary Income (USD) / Project Cost]&gt;0)*
(Table9[Country Income Level]="Lower-Middle Income")
)
)</f>
        <v>1.832535885167464</v>
      </c>
      <c r="BO20" s="203">
        <f t="array" ref="BO20">AVERAGE(
_xlfn._xlws.FILTER(
Table9[Beneficiary Income (USD) / Project Cost],
ISNUMBER(Table9[Beneficiary Income (USD) / Project Cost])*
(Table9[Beneficiary Income (USD) / Project Cost]&gt;0)*
(Table9[Country Income Level]="Lower-Middle Income")
)
)</f>
        <v>2.0983228796146611</v>
      </c>
      <c r="BP20" s="15">
        <f>COUNTIFS(
Table9[Beneficiary Income (USD) / Project Cost],"&gt;0",
Table9[Country Income Level],"Lower-Middle Income"
)</f>
        <v>21</v>
      </c>
      <c r="BQ20" s="195">
        <f t="array" ref="BQ20">_xlfn.LET(
_xlpm.data,
_xlfn._xlws.FILTER(
Table9[Beneficiary Income (USD) / Project Cost],
ISNUMBER(Table9[Beneficiary Income (USD) / Project Cost])*
(Table9[Beneficiary Income (USD) / Project Cost]&gt;0)*
(Table9[Country Income Level]="Lower-Middle Income")
),
_xlpm.med,
MEDIAN(_xlpm.data),
_xlpm.mad,
MEDIAN(ABS(_xlpm.data-_xlpm.med)),
SUMPRODUCT(--(ABS(_xlpm.data-_xlpm.med)&gt;2.5*_xlpm.mad))/COUNT(_xlpm.data)
)</f>
        <v>9.5238095238095233E-2</v>
      </c>
      <c r="BR20" s="15">
        <f t="array" ref="BR20">_xlfn.LET(
_xlpm.data,
_xlfn._xlws.FILTER(
Table9[Beneficiary Income (USD) / Project Cost],
ISNUMBER(Table9[Beneficiary Income (USD) / Project Cost])*
(Table9[Beneficiary Income (USD) / Project Cost]&gt;0)*
(Table9[Country Income Level]="Lower-Middle Income")
),
_xlpm.med,
MEDIAN(_xlpm.data),
_xlpm.mad,
MEDIAN(ABS(_xlpm.data-_xlpm.med)),
SUMPRODUCT(--(ABS(_xlpm.data-_xlpm.med)&gt;2.5*_xlpm.mad))
)</f>
        <v>2</v>
      </c>
      <c r="BS20" s="203">
        <f t="array" ref="BS20">_xlfn.LET(
_xlpm.data,
_xlfn._xlws.FILTER(
Table9[Beneficiary Income (USD) / Project Cost],
ISNUMBER(Table9[Beneficiary Income (USD) / Project Cost])*
(Table9[Beneficiary Income (USD) / Project Cost]&gt;0)*
(Table9[Country Income Level]="Lower-Middle Income")
),
_xlpm.med,
MEDIAN(_xlpm.data),
_xlpm.mad,
MEDIAN(ABS(_xlpm.data-_xlpm.med)),
AVERAGE(
_xlfn._xlws.FILTER(
_xlpm.data,
ABS(_xlpm.data-_xlpm.med)&lt;=2.5*_xlpm.mad
)
)
)</f>
        <v>1.6853982482269858</v>
      </c>
      <c r="BT20" s="15">
        <f>BP20-BR20</f>
        <v>19</v>
      </c>
    </row>
    <row r="21" spans="2:72" x14ac:dyDescent="0.25">
      <c r="B21" s="206" t="s">
        <v>589</v>
      </c>
      <c r="C21" s="202">
        <f t="array" ref="C21">MEDIAN(_xlfn._xlws.FILTER(Table9[Income per beneficiary (USD)], (Table9[Income per beneficiary (USD)]&gt;0)*(Table9[Country Income Level]="Upper-Middle Income")))</f>
        <v>116.634423977346</v>
      </c>
      <c r="D21" s="202">
        <f t="array" ref="D21">AVERAGE(_xlfn._xlws.FILTER(Table9[Income per beneficiary (USD)], (Table9[Income per beneficiary (USD)]&gt;0)*(Table9[Country Income Level]="Upper-Middle Income")))</f>
        <v>417.23937507792834</v>
      </c>
      <c r="E21" s="15">
        <f>COUNTIFS(Table9[Income per beneficiary (USD)],"&gt;0", Table9[Country Income Level],"Upper-Middle Income")</f>
        <v>7</v>
      </c>
      <c r="F21" s="195">
        <f t="array" ref="F21">_xlfn.LET(
_xlpm.data,_xlfn._xlws.FILTER(
Table9[Income per beneficiary (USD)],
(Table9[Income per beneficiary (USD)]&gt;0)*
(Table9[Country Income Level]="Upper-Middle Income")
),
_xlpm.med,MEDIAN(_xlpm.data),
_xlpm.mad,MEDIAN(ABS(_xlpm.data-_xlpm.med)),
SUMPRODUCT(--(ABS(_xlpm.data-_xlpm.med)&gt;2.5*_xlpm.mad))/COUNT(_xlpm.data)
)</f>
        <v>0.42857142857142855</v>
      </c>
      <c r="G21" s="15">
        <f t="array" ref="G21">_xlfn.LET(
_xlpm.data,_xlfn._xlws.FILTER(
Table9[Income per beneficiary (USD)],
(Table9[Income per beneficiary (USD)]&gt;0)*
(Table9[Country Income Level]="Upper-Middle Income")
),
_xlpm.med,MEDIAN(_xlpm.data),
_xlpm.mad,MEDIAN(ABS(_xlpm.data-_xlpm.med)),
SUMPRODUCT(--(ABS(_xlpm.data-_xlpm.med)&gt;2.5*_xlpm.mad))
)</f>
        <v>3</v>
      </c>
      <c r="H21" s="202">
        <f t="array" ref="H21">_xlfn.LET(
_xlpm.data,_xlfn._xlws.FILTER(
Table9[Income per beneficiary (USD)],
(Table9[Income per beneficiary (USD)]&gt;0)*
(Table9[Country Income Level]="Upper-Middle Income")
),
_xlpm.med,MEDIAN(_xlpm.data),
_xlpm.mad,MEDIAN(ABS(_xlpm.data-_xlpm.med)),
AVERAGE(_xlfn._xlws.FILTER(_xlpm.data,ABS(_xlpm.data-_xlpm.med)&lt;=2.5*_xlpm.mad))
)</f>
        <v>88.927485070643755</v>
      </c>
      <c r="I21" s="202">
        <f>E21-G21</f>
        <v>4</v>
      </c>
      <c r="J21" s="130"/>
      <c r="K21" s="206" t="s">
        <v>589</v>
      </c>
      <c r="L21" s="203">
        <f t="array" ref="L21">MEDIAN(
_xlfn._xlws.FILTER(
Table9[Normalised Income Impact Ratio],
ISNUMBER(Table9[Normalised Income Impact Ratio])*
(Table9[Normalised Income Impact Ratio]&gt;0)*
(Table9[Country Income Level]="Upper-Middle Income")
)
)</f>
        <v>8.0074098435085287E-3</v>
      </c>
      <c r="M21" s="203">
        <f t="array" ref="M21">AVERAGE(
_xlfn._xlws.FILTER(
Table9[Normalised Income Impact Ratio],
ISNUMBER(Table9[Normalised Income Impact Ratio])*
(Table9[Normalised Income Impact Ratio]&gt;0)*
(Table9[Country Income Level]="Upper-Middle Income")
)
)</f>
        <v>2.2234429866227718E-2</v>
      </c>
      <c r="N21" s="434">
        <f>COUNTIFS(
Table9[Normalised Income Impact Ratio],"&gt;0",
Table9[Country Income Level],"Upper-Middle Income"
)</f>
        <v>7</v>
      </c>
      <c r="O21" s="195">
        <f t="array" ref="O21">_xlfn.LET(
_xlpm.data,_xlfn._xlws.FILTER(
Table9[Normalised Income Impact Ratio],
ISNUMBER(Table9[Normalised Income Impact Ratio])*
(Table9[Normalised Income Impact Ratio]&gt;0)*
(Table9[Country Income Level]="Upper-Middle Income")
),
_xlpm.med,MEDIAN(_xlpm.data),
_xlpm.mad,MEDIAN(ABS(_xlpm.data-_xlpm.med)),
SUMPRODUCT(--(ABS(_xlpm.data-_xlpm.med)&gt;2.5*_xlpm.mad))/COUNT(_xlpm.data)
)</f>
        <v>0.42857142857142855</v>
      </c>
      <c r="P21" s="15">
        <f t="array" ref="P21">_xlfn.LET(
_xlpm.data,_xlfn._xlws.FILTER(
Table9[Normalised Income Impact Ratio],
ISNUMBER(Table9[Normalised Income Impact Ratio])*
(Table9[Normalised Income Impact Ratio]&gt;0)*
(Table9[Country Income Level]="Upper-Middle Income")
),
_xlpm.med,MEDIAN(_xlpm.data),
_xlpm.mad,MEDIAN(ABS(_xlpm.data-_xlpm.med)),
SUMPRODUCT(--(ABS(_xlpm.data-_xlpm.med)&gt;2.5*_xlpm.mad))
)</f>
        <v>3</v>
      </c>
      <c r="Q21" s="203">
        <f t="array" ref="Q21">_xlfn.LET(
_xlpm.data,_xlfn._xlws.FILTER(
Table9[Normalised Income Impact Ratio],
ISNUMBER(Table9[Normalised Income Impact Ratio])*
(Table9[Normalised Income Impact Ratio]&gt;0)*
(Table9[Country Income Level]="Upper-Middle Income")
),
_xlpm.med,MEDIAN(_xlpm.data),
_xlpm.mad,MEDIAN(ABS(_xlpm.data-_xlpm.med)),
AVERAGE(_xlfn._xlws.FILTER(_xlpm.data,ABS(_xlpm.data-_xlpm.med)&lt;=2.5*_xlpm.mad))
)</f>
        <v>5.3804514356055244E-3</v>
      </c>
      <c r="R21" s="434">
        <f>N21-P21</f>
        <v>4</v>
      </c>
      <c r="T21" s="206" t="s">
        <v>589</v>
      </c>
      <c r="U21" s="203">
        <f t="array" ref="U21">MEDIAN(
_xlfn._xlws.FILTER(
Table9[Private Sector Investment (USD) / Project cost ],
ISNUMBER(Table9[Private Sector Investment (USD) / Project cost ])*
(Table9[Private Sector Investment (USD) / Project cost ]&gt;0)*
(Table9[Country Income Level]="Upper-Middle Income")
)
)</f>
        <v>0.97482539682539682</v>
      </c>
      <c r="V21" s="203">
        <f t="array" ref="V21">AVERAGE(
_xlfn._xlws.FILTER(
Table9[Private Sector Investment (USD) / Project cost ],
ISNUMBER(Table9[Private Sector Investment (USD) / Project cost ])*
(Table9[Private Sector Investment (USD) / Project cost ]&gt;0)*
(Table9[Country Income Level]="Upper-Middle Income")
)
)</f>
        <v>0.89403108386060404</v>
      </c>
      <c r="W21" s="15">
        <f>COUNTIFS(
Table9[Private Sector Investment (USD) / Project cost ],"&gt;0",
Table9[Country Income Level],"Upper-Middle Income"
)</f>
        <v>10</v>
      </c>
      <c r="X21" s="195">
        <f t="array" ref="X21">_xlfn.LET(
_xlpm.data,_xlfn._xlws.FILTER(
Table9[Private Sector Investment (USD) / Project cost ],
ISNUMBER(Table9[Private Sector Investment (USD) / Project cost ])*
(Table9[Private Sector Investment (USD) / Project cost ]&gt;0)*
(Table9[Country Income Level]="Upper-Middle Income")
),
_xlpm.med,MEDIAN(_xlpm.data),
_xlpm.mad,MEDIAN(ABS(_xlpm.data-_xlpm.med)),
SUMPRODUCT(--(ABS(_xlpm.data-_xlpm.med)&gt;2.5*_xlpm.mad))/COUNT(_xlpm.data)
)</f>
        <v>0.1</v>
      </c>
      <c r="Y21" s="15">
        <f t="array" ref="Y21">_xlfn.LET(
_xlpm.data,_xlfn._xlws.FILTER(
Table9[Private Sector Investment (USD) / Project cost ],
ISNUMBER(Table9[Private Sector Investment (USD) / Project cost ])*
(Table9[Private Sector Investment (USD) / Project cost ]&gt;0)*
(Table9[Country Income Level]="Upper-Middle Income")
),
_xlpm.med,MEDIAN(_xlpm.data),
_xlpm.mad,MEDIAN(ABS(_xlpm.data-_xlpm.med)),
SUMPRODUCT(--(ABS(_xlpm.data-_xlpm.med)&gt;2.5*_xlpm.mad))
)</f>
        <v>1</v>
      </c>
      <c r="Z21" s="203">
        <f t="array" ref="Z21">_xlfn.LET(
_xlpm.data,_xlfn._xlws.FILTER(
Table9[Private Sector Investment (USD) / Project cost ],
ISNUMBER(Table9[Private Sector Investment (USD) / Project cost ])*
(Table9[Private Sector Investment (USD) / Project cost ]&gt;0)*
(Table9[Country Income Level]="Upper-Middle Income")
),
_xlpm.med,MEDIAN(_xlpm.data),
_xlpm.mad,MEDIAN(ABS(_xlpm.data-_xlpm.med)),
AVERAGE(_xlfn._xlws.FILTER(_xlpm.data,ABS(_xlpm.data-_xlpm.med)&lt;=2.5*_xlpm.mad))
)</f>
        <v>0.74640468125869674</v>
      </c>
      <c r="AA21" s="202">
        <f>W21-Y21</f>
        <v>9</v>
      </c>
      <c r="AB21" s="130"/>
      <c r="AC21" s="206" t="s">
        <v>589</v>
      </c>
      <c r="AD21" s="203">
        <f t="array" ref="AD21">MEDIAN(
_xlfn._xlws.FILTER(
Table9[Private Sector Revenues Generated (USD) / Project cost],
ISNUMBER(Table9[Private Sector Revenues Generated (USD) / Project cost])*
(Table9[Private Sector Revenues Generated (USD) / Project cost]&gt;0)*
(Table9[Country Income Level]="Upper-Middle Income")
)
)</f>
        <v>0.8147368421052632</v>
      </c>
      <c r="AE21" s="203">
        <f t="array" ref="AE21">AVERAGE(
_xlfn._xlws.FILTER(
Table9[Private Sector Revenues Generated (USD) / Project cost],
ISNUMBER(Table9[Private Sector Revenues Generated (USD) / Project cost])*
(Table9[Private Sector Revenues Generated (USD) / Project cost]&gt;0)*
(Table9[Country Income Level]="Upper-Middle Income")
)
)</f>
        <v>0.93151765706417322</v>
      </c>
      <c r="AF21" s="15">
        <f>COUNTIFS(
Table9[Private Sector Revenues Generated (USD) / Project cost],"&gt;0",
Table9[Country Income Level],"Upper-Middle Income"
)</f>
        <v>7</v>
      </c>
      <c r="AG21" s="195">
        <f t="array" ref="AG21">_xlfn.LET(
_xlpm.data,_xlfn._xlws.FILTER(
Table9[Private Sector Revenues Generated (USD) / Project cost],
ISNUMBER(Table9[Private Sector Revenues Generated (USD) / Project cost])*
(Table9[Private Sector Revenues Generated (USD) / Project cost]&gt;0)*
(Table9[Country Income Level]="Upper-Middle Income")
),
_xlpm.med,MEDIAN(_xlpm.data),
_xlpm.mad,MEDIAN(ABS(_xlpm.data-_xlpm.med)),
SUMPRODUCT(--(ABS(_xlpm.data-_xlpm.med)&gt;2.5*_xlpm.mad))/COUNT(_xlpm.data)
)</f>
        <v>0.14285714285714285</v>
      </c>
      <c r="AH21" s="15">
        <f t="array" ref="AH21">_xlfn.LET(
_xlpm.data,_xlfn._xlws.FILTER(
Table9[Private Sector Revenues Generated (USD) / Project cost],
ISNUMBER(Table9[Private Sector Revenues Generated (USD) / Project cost])*
(Table9[Private Sector Revenues Generated (USD) / Project cost]&gt;0)*
(Table9[Country Income Level]="Upper-Middle Income")
),
_xlpm.med,MEDIAN(_xlpm.data),
_xlpm.mad,MEDIAN(ABS(_xlpm.data-_xlpm.med)),
SUMPRODUCT(--(ABS(_xlpm.data-_xlpm.med)&gt;2.5*_xlpm.mad))
)</f>
        <v>1</v>
      </c>
      <c r="AI21" s="203">
        <f t="array" ref="AI21">_xlfn.LET(
_xlpm.data,_xlfn._xlws.FILTER(
Table9[Private Sector Revenues Generated (USD) / Project cost],
ISNUMBER(Table9[Private Sector Revenues Generated (USD) / Project cost])*
(Table9[Private Sector Revenues Generated (USD) / Project cost]&gt;0)*
(Table9[Country Income Level]="Upper-Middle Income")
),
_xlpm.med,MEDIAN(_xlpm.data),
_xlpm.mad,MEDIAN(ABS(_xlpm.data-_xlpm.med)),
AVERAGE(_xlfn._xlws.FILTER(_xlpm.data,ABS(_xlpm.data-_xlpm.med)&lt;=2.5*_xlpm.mad))
)</f>
        <v>0.65143726657486856</v>
      </c>
      <c r="AJ21" s="15">
        <f>AF21-AH21</f>
        <v>6</v>
      </c>
      <c r="AL21" s="206" t="s">
        <v>589</v>
      </c>
      <c r="AM21" s="203">
        <f t="array" ref="AM21">MEDIAN(
_xlfn._xlws.FILTER(
Table9[Export Revenue Generated (USD) /Project Cost],
ISNUMBER(Table9[Export Revenue Generated (USD) /Project Cost])*
(Table9[Export Revenue Generated (USD) /Project Cost]&gt;0)*
(Table9[Country Income Level]="Upper-Middle Income")
)
)</f>
        <v>39.888838136141864</v>
      </c>
      <c r="AN21" s="203">
        <f t="array" ref="AN21">AVERAGE(
_xlfn._xlws.FILTER(
Table9[Export Revenue Generated (USD) /Project Cost],
ISNUMBER(Table9[Export Revenue Generated (USD) /Project Cost])*
(Table9[Export Revenue Generated (USD) /Project Cost]&gt;0)*
(Table9[Country Income Level]="Upper-Middle Income")
)
)</f>
        <v>39.888838136141857</v>
      </c>
      <c r="AO21" s="15">
        <f>COUNTIFS(
Table9[Export Revenue Generated (USD) /Project Cost],"&gt;0",
Table9[Country Income Level],"Upper-Middle Income"
)</f>
        <v>2</v>
      </c>
      <c r="AP21" s="15">
        <f t="array" ref="AP21">_xlfn.LET(
_xlpm.data,_xlfn._xlws.FILTER(
Table9[Export Revenue Generated (USD) /Project Cost],
ISNUMBER(Table9[Export Revenue Generated (USD) /Project Cost])*
(Table9[Export Revenue Generated (USD) /Project Cost]&gt;0)*
(Table9[Country Income Level]="Upper-Middle Income")
),
_xlpm.med,MEDIAN(_xlpm.data),
_xlpm.mad,MEDIAN(ABS(_xlpm.data-_xlpm.med)),
SUMPRODUCT(--(ABS(_xlpm.data-_xlpm.med)&gt;2.5*_xlpm.mad))/COUNT(_xlpm.data)
)</f>
        <v>0</v>
      </c>
      <c r="AQ21" s="15">
        <f t="array" ref="AQ21">_xlfn.LET(
_xlpm.data,_xlfn._xlws.FILTER(
Table9[Export Revenue Generated (USD) /Project Cost],
ISNUMBER(Table9[Export Revenue Generated (USD) /Project Cost])*
(Table9[Export Revenue Generated (USD) /Project Cost]&gt;0)*
(Table9[Country Income Level]="Upper-Middle Income")
),
_xlpm.med,MEDIAN(_xlpm.data),
_xlpm.mad,MEDIAN(ABS(_xlpm.data-_xlpm.med)),
SUMPRODUCT(--(ABS(_xlpm.data-_xlpm.med)&gt;2.5*_xlpm.mad))
)</f>
        <v>0</v>
      </c>
      <c r="AR21" s="203">
        <f t="array" ref="AR21">_xlfn.LET(
_xlpm.data,_xlfn._xlws.FILTER(
Table9[Export Revenue Generated (USD) /Project Cost],
ISNUMBER(Table9[Export Revenue Generated (USD) /Project Cost])*
(Table9[Export Revenue Generated (USD) /Project Cost]&gt;0)*
(Table9[Country Income Level]="Upper-Middle Income")
),
_xlpm.med,MEDIAN(_xlpm.data),
_xlpm.mad,MEDIAN(ABS(_xlpm.data-_xlpm.med)),
AVERAGE(_xlfn._xlws.FILTER(_xlpm.data,ABS(_xlpm.data-_xlpm.med)&lt;=2.5*_xlpm.mad))
)</f>
        <v>39.888838136141857</v>
      </c>
      <c r="AS21" s="15">
        <f>AO21-AQ21</f>
        <v>2</v>
      </c>
      <c r="AU21" s="206" t="s">
        <v>589</v>
      </c>
      <c r="AV21" s="202">
        <f t="array" ref="AV21">MEDIAN(
_xlfn._xlws.FILTER(
Table9[Job created per $Mn],
ISNUMBER(Table9[Job created per $Mn])*
(Table9[Job created per $Mn]&gt;0)*
(Table9[Country Income Level]="Upper-Middle Income")
)
)</f>
        <v>196.64</v>
      </c>
      <c r="AW21" s="202">
        <f t="array" ref="AW21">AVERAGE(
_xlfn._xlws.FILTER(
Table9[Job created per $Mn],
ISNUMBER(Table9[Job created per $Mn])*
(Table9[Job created per $Mn]&gt;0)*
(Table9[Country Income Level]="Upper-Middle Income")
)
)</f>
        <v>180.43696184074571</v>
      </c>
      <c r="AX21" s="15">
        <f>COUNTIFS(
Table9[Job created per $Mn],"&gt;0",
Table9[Country Income Level],"Upper-Middle Income"
)</f>
        <v>9</v>
      </c>
      <c r="AY21" s="195">
        <f t="array" ref="AY21">_xlfn.LET(
_xlpm.data,
_xlfn._xlws.FILTER(
Table9[Job created per $Mn],
ISNUMBER(Table9[Job created per $Mn])*
(Table9[Job created per $Mn]&gt;0)*
(Table9[Country Income Level]="Upper-Middle Income")
),
_xlpm.med,
MEDIAN(_xlpm.data),
_xlpm.mad,
MEDIAN(ABS(_xlpm.data-_xlpm.med)),
SUMPRODUCT(--(ABS(_xlpm.data-_xlpm.med)&gt;2.5*_xlpm.mad))/COUNT(_xlpm.data)
)</f>
        <v>0</v>
      </c>
      <c r="AZ21" s="15">
        <f t="array" ref="AZ21">_xlfn.LET(
_xlpm.data,
_xlfn._xlws.FILTER(
Table9[Job created per $Mn],
ISNUMBER(Table9[Job created per $Mn])*
(Table9[Job created per $Mn]&gt;0)*
(Table9[Country Income Level]="Upper-Middle Income")
),
_xlpm.med,
MEDIAN(_xlpm.data),
_xlpm.mad,
MEDIAN(ABS(_xlpm.data-_xlpm.med)),
SUMPRODUCT(--(ABS(_xlpm.data-_xlpm.med)&gt;2.5*_xlpm.mad))
)</f>
        <v>0</v>
      </c>
      <c r="BA21" s="202">
        <f t="array" ref="BA21">_xlfn.LET(
_xlpm.data,
_xlfn._xlws.FILTER(
Table9[Job created per $Mn],
ISNUMBER(Table9[Job created per $Mn])*
(Table9[Job created per $Mn]&gt;0)*
(Table9[Country Income Level]="Upper-Middle Income")
),
_xlpm.med,
MEDIAN(_xlpm.data),
_xlpm.mad,
MEDIAN(ABS(_xlpm.data-_xlpm.med)),
AVERAGE(
_xlfn._xlws.FILTER(
_xlpm.data,
ABS(_xlpm.data-_xlpm.med)&lt;=2.5*_xlpm.mad
)
)
)</f>
        <v>180.43696184074571</v>
      </c>
      <c r="BB21" s="15">
        <f>AX21-AZ21</f>
        <v>9</v>
      </c>
      <c r="BD21" s="206" t="s">
        <v>589</v>
      </c>
      <c r="BE21" s="202">
        <f t="array" ref="BE21">MEDIAN(
_xlfn._xlws.FILTER(
Table9[Job improved per $Mn],
ISNUMBER(Table9[Job improved per $Mn])*
(Table9[Job improved per $Mn]&gt;0)*
(Table9[Country Income Level]="Upper-Middle Income")
)
)</f>
        <v>1411.6709671323986</v>
      </c>
      <c r="BF21" s="202">
        <f t="array" ref="BF21">AVERAGE(
_xlfn._xlws.FILTER(
Table9[Job improved per $Mn],
ISNUMBER(Table9[Job improved per $Mn])*
(Table9[Job improved per $Mn]&gt;0)*
(Table9[Country Income Level]="Upper-Middle Income")
)
)</f>
        <v>5204.3963067729519</v>
      </c>
      <c r="BG21" s="15">
        <f>COUNTIFS(
Table9[Job improved per $Mn],"&gt;0",
Table9[Country Income Level],"Upper-Middle Income"
)</f>
        <v>10</v>
      </c>
      <c r="BH21" s="195">
        <f t="array" ref="BH21">_xlfn.LET(
_xlpm.data,
_xlfn._xlws.FILTER(
Table9[Job improved per $Mn],
ISNUMBER(Table9[Job improved per $Mn])*
(Table9[Job improved per $Mn]&gt;0)*
(Table9[Country Income Level]="Upper-Middle Income")
),
_xlpm.med,
MEDIAN(_xlpm.data),
_xlpm.mad,
MEDIAN(ABS(_xlpm.data-_xlpm.med)),
SUMPRODUCT(--(ABS(_xlpm.data-_xlpm.med)&gt;2.5*_xlpm.mad))/COUNT(_xlpm.data)
)</f>
        <v>0.4</v>
      </c>
      <c r="BI21" s="15">
        <f t="array" ref="BI21">_xlfn.LET(
_xlpm.data,
_xlfn._xlws.FILTER(
Table9[Job improved per $Mn],
ISNUMBER(Table9[Job improved per $Mn])*
(Table9[Job improved per $Mn]&gt;0)*
(Table9[Country Income Level]="Upper-Middle Income")
),
_xlpm.med,
MEDIAN(_xlpm.data),
_xlpm.mad,
MEDIAN(ABS(_xlpm.data-_xlpm.med)),
SUMPRODUCT(--(ABS(_xlpm.data-_xlpm.med)&gt;2.5*_xlpm.mad))
)</f>
        <v>4</v>
      </c>
      <c r="BJ21" s="202">
        <f t="array" ref="BJ21">_xlfn.LET(
_xlpm.data,
_xlfn._xlws.FILTER(
Table9[Job improved per $Mn],
ISNUMBER(Table9[Job improved per $Mn])*
(Table9[Job improved per $Mn]&gt;0)*
(Table9[Country Income Level]="Upper-Middle Income")
),
_xlpm.med,
MEDIAN(_xlpm.data),
_xlpm.mad,
MEDIAN(ABS(_xlpm.data-_xlpm.med)),
AVERAGE(
_xlfn._xlws.FILTER(
_xlpm.data,
ABS(_xlpm.data-_xlpm.med)&lt;=2.5*_xlpm.mad
)
)
)</f>
        <v>724.23056380779747</v>
      </c>
      <c r="BK21" s="15">
        <f>BG21-BI21</f>
        <v>6</v>
      </c>
      <c r="BM21" s="206" t="s">
        <v>589</v>
      </c>
      <c r="BN21" s="203">
        <f t="array" ref="BN21">MEDIAN(
_xlfn._xlws.FILTER(
Table9[Beneficiary Income (USD) / Project Cost],
ISNUMBER(Table9[Beneficiary Income (USD) / Project Cost])*
(Table9[Beneficiary Income (USD) / Project Cost]&gt;0)*
(Table9[Country Income Level]="Upper-Middle Income")
)
)</f>
        <v>0.80423280423280419</v>
      </c>
      <c r="BO21" s="203">
        <f t="array" ref="BO21">AVERAGE(
_xlfn._xlws.FILTER(
Table9[Beneficiary Income (USD) / Project Cost],
ISNUMBER(Table9[Beneficiary Income (USD) / Project Cost])*
(Table9[Beneficiary Income (USD) / Project Cost]&gt;0)*
(Table9[Country Income Level]="Upper-Middle Income")
)
)</f>
        <v>1.2437037868737504</v>
      </c>
      <c r="BP21" s="15">
        <f>COUNTIFS(
Table9[Beneficiary Income (USD) / Project Cost],"&gt;0",
Table9[Country Income Level],"Upper-Middle Income"
)</f>
        <v>7</v>
      </c>
      <c r="BQ21" s="195">
        <f t="array" ref="BQ21">_xlfn.LET(
_xlpm.data,
_xlfn._xlws.FILTER(
Table9[Beneficiary Income (USD) / Project Cost],
ISNUMBER(Table9[Beneficiary Income (USD) / Project Cost])*
(Table9[Beneficiary Income (USD) / Project Cost]&gt;0)*
(Table9[Country Income Level]="Upper-Middle Income")
),
_xlpm.med,
MEDIAN(_xlpm.data),
_xlpm.mad,
MEDIAN(ABS(_xlpm.data-_xlpm.med)),
SUMPRODUCT(--(ABS(_xlpm.data-_xlpm.med)&gt;2.5*_xlpm.mad))/COUNT(_xlpm.data)
)</f>
        <v>0.14285714285714285</v>
      </c>
      <c r="BR21" s="15">
        <f t="array" ref="BR21">_xlfn.LET(
_xlpm.data,
_xlfn._xlws.FILTER(
Table9[Beneficiary Income (USD) / Project Cost],
ISNUMBER(Table9[Beneficiary Income (USD) / Project Cost])*
(Table9[Beneficiary Income (USD) / Project Cost]&gt;0)*
(Table9[Country Income Level]="Upper-Middle Income")
),
_xlpm.med,
MEDIAN(_xlpm.data),
_xlpm.mad,
MEDIAN(ABS(_xlpm.data-_xlpm.med)),
SUMPRODUCT(--(ABS(_xlpm.data-_xlpm.med)&gt;2.5*_xlpm.mad))
)</f>
        <v>1</v>
      </c>
      <c r="BS21" s="203">
        <f t="array" ref="BS21">_xlfn.LET(
_xlpm.data,
_xlfn._xlws.FILTER(
Table9[Beneficiary Income (USD) / Project Cost],
ISNUMBER(Table9[Beneficiary Income (USD) / Project Cost])*
(Table9[Beneficiary Income (USD) / Project Cost]&gt;0)*
(Table9[Country Income Level]="Upper-Middle Income")
),
_xlpm.med,
MEDIAN(_xlpm.data),
_xlpm.mad,
MEDIAN(ABS(_xlpm.data-_xlpm.med)),
AVERAGE(
_xlfn._xlws.FILTER(
_xlpm.data,
ABS(_xlpm.data-_xlpm.med)&lt;=2.5*_xlpm.mad
)
)
)</f>
        <v>0.69513979813633442</v>
      </c>
      <c r="BT21" s="15">
        <f>BP21-BR21</f>
        <v>6</v>
      </c>
    </row>
    <row r="22" spans="2:72" x14ac:dyDescent="0.25">
      <c r="B22" s="206" t="s">
        <v>597</v>
      </c>
      <c r="C22" s="202">
        <f t="array" ref="C22">MEDIAN(_xlfn._xlws.FILTER(Table9[Income per beneficiary (USD)], (Table9[Income per beneficiary (USD)]&gt;0)*(Table9[Country Income Level]="Mixed")))</f>
        <v>212.87799860937119</v>
      </c>
      <c r="D22" s="202">
        <f t="array" ref="D22">AVERAGE(_xlfn._xlws.FILTER(Table9[Income per beneficiary (USD)], (Table9[Income per beneficiary (USD)]&gt;0)*(Table9[Country Income Level]="Mixed")))</f>
        <v>232.91370595749353</v>
      </c>
      <c r="E22" s="15">
        <f>COUNTIFS(Table9[Income per beneficiary (USD)],"&gt;0", Table9[Country Income Level],"Mixed")</f>
        <v>4</v>
      </c>
      <c r="F22" s="195">
        <f t="array" ref="F22">_xlfn.LET(
_xlpm.data,_xlfn._xlws.FILTER(
Table9[Income per beneficiary (USD)],
(Table9[Income per beneficiary (USD)]&gt;0)*
(Table9[Country Income Level]="Mixed")
),
_xlpm.med,MEDIAN(_xlpm.data),
_xlpm.mad,MEDIAN(ABS(_xlpm.data-_xlpm.med)),
SUMPRODUCT(--(ABS(_xlpm.data-_xlpm.med)&gt;2.5*_xlpm.mad))/COUNT(_xlpm.data)
)</f>
        <v>0</v>
      </c>
      <c r="G22" s="15">
        <f t="array" ref="G22">_xlfn.LET(
_xlpm.data,_xlfn._xlws.FILTER(
Table9[Income per beneficiary (USD)],
(Table9[Income per beneficiary (USD)]&gt;0)*
(Table9[Country Income Level]="Mixed")
),
_xlpm.med,MEDIAN(_xlpm.data),
_xlpm.mad,MEDIAN(ABS(_xlpm.data-_xlpm.med)),
SUMPRODUCT(--(ABS(_xlpm.data-_xlpm.med)&gt;2.5*_xlpm.mad))
)</f>
        <v>0</v>
      </c>
      <c r="H22" s="202">
        <f t="array" ref="H22">_xlfn.LET(
_xlpm.data,_xlfn._xlws.FILTER(
Table9[Income per beneficiary (USD)],
(Table9[Income per beneficiary (USD)]&gt;0)*
(Table9[Country Income Level]="Mixed")
),
_xlpm.med,MEDIAN(_xlpm.data),
_xlpm.mad,MEDIAN(ABS(_xlpm.data-_xlpm.med)),
AVERAGE(_xlfn._xlws.FILTER(_xlpm.data,ABS(_xlpm.data-_xlpm.med)&lt;=2.5*_xlpm.mad))
)</f>
        <v>232.91370595749353</v>
      </c>
      <c r="I22" s="202">
        <f>E22-G22</f>
        <v>4</v>
      </c>
      <c r="J22" s="130"/>
      <c r="K22" s="206" t="s">
        <v>597</v>
      </c>
      <c r="L22" s="203">
        <f t="array" ref="L22">MEDIAN(
_xlfn._xlws.FILTER(
Table9[Normalised Income Impact Ratio],
ISNUMBER(Table9[Normalised Income Impact Ratio])*
(Table9[Normalised Income Impact Ratio]&gt;0)*
(Table9[Country Income Level]="Mixed")
)
)</f>
        <v>1.8363905735518514E-2</v>
      </c>
      <c r="M22" s="203">
        <f t="array" ref="M22">AVERAGE(
_xlfn._xlws.FILTER(
Table9[Normalised Income Impact Ratio],
ISNUMBER(Table9[Normalised Income Impact Ratio])*
(Table9[Normalised Income Impact Ratio]&gt;0)*
(Table9[Country Income Level]="Mixed")
)
)</f>
        <v>2.1150299671132272E-2</v>
      </c>
      <c r="N22" s="15">
        <f>COUNTIFS(
Table9[Normalised Income Impact Ratio],"&gt;0",
Table9[Country Income Level],"Mixed"
)</f>
        <v>4</v>
      </c>
      <c r="O22" s="195">
        <f t="array" ref="O22">_xlfn.LET(
_xlpm.data,_xlfn._xlws.FILTER(
Table9[Normalised Income Impact Ratio],
ISNUMBER(Table9[Normalised Income Impact Ratio])*
(Table9[Normalised Income Impact Ratio]&gt;0)*
(Table9[Country Income Level]="Mixed")
),
_xlpm.med,MEDIAN(_xlpm.data),
_xlpm.mad,MEDIAN(ABS(_xlpm.data-_xlpm.med)),
SUMPRODUCT(--(ABS(_xlpm.data-_xlpm.med)&gt;2.5*_xlpm.mad))/COUNT(_xlpm.data)
)</f>
        <v>0</v>
      </c>
      <c r="P22" s="15">
        <f t="array" ref="P22">_xlfn.LET(
_xlpm.data,_xlfn._xlws.FILTER(
Table9[Normalised Income Impact Ratio],
ISNUMBER(Table9[Normalised Income Impact Ratio])*
(Table9[Normalised Income Impact Ratio]&gt;0)*
(Table9[Country Income Level]="Mixed")
),
_xlpm.med,MEDIAN(_xlpm.data),
_xlpm.mad,MEDIAN(ABS(_xlpm.data-_xlpm.med)),
SUMPRODUCT(--(ABS(_xlpm.data-_xlpm.med)&gt;2.5*_xlpm.mad))
)</f>
        <v>0</v>
      </c>
      <c r="Q22" s="203">
        <f t="array" ref="Q22">_xlfn.LET(
_xlpm.data,_xlfn._xlws.FILTER(
Table9[Normalised Income Impact Ratio],
ISNUMBER(Table9[Normalised Income Impact Ratio])*
(Table9[Normalised Income Impact Ratio]&gt;0)*
(Table9[Country Income Level]="Mixed")
),
_xlpm.med,MEDIAN(_xlpm.data),
_xlpm.mad,MEDIAN(ABS(_xlpm.data-_xlpm.med)),
AVERAGE(_xlfn._xlws.FILTER(_xlpm.data,ABS(_xlpm.data-_xlpm.med)&lt;=2.5*_xlpm.mad))
)</f>
        <v>2.1150299671132272E-2</v>
      </c>
      <c r="R22" s="15">
        <f>N22-P22</f>
        <v>4</v>
      </c>
      <c r="T22" s="206" t="s">
        <v>597</v>
      </c>
      <c r="U22" s="203">
        <f t="array" ref="U22">MEDIAN(
_xlfn._xlws.FILTER(
Table9[Private Sector Investment (USD) / Project cost ],
ISNUMBER(Table9[Private Sector Investment (USD) / Project cost ])*
(Table9[Private Sector Investment (USD) / Project cost ]&gt;0)*
(Table9[Country Income Level]="Mixed")
)
)</f>
        <v>0.29404642185850494</v>
      </c>
      <c r="V22" s="203">
        <f t="array" ref="V22">AVERAGE(
_xlfn._xlws.FILTER(
Table9[Private Sector Investment (USD) / Project cost ],
ISNUMBER(Table9[Private Sector Investment (USD) / Project cost ])*
(Table9[Private Sector Investment (USD) / Project cost ]&gt;0)*
(Table9[Country Income Level]="Mixed")
)
)</f>
        <v>2.3888200849205456</v>
      </c>
      <c r="W22" s="15">
        <f>COUNTIFS(
Table9[Private Sector Investment (USD) / Project cost ],"&gt;0",
Table9[Country Income Level],"Mixed"
)</f>
        <v>4</v>
      </c>
      <c r="X22" s="195">
        <f t="array" ref="X22">_xlfn.LET(
_xlpm.data,_xlfn._xlws.FILTER(
Table9[Private Sector Investment (USD) / Project cost ],
ISNUMBER(Table9[Private Sector Investment (USD) / Project cost ])*
(Table9[Private Sector Investment (USD) / Project cost ]&gt;0)*
(Table9[Country Income Level]="Mixed")
),
_xlpm.med,MEDIAN(_xlpm.data),
_xlpm.mad,MEDIAN(ABS(_xlpm.data-_xlpm.med)),
SUMPRODUCT(--(ABS(_xlpm.data-_xlpm.med)&gt;2.5*_xlpm.mad))/COUNT(_xlpm.data)
)</f>
        <v>0.25</v>
      </c>
      <c r="Y22" s="15">
        <f t="array" ref="Y22">_xlfn.LET(
_xlpm.data,_xlfn._xlws.FILTER(
Table9[Private Sector Investment (USD) / Project cost ],
ISNUMBER(Table9[Private Sector Investment (USD) / Project cost ])*
(Table9[Private Sector Investment (USD) / Project cost ]&gt;0)*
(Table9[Country Income Level]="Mixed")
),
_xlpm.med,MEDIAN(_xlpm.data),
_xlpm.mad,MEDIAN(ABS(_xlpm.data-_xlpm.med)),
SUMPRODUCT(--(ABS(_xlpm.data-_xlpm.med)&gt;2.5*_xlpm.mad))
)</f>
        <v>1</v>
      </c>
      <c r="Z22" s="203">
        <f t="array" ref="Z22">_xlfn.LET(
_xlpm.data,_xlfn._xlws.FILTER(
Table9[Private Sector Investment (USD) / Project cost ],
ISNUMBER(Table9[Private Sector Investment (USD) / Project cost ])*
(Table9[Private Sector Investment (USD) / Project cost ]&gt;0)*
(Table9[Country Income Level]="Mixed")
),
_xlpm.med,MEDIAN(_xlpm.data),
_xlpm.mad,MEDIAN(ABS(_xlpm.data-_xlpm.med)),
AVERAGE(_xlfn._xlws.FILTER(_xlpm.data,ABS(_xlpm.data-_xlpm.med)&lt;=2.5*_xlpm.mad))
)</f>
        <v>0.21553145695419498</v>
      </c>
      <c r="AA22" s="202">
        <f>W22-Y22</f>
        <v>3</v>
      </c>
      <c r="AB22" s="130"/>
      <c r="AC22" s="206" t="s">
        <v>597</v>
      </c>
      <c r="AD22" s="203">
        <f t="array" ref="AD22">MEDIAN(
_xlfn._xlws.FILTER(
Table9[Private Sector Revenues Generated (USD) / Project cost],
ISNUMBER(Table9[Private Sector Revenues Generated (USD) / Project cost])*
(Table9[Private Sector Revenues Generated (USD) / Project cost]&gt;0)*
(Table9[Country Income Level]="Mixed")
)
)</f>
        <v>1.8035812692425064</v>
      </c>
      <c r="AE22" s="203">
        <f t="array" ref="AE22">AVERAGE(
_xlfn._xlws.FILTER(
Table9[Private Sector Revenues Generated (USD) / Project cost],
ISNUMBER(Table9[Private Sector Revenues Generated (USD) / Project cost])*
(Table9[Private Sector Revenues Generated (USD) / Project cost]&gt;0)*
(Table9[Country Income Level]="Mixed")
)
)</f>
        <v>1.8035812692425066</v>
      </c>
      <c r="AF22" s="15">
        <f>COUNTIFS(
Table9[Private Sector Revenues Generated (USD) / Project cost],"&gt;0",
Table9[Country Income Level],"Mixed"
)</f>
        <v>2</v>
      </c>
      <c r="AG22" s="195">
        <f t="array" ref="AG22">_xlfn.LET(
_xlpm.data,_xlfn._xlws.FILTER(
Table9[Private Sector Revenues Generated (USD) / Project cost],
ISNUMBER(Table9[Private Sector Revenues Generated (USD) / Project cost])*
(Table9[Private Sector Revenues Generated (USD) / Project cost]&gt;0)*
(Table9[Country Income Level]="Mixed")
),
_xlpm.med,MEDIAN(_xlpm.data),
_xlpm.mad,MEDIAN(ABS(_xlpm.data-_xlpm.med)),
SUMPRODUCT(--(ABS(_xlpm.data-_xlpm.med)&gt;2.5*_xlpm.mad))/COUNT(_xlpm.data)
)</f>
        <v>0</v>
      </c>
      <c r="AH22" s="15">
        <f t="array" ref="AH22">_xlfn.LET(
_xlpm.data,_xlfn._xlws.FILTER(
Table9[Private Sector Revenues Generated (USD) / Project cost],
ISNUMBER(Table9[Private Sector Revenues Generated (USD) / Project cost])*
(Table9[Private Sector Revenues Generated (USD) / Project cost]&gt;0)*
(Table9[Country Income Level]="Mixed")
),
_xlpm.med,MEDIAN(_xlpm.data),
_xlpm.mad,MEDIAN(ABS(_xlpm.data-_xlpm.med)),
SUMPRODUCT(--(ABS(_xlpm.data-_xlpm.med)&gt;2.5*_xlpm.mad))
)</f>
        <v>0</v>
      </c>
      <c r="AI22" s="203">
        <f t="array" ref="AI22">_xlfn.LET(
_xlpm.data,_xlfn._xlws.FILTER(
Table9[Private Sector Revenues Generated (USD) / Project cost],
ISNUMBER(Table9[Private Sector Revenues Generated (USD) / Project cost])*
(Table9[Private Sector Revenues Generated (USD) / Project cost]&gt;0)*
(Table9[Country Income Level]="Mixed")
),
_xlpm.med,MEDIAN(_xlpm.data),
_xlpm.mad,MEDIAN(ABS(_xlpm.data-_xlpm.med)),
AVERAGE(_xlfn._xlws.FILTER(_xlpm.data,ABS(_xlpm.data-_xlpm.med)&lt;=2.5*_xlpm.mad))
)</f>
        <v>1.8035812692425066</v>
      </c>
      <c r="AJ22" s="15">
        <f>AF22-AH22</f>
        <v>2</v>
      </c>
      <c r="AL22" s="206" t="s">
        <v>597</v>
      </c>
      <c r="AM22" s="204" t="e" vm="37">
        <f t="array" ref="AM22">MEDIAN(
_xlfn._xlws.FILTER(
Table9[Export Revenue Generated (USD) /Project Cost],
ISNUMBER(Table9[Export Revenue Generated (USD) /Project Cost])*
(Table9[Export Revenue Generated (USD) /Project Cost]&gt;0)*
(Table9[Country Income Level]="Mixed")
)
)</f>
        <v>#VALUE!</v>
      </c>
      <c r="AN22" s="204" t="e" vm="37">
        <f t="array" ref="AN22">AVERAGE(
_xlfn._xlws.FILTER(
Table9[Export Revenue Generated (USD) /Project Cost],
ISNUMBER(Table9[Export Revenue Generated (USD) /Project Cost])*
(Table9[Export Revenue Generated (USD) /Project Cost]&gt;0)*
(Table9[Country Income Level]="Mixed")
)
)</f>
        <v>#VALUE!</v>
      </c>
      <c r="AO22" s="15">
        <f>COUNTIFS(
Table9[Export Revenue Generated (USD) /Project Cost],"&gt;0",
Table9[Country Income Level],"Mixed"
)</f>
        <v>0</v>
      </c>
      <c r="AP22" s="15" t="e" vm="37">
        <f t="array" ref="AP22">_xlfn.LET(
_xlpm.data,_xlfn._xlws.FILTER(
Table9[Export Revenue Generated (USD) /Project Cost],
ISNUMBER(Table9[Export Revenue Generated (USD) /Project Cost])*
(Table9[Export Revenue Generated (USD) /Project Cost]&gt;0)*
(Table9[Country Income Level]="Mixed")
),
_xlpm.med,MEDIAN(_xlpm.data),
_xlpm.mad,MEDIAN(ABS(_xlpm.data-_xlpm.med)),
SUMPRODUCT(--(ABS(_xlpm.data-_xlpm.med)&gt;2.5*_xlpm.mad))/COUNT(_xlpm.data)
)</f>
        <v>#VALUE!</v>
      </c>
      <c r="AQ22" s="15" t="e" vm="37">
        <f t="array" ref="AQ22">_xlfn.LET(
_xlpm.data,_xlfn._xlws.FILTER(
Table9[Export Revenue Generated (USD) /Project Cost],
ISNUMBER(Table9[Export Revenue Generated (USD) /Project Cost])*
(Table9[Export Revenue Generated (USD) /Project Cost]&gt;0)*
(Table9[Country Income Level]="Mixed")
),
_xlpm.med,MEDIAN(_xlpm.data),
_xlpm.mad,MEDIAN(ABS(_xlpm.data-_xlpm.med)),
SUMPRODUCT(--(ABS(_xlpm.data-_xlpm.med)&gt;2.5*_xlpm.mad))
)</f>
        <v>#VALUE!</v>
      </c>
      <c r="AR22" s="15" t="e" vm="37">
        <f t="array" ref="AR22">_xlfn.LET(
_xlpm.data,_xlfn._xlws.FILTER(
Table9[Export Revenue Generated (USD) /Project Cost],
ISNUMBER(Table9[Export Revenue Generated (USD) /Project Cost])*
(Table9[Export Revenue Generated (USD) /Project Cost]&gt;0)*
(Table9[Country Income Level]="Mixed")
),
_xlpm.med,MEDIAN(_xlpm.data),
_xlpm.mad,MEDIAN(ABS(_xlpm.data-_xlpm.med)),
AVERAGE(_xlfn._xlws.FILTER(_xlpm.data,ABS(_xlpm.data-_xlpm.med)&lt;=2.5*_xlpm.mad))
)</f>
        <v>#VALUE!</v>
      </c>
      <c r="AS22" s="15" t="e" vm="38">
        <f>AO22-AQ22</f>
        <v>#VALUE!</v>
      </c>
      <c r="AU22" s="206" t="s">
        <v>597</v>
      </c>
      <c r="AV22" s="202">
        <f t="array" ref="AV22">MEDIAN(
_xlfn._xlws.FILTER(
Table9[Job created per $Mn],
ISNUMBER(Table9[Job created per $Mn])*
(Table9[Job created per $Mn]&gt;0)*
(Table9[Country Income Level]="Mixed")
)
)</f>
        <v>737.890410958904</v>
      </c>
      <c r="AW22" s="202">
        <f t="array" ref="AW22">AVERAGE(
_xlfn._xlws.FILTER(
Table9[Job created per $Mn],
ISNUMBER(Table9[Job created per $Mn])*
(Table9[Job created per $Mn]&gt;0)*
(Table9[Country Income Level]="Mixed")
)
)</f>
        <v>737.890410958904</v>
      </c>
      <c r="AX22" s="15">
        <f>COUNTIFS(
Table9[Job created per $Mn],"&gt;0",
Table9[Country Income Level],"Mixed"
)</f>
        <v>2</v>
      </c>
      <c r="AY22" s="195">
        <f t="array" ref="AY22">_xlfn.LET(
_xlpm.data,
_xlfn._xlws.FILTER(
Table9[Job created per $Mn],
ISNUMBER(Table9[Job created per $Mn])*
(Table9[Job created per $Mn]&gt;0)*
(Table9[Country Income Level]="Mixed")
),
_xlpm.med,
MEDIAN(_xlpm.data),
_xlpm.mad,
MEDIAN(ABS(_xlpm.data-_xlpm.med)),
SUMPRODUCT(--(ABS(_xlpm.data-_xlpm.med)&gt;2.5*_xlpm.mad))/COUNT(_xlpm.data)
)</f>
        <v>0</v>
      </c>
      <c r="AZ22" s="15">
        <f t="array" ref="AZ22">_xlfn.LET(
_xlpm.data,
_xlfn._xlws.FILTER(
Table9[Job created per $Mn],
ISNUMBER(Table9[Job created per $Mn])*
(Table9[Job created per $Mn]&gt;0)*
(Table9[Country Income Level]="Mixed")
),
_xlpm.med,
MEDIAN(_xlpm.data),
_xlpm.mad,
MEDIAN(ABS(_xlpm.data-_xlpm.med)),
SUMPRODUCT(--(ABS(_xlpm.data-_xlpm.med)&gt;2.5*_xlpm.mad))
)</f>
        <v>0</v>
      </c>
      <c r="BA22" s="202">
        <f t="array" ref="BA22">_xlfn.LET(
_xlpm.data,
_xlfn._xlws.FILTER(
Table9[Job created per $Mn],
ISNUMBER(Table9[Job created per $Mn])*
(Table9[Job created per $Mn]&gt;0)*
(Table9[Country Income Level]="Mixed")
),
_xlpm.med,
MEDIAN(_xlpm.data),
_xlpm.mad,
MEDIAN(ABS(_xlpm.data-_xlpm.med)),
AVERAGE(
_xlfn._xlws.FILTER(
_xlpm.data,
ABS(_xlpm.data-_xlpm.med)&lt;=2.5*_xlpm.mad
)
)
)</f>
        <v>737.890410958904</v>
      </c>
      <c r="BB22" s="15">
        <f>AX22-AZ22</f>
        <v>2</v>
      </c>
      <c r="BD22" s="206" t="s">
        <v>597</v>
      </c>
      <c r="BE22" s="202">
        <f t="array" ref="BE22">MEDIAN(
_xlfn._xlws.FILTER(
Table9[Job improved per $Mn],
ISNUMBER(Table9[Job improved per $Mn])*
(Table9[Job improved per $Mn]&gt;0)*
(Table9[Country Income Level]="Mixed")
)
)</f>
        <v>518.20000000000005</v>
      </c>
      <c r="BF22" s="202">
        <f t="array" ref="BF22">AVERAGE(
_xlfn._xlws.FILTER(
Table9[Job improved per $Mn],
ISNUMBER(Table9[Job improved per $Mn])*
(Table9[Job improved per $Mn]&gt;0)*
(Table9[Country Income Level]="Mixed")
)
)</f>
        <v>892.32907171766533</v>
      </c>
      <c r="BG22" s="15">
        <f>COUNTIFS(
Table9[Job improved per $Mn],"&gt;0",
Table9[Country Income Level],"Mixed"
)</f>
        <v>5</v>
      </c>
      <c r="BH22" s="195">
        <f t="array" ref="BH22">_xlfn.LET(
_xlpm.data,
_xlfn._xlws.FILTER(
Table9[Job improved per $Mn],
ISNUMBER(Table9[Job improved per $Mn])*
(Table9[Job improved per $Mn]&gt;0)*
(Table9[Country Income Level]="Mixed")
),
_xlpm.med,
MEDIAN(_xlpm.data),
_xlpm.mad,
MEDIAN(ABS(_xlpm.data-_xlpm.med)),
SUMPRODUCT(--(ABS(_xlpm.data-_xlpm.med)&gt;2.5*_xlpm.mad))/COUNT(_xlpm.data)
)</f>
        <v>0.2</v>
      </c>
      <c r="BI22" s="15">
        <f t="array" ref="BI22">_xlfn.LET(
_xlpm.data,
_xlfn._xlws.FILTER(
Table9[Job improved per $Mn],
ISNUMBER(Table9[Job improved per $Mn])*
(Table9[Job improved per $Mn]&gt;0)*
(Table9[Country Income Level]="Mixed")
),
_xlpm.med,
MEDIAN(_xlpm.data),
_xlpm.mad,
MEDIAN(ABS(_xlpm.data-_xlpm.med)),
SUMPRODUCT(--(ABS(_xlpm.data-_xlpm.med)&gt;2.5*_xlpm.mad))
)</f>
        <v>1</v>
      </c>
      <c r="BJ22" s="202">
        <f t="array" ref="BJ22">_xlfn.LET(
_xlpm.data,
_xlfn._xlws.FILTER(
Table9[Job improved per $Mn],
ISNUMBER(Table9[Job improved per $Mn])*
(Table9[Job improved per $Mn]&gt;0)*
(Table9[Country Income Level]="Mixed")
),
_xlpm.med,
MEDIAN(_xlpm.data),
_xlpm.mad,
MEDIAN(ABS(_xlpm.data-_xlpm.med)),
AVERAGE(
_xlfn._xlws.FILTER(
_xlpm.data,
ABS(_xlpm.data-_xlpm.med)&lt;=2.5*_xlpm.mad
)
)
)</f>
        <v>490.95113274806022</v>
      </c>
      <c r="BK22" s="15">
        <f>BG22-BI22</f>
        <v>4</v>
      </c>
      <c r="BM22" s="206" t="s">
        <v>597</v>
      </c>
      <c r="BN22" s="203">
        <f t="array" ref="BN22">MEDIAN(
_xlfn._xlws.FILTER(
Table9[Beneficiary Income (USD) / Project Cost],
ISNUMBER(Table9[Beneficiary Income (USD) / Project Cost])*
(Table9[Beneficiary Income (USD) / Project Cost]&gt;0)*
(Table9[Country Income Level]="Mixed")
)
)</f>
        <v>0.5791622575831703</v>
      </c>
      <c r="BO22" s="203">
        <f t="array" ref="BO22">AVERAGE(
_xlfn._xlws.FILTER(
Table9[Beneficiary Income (USD) / Project Cost],
ISNUMBER(Table9[Beneficiary Income (USD) / Project Cost])*
(Table9[Beneficiary Income (USD) / Project Cost]&gt;0)*
(Table9[Country Income Level]="Mixed")
)
)</f>
        <v>0.91196505936670491</v>
      </c>
      <c r="BP22" s="15">
        <f>COUNTIFS(
Table9[Beneficiary Income (USD) / Project Cost],"&gt;0",
Table9[Country Income Level],"Mixed"
)</f>
        <v>4</v>
      </c>
      <c r="BQ22" s="195">
        <f t="array" ref="BQ22">_xlfn.LET(
_xlpm.data,
_xlfn._xlws.FILTER(
Table9[Beneficiary Income (USD) / Project Cost],
ISNUMBER(Table9[Beneficiary Income (USD) / Project Cost])*
(Table9[Beneficiary Income (USD) / Project Cost]&gt;0)*
(Table9[Country Income Level]="Mixed")
),
_xlpm.med,
MEDIAN(_xlpm.data),
_xlpm.mad,
MEDIAN(ABS(_xlpm.data-_xlpm.med)),
SUMPRODUCT(--(ABS(_xlpm.data-_xlpm.med)&gt;2.5*_xlpm.mad))/COUNT(_xlpm.data)
)</f>
        <v>0.25</v>
      </c>
      <c r="BR22" s="15">
        <f t="array" ref="BR22">_xlfn.LET(
_xlpm.data,
_xlfn._xlws.FILTER(
Table9[Beneficiary Income (USD) / Project Cost],
ISNUMBER(Table9[Beneficiary Income (USD) / Project Cost])*
(Table9[Beneficiary Income (USD) / Project Cost]&gt;0)*
(Table9[Country Income Level]="Mixed")
),
_xlpm.med,
MEDIAN(_xlpm.data),
_xlpm.mad,
MEDIAN(ABS(_xlpm.data-_xlpm.med)),
SUMPRODUCT(--(ABS(_xlpm.data-_xlpm.med)&gt;2.5*_xlpm.mad))
)</f>
        <v>1</v>
      </c>
      <c r="BS22" s="203">
        <f t="array" ref="BS22">_xlfn.LET(
_xlpm.data,
_xlfn._xlws.FILTER(
Table9[Beneficiary Income (USD) / Project Cost],
ISNUMBER(Table9[Beneficiary Income (USD) / Project Cost])*
(Table9[Beneficiary Income (USD) / Project Cost]&gt;0)*
(Table9[Country Income Level]="Mixed")
),
_xlpm.med,
MEDIAN(_xlpm.data),
_xlpm.mad,
MEDIAN(ABS(_xlpm.data-_xlpm.med)),
AVERAGE(
_xlfn._xlws.FILTER(
_xlpm.data,
ABS(_xlpm.data-_xlpm.med)&lt;=2.5*_xlpm.mad
)
)
)</f>
        <v>0.38960493642799587</v>
      </c>
      <c r="BT22" s="15">
        <f>BP22-BR22</f>
        <v>3</v>
      </c>
    </row>
    <row r="23" spans="2:72" ht="16.5" customHeight="1" x14ac:dyDescent="0.25">
      <c r="B23" s="373" t="s">
        <v>719</v>
      </c>
      <c r="C23" s="373"/>
      <c r="D23" s="373"/>
      <c r="E23" s="373"/>
      <c r="F23" s="420"/>
      <c r="G23" s="373"/>
      <c r="H23" s="373"/>
      <c r="I23" s="373"/>
      <c r="J23" s="417"/>
      <c r="K23" s="373" t="s">
        <v>719</v>
      </c>
      <c r="L23" s="373"/>
      <c r="M23" s="373"/>
      <c r="N23" s="373"/>
      <c r="O23" s="420"/>
      <c r="P23" s="373"/>
      <c r="Q23" s="373"/>
      <c r="R23" s="373"/>
      <c r="S23" s="417"/>
      <c r="T23" s="374" t="s">
        <v>719</v>
      </c>
      <c r="U23" s="373"/>
      <c r="V23" s="373"/>
      <c r="W23" s="373"/>
      <c r="X23" s="373"/>
      <c r="Y23" s="373"/>
      <c r="Z23" s="373"/>
      <c r="AA23" s="373"/>
      <c r="AB23" s="417"/>
      <c r="AC23" s="374" t="s">
        <v>719</v>
      </c>
      <c r="AD23" s="373"/>
      <c r="AE23" s="373"/>
      <c r="AF23" s="373"/>
      <c r="AG23" s="373"/>
      <c r="AH23" s="373"/>
      <c r="AI23" s="373"/>
      <c r="AJ23" s="373"/>
      <c r="AK23" s="417"/>
      <c r="AL23" s="374" t="s">
        <v>719</v>
      </c>
      <c r="AM23" s="373"/>
      <c r="AN23" s="373"/>
      <c r="AO23" s="373"/>
      <c r="AP23" s="373"/>
      <c r="AQ23" s="373"/>
      <c r="AR23" s="373"/>
      <c r="AS23" s="373"/>
      <c r="AT23" s="417"/>
      <c r="AU23" s="374" t="s">
        <v>719</v>
      </c>
      <c r="AV23" s="373"/>
      <c r="AW23" s="373"/>
      <c r="AX23" s="373"/>
      <c r="AY23" s="373"/>
      <c r="AZ23" s="373"/>
      <c r="BA23" s="373"/>
      <c r="BB23" s="373"/>
      <c r="BC23" s="417"/>
      <c r="BD23" s="374" t="s">
        <v>719</v>
      </c>
      <c r="BE23" s="373"/>
      <c r="BF23" s="373"/>
      <c r="BG23" s="373"/>
      <c r="BH23" s="420"/>
      <c r="BI23" s="373"/>
      <c r="BJ23" s="373"/>
      <c r="BK23" s="373"/>
      <c r="BL23" s="417"/>
      <c r="BM23" s="374" t="s">
        <v>719</v>
      </c>
      <c r="BN23" s="373"/>
      <c r="BO23" s="373"/>
      <c r="BP23" s="373"/>
      <c r="BQ23" s="420"/>
      <c r="BR23" s="373"/>
      <c r="BS23" s="373"/>
      <c r="BT23" s="373"/>
    </row>
    <row r="24" spans="2:72" x14ac:dyDescent="0.25">
      <c r="B24" s="206" t="s">
        <v>720</v>
      </c>
      <c r="C24" s="202">
        <f t="array" ref="C24">MEDIAN(_xlfn._xlws.FILTER(Table9[Income per beneficiary (USD)], (Table9[Income per beneficiary (USD)]&gt;0)*(Table9[Cost Quartiles]="1st Quartile (Lowest 25%)")))</f>
        <v>261.03095479055395</v>
      </c>
      <c r="D24" s="202">
        <f t="array" ref="D24">AVERAGE(_xlfn._xlws.FILTER(Table9[Income per beneficiary (USD)], (Table9[Income per beneficiary (USD)]&gt;0)*(Table9[Cost Quartiles]="1st Quartile (Lowest 25%)")))</f>
        <v>276.58226598274604</v>
      </c>
      <c r="E24" s="15">
        <f>COUNTIFS(Table9[Income per beneficiary (USD)],"&gt;0",Table9[Cost Quartiles],"1st Quartile (Lowest 25%)")</f>
        <v>16</v>
      </c>
      <c r="F24" s="195">
        <f t="array" ref="F24">_xlfn.LET(
_xlpm.data,_xlfn._xlws.FILTER(
Table9[Income per beneficiary (USD)],
(Table9[Income per beneficiary (USD)]&gt;0)*
(Table9[Cost Quartiles]="1st Quartile (Lowest 25%)")
),
_xlpm.med,MEDIAN(_xlpm.data),
_xlpm.mad,MEDIAN(ABS(_xlpm.data-_xlpm.med)),
SUMPRODUCT(--(ABS(_xlpm.data-_xlpm.med)&gt;2.5*_xlpm.mad))/COUNT(_xlpm.data)
)</f>
        <v>0</v>
      </c>
      <c r="G24" s="15">
        <f t="array" ref="G24">_xlfn.LET(
_xlpm.data,_xlfn._xlws.FILTER(
Table9[Income per beneficiary (USD)],
(Table9[Income per beneficiary (USD)]&gt;0)*
(Table9[Cost Quartiles]="1st Quartile (Lowest 25%)")
),
_xlpm.med,MEDIAN(_xlpm.data),
_xlpm.mad,MEDIAN(ABS(_xlpm.data-_xlpm.med)),
SUMPRODUCT(--(ABS(_xlpm.data-_xlpm.med)&gt;2.5*_xlpm.mad))
)</f>
        <v>0</v>
      </c>
      <c r="H24" s="202">
        <f t="array" ref="H24">_xlfn.LET(
_xlpm.data,_xlfn._xlws.FILTER(
Table9[Income per beneficiary (USD)],
(Table9[Income per beneficiary (USD)]&gt;0)*
(Table9[Cost Quartiles]="1st Quartile (Lowest 25%)")
),
_xlpm.med,MEDIAN(_xlpm.data),
_xlpm.mad,MEDIAN(ABS(_xlpm.data-_xlpm.med)),
AVERAGE(_xlfn._xlws.FILTER(_xlpm.data,ABS(_xlpm.data-_xlpm.med)&lt;=2.5*_xlpm.mad))
)</f>
        <v>276.58226598274604</v>
      </c>
      <c r="I24" s="202">
        <f>E24-G24</f>
        <v>16</v>
      </c>
      <c r="J24" s="130"/>
      <c r="K24" s="206" t="s">
        <v>720</v>
      </c>
      <c r="L24" s="203">
        <f t="array" ref="L24">MEDIAN(
_xlfn._xlws.FILTER(
Table9[Normalised Income Impact Ratio],
ISNUMBER(Table9[Normalised Income Impact Ratio])*
(Table9[Normalised Income Impact Ratio]&gt;0)*
(Table9[Cost Quartiles]="1st Quartile (Lowest 25%)")
)
)</f>
        <v>2.1857319389547651E-2</v>
      </c>
      <c r="M24" s="203">
        <f t="array" ref="M24">AVERAGE(
_xlfn._xlws.FILTER(
Table9[Normalised Income Impact Ratio],
ISNUMBER(Table9[Normalised Income Impact Ratio])*
(Table9[Normalised Income Impact Ratio]&gt;0)*
(Table9[Cost Quartiles]="1st Quartile (Lowest 25%)")
)
)</f>
        <v>2.9125500420513411E-2</v>
      </c>
      <c r="N24" s="15">
        <f>COUNTIFS(
Table9[Normalised Income Impact Ratio],"&gt;0",
Table9[Cost Quartiles],"1st Quartile (Lowest 25%)"
)</f>
        <v>15</v>
      </c>
      <c r="O24" s="195">
        <f t="array" ref="O24">_xlfn.LET(
_xlpm.data,_xlfn._xlws.FILTER(
Table9[Normalised Income Impact Ratio],
ISNUMBER(Table9[Normalised Income Impact Ratio])*
(Table9[Normalised Income Impact Ratio]&gt;0)*
(Table9[Cost Quartiles]="1st Quartile (Lowest 25%)")
),
_xlpm.med,MEDIAN(_xlpm.data),
_xlpm.mad,MEDIAN(ABS(_xlpm.data-_xlpm.med)),
SUMPRODUCT(--(ABS(_xlpm.data-_xlpm.med)&gt;2.5*_xlpm.mad))/COUNT(_xlpm.data)
)</f>
        <v>0.2</v>
      </c>
      <c r="P24" s="15">
        <f t="array" ref="P24">_xlfn.LET(
_xlpm.data,_xlfn._xlws.FILTER(
Table9[Normalised Income Impact Ratio],
ISNUMBER(Table9[Normalised Income Impact Ratio])*
(Table9[Normalised Income Impact Ratio]&gt;0)*
(Table9[Cost Quartiles]="1st Quartile (Lowest 25%)")
),
_xlpm.med,MEDIAN(_xlpm.data),
_xlpm.mad,MEDIAN(ABS(_xlpm.data-_xlpm.med)),
SUMPRODUCT(--(ABS(_xlpm.data-_xlpm.med)&gt;2.5*_xlpm.mad))
)</f>
        <v>3</v>
      </c>
      <c r="Q24" s="203">
        <f t="array" ref="Q24">_xlfn.LET(
_xlpm.data,_xlfn._xlws.FILTER(
Table9[Normalised Income Impact Ratio],
ISNUMBER(Table9[Normalised Income Impact Ratio])*
(Table9[Normalised Income Impact Ratio]&gt;0)*
(Table9[Cost Quartiles]="1st Quartile (Lowest 25%)")
),
_xlpm.med,MEDIAN(_xlpm.data),
_xlpm.mad,MEDIAN(ABS(_xlpm.data-_xlpm.med)),
AVERAGE(_xlfn._xlws.FILTER(_xlpm.data,ABS(_xlpm.data-_xlpm.med)&lt;=2.5*_xlpm.mad))
)</f>
        <v>1.7255451541505821E-2</v>
      </c>
      <c r="R24" s="15">
        <f>N24-P24</f>
        <v>12</v>
      </c>
      <c r="T24" s="206" t="s">
        <v>720</v>
      </c>
      <c r="U24" s="203">
        <f t="array" ref="U24">MEDIAN(
_xlfn._xlws.FILTER(
Table9[Private Sector Investment (USD) / Project cost ],
ISNUMBER(Table9[Private Sector Investment (USD) / Project cost ])*
(Table9[Private Sector Investment (USD) / Project cost ]&gt;0)*
(Table9[Cost Quartiles]="1st Quartile (Lowest 25%)")
)
)</f>
        <v>0.29726449999999999</v>
      </c>
      <c r="V24" s="203">
        <f t="array" ref="V24">AVERAGE(
_xlfn._xlws.FILTER(
Table9[Private Sector Investment (USD) / Project cost ],
ISNUMBER(Table9[Private Sector Investment (USD) / Project cost ])*
(Table9[Private Sector Investment (USD) / Project cost ]&gt;0)*
(Table9[Cost Quartiles]="1st Quartile (Lowest 25%)")
)
)</f>
        <v>1.351754471956375</v>
      </c>
      <c r="W24" s="15">
        <f>COUNTIFS(
Table9[Private Sector Investment (USD) / Project cost ],"&gt;0",
Table9[Cost Quartiles],"1st Quartile (Lowest 25%)"
)</f>
        <v>9</v>
      </c>
      <c r="X24" s="195">
        <f t="array" ref="X24">_xlfn.LET(
_xlpm.data,_xlfn._xlws.FILTER(
Table9[Private Sector Investment (USD) / Project cost ],
ISNUMBER(Table9[Private Sector Investment (USD) / Project cost ])*
(Table9[Private Sector Investment (USD) / Project cost ]&gt;0)*
(Table9[Cost Quartiles]="1st Quartile (Lowest 25%)")
),
_xlpm.med,MEDIAN(_xlpm.data),
_xlpm.mad,MEDIAN(ABS(_xlpm.data-_xlpm.med)),
SUMPRODUCT(--(ABS(_xlpm.data-_xlpm.med)&gt;2.5*_xlpm.mad))/COUNT(_xlpm.data)
)</f>
        <v>0.22222222222222221</v>
      </c>
      <c r="Y24" s="15">
        <f t="array" ref="Y24">_xlfn.LET(
_xlpm.data,_xlfn._xlws.FILTER(
Table9[Private Sector Investment (USD) / Project cost ],
ISNUMBER(Table9[Private Sector Investment (USD) / Project cost ])*
(Table9[Private Sector Investment (USD) / Project cost ]&gt;0)*
(Table9[Cost Quartiles]="1st Quartile (Lowest 25%)")
),
_xlpm.med,MEDIAN(_xlpm.data),
_xlpm.mad,MEDIAN(ABS(_xlpm.data-_xlpm.med)),
SUMPRODUCT(--(ABS(_xlpm.data-_xlpm.med)&gt;2.5*_xlpm.mad))
)</f>
        <v>2</v>
      </c>
      <c r="Z24" s="203">
        <f t="array" ref="Z24">_xlfn.LET(
_xlpm.data,_xlfn._xlws.FILTER(
Table9[Private Sector Investment (USD) / Project cost ],
ISNUMBER(Table9[Private Sector Investment (USD) / Project cost ])*
(Table9[Private Sector Investment (USD) / Project cost ]&gt;0)*
(Table9[Cost Quartiles]="1st Quartile (Lowest 25%)")
),
_xlpm.med,MEDIAN(_xlpm.data),
_xlpm.mad,MEDIAN(ABS(_xlpm.data-_xlpm.med)),
AVERAGE(_xlfn._xlws.FILTER(_xlpm.data,ABS(_xlpm.data-_xlpm.med)&lt;=2.5*_xlpm.mad))
)</f>
        <v>0.26989244799009021</v>
      </c>
      <c r="AA24" s="15">
        <f>W24-Y24</f>
        <v>7</v>
      </c>
      <c r="AC24" s="206" t="s">
        <v>720</v>
      </c>
      <c r="AD24" s="203">
        <f t="array" ref="AD24">MEDIAN(
_xlfn._xlws.FILTER(
Table9[Private Sector Revenues Generated (USD) / Project cost],
ISNUMBER(Table9[Private Sector Revenues Generated (USD) / Project cost])*
(Table9[Private Sector Revenues Generated (USD) / Project cost]&gt;0)*
(Table9[Cost Quartiles]="1st Quartile (Lowest 25%)")
)
)</f>
        <v>0.27511904761904765</v>
      </c>
      <c r="AE24" s="203">
        <f t="array" ref="AE24">AVERAGE(
_xlfn._xlws.FILTER(
Table9[Private Sector Revenues Generated (USD) / Project cost],
ISNUMBER(Table9[Private Sector Revenues Generated (USD) / Project cost])*
(Table9[Private Sector Revenues Generated (USD) / Project cost]&gt;0)*
(Table9[Cost Quartiles]="1st Quartile (Lowest 25%)")
)
)</f>
        <v>0.54267492344863644</v>
      </c>
      <c r="AF24" s="15">
        <f>COUNTIFS(
Table9[Private Sector Revenues Generated (USD) / Project cost],"&gt;0",
Table9[Cost Quartiles],"1st Quartile (Lowest 25%)"
)</f>
        <v>10</v>
      </c>
      <c r="AG24" s="195">
        <f t="array" ref="AG24">_xlfn.LET(
_xlpm.data,_xlfn._xlws.FILTER(
Table9[Private Sector Revenues Generated (USD) / Project cost],
ISNUMBER(Table9[Private Sector Revenues Generated (USD) / Project cost])*
(Table9[Private Sector Revenues Generated (USD) / Project cost]&gt;0)*
(Table9[Cost Quartiles]="1st Quartile (Lowest 25%)")
),
_xlpm.med,MEDIAN(_xlpm.data),
_xlpm.mad,MEDIAN(ABS(_xlpm.data-_xlpm.med)),
SUMPRODUCT(--(ABS(_xlpm.data-_xlpm.med)&gt;2.5*_xlpm.mad))/COUNT(_xlpm.data)
)</f>
        <v>0.3</v>
      </c>
      <c r="AH24" s="15">
        <f t="array" ref="AH24">_xlfn.LET(
_xlpm.data,_xlfn._xlws.FILTER(
Table9[Private Sector Revenues Generated (USD) / Project cost],
ISNUMBER(Table9[Private Sector Revenues Generated (USD) / Project cost])*
(Table9[Private Sector Revenues Generated (USD) / Project cost]&gt;0)*
(Table9[Cost Quartiles]="1st Quartile (Lowest 25%)")
),
_xlpm.med,MEDIAN(_xlpm.data),
_xlpm.mad,MEDIAN(ABS(_xlpm.data-_xlpm.med)),
SUMPRODUCT(--(ABS(_xlpm.data-_xlpm.med)&gt;2.5*_xlpm.mad))
)</f>
        <v>3</v>
      </c>
      <c r="AI24" s="203">
        <f t="array" ref="AI24">_xlfn.LET(
_xlpm.data,_xlfn._xlws.FILTER(
Table9[Private Sector Revenues Generated (USD) / Project cost],
ISNUMBER(Table9[Private Sector Revenues Generated (USD) / Project cost])*
(Table9[Private Sector Revenues Generated (USD) / Project cost]&gt;0)*
(Table9[Cost Quartiles]="1st Quartile (Lowest 25%)")
),
_xlpm.med,MEDIAN(_xlpm.data),
_xlpm.mad,MEDIAN(ABS(_xlpm.data-_xlpm.med)),
AVERAGE(_xlfn._xlws.FILTER(_xlpm.data,ABS(_xlpm.data-_xlpm.med)&lt;=2.5*_xlpm.mad))
)</f>
        <v>0.17465274997965166</v>
      </c>
      <c r="AJ24" s="15">
        <f>AF24-AH24</f>
        <v>7</v>
      </c>
      <c r="AL24" s="206" t="s">
        <v>720</v>
      </c>
      <c r="AM24" s="198">
        <f t="array" ref="AM24">MEDIAN(
_xlfn._xlws.FILTER(
Table9[Export Revenue Generated (USD) /Project Cost],
ISNUMBER(Table9[Export Revenue Generated (USD) /Project Cost])*
(Table9[Export Revenue Generated (USD) /Project Cost]&gt;0)*
(Table9[Cost Quartiles]="1st Quartile (Lowest 25%)")
)
)</f>
        <v>3.6333847829880667E-2</v>
      </c>
      <c r="AN24" s="198">
        <f t="array" ref="AN24">AVERAGE(
_xlfn._xlws.FILTER(
Table9[Export Revenue Generated (USD) /Project Cost],
ISNUMBER(Table9[Export Revenue Generated (USD) /Project Cost])*
(Table9[Export Revenue Generated (USD) /Project Cost]&gt;0)*
(Table9[Cost Quartiles]="1st Quartile (Lowest 25%)")
)
)</f>
        <v>0.12814607307438275</v>
      </c>
      <c r="AO24" s="15">
        <f>COUNTIFS(
Table9[Export Revenue Generated (USD) /Project Cost],"&gt;0",
Table9[Cost Quartiles],"1st Quartile (Lowest 25%)"
)</f>
        <v>3</v>
      </c>
      <c r="AP24" s="195">
        <f t="array" ref="AP24">_xlfn.LET(
_xlpm.data,_xlfn._xlws.FILTER(
Table9[Export Revenue Generated (USD) /Project Cost],
ISNUMBER(Table9[Export Revenue Generated (USD) /Project Cost])*
(Table9[Export Revenue Generated (USD) /Project Cost]&gt;0)*
(Table9[Cost Quartiles]="1st Quartile (Lowest 25%)")
),
_xlpm.med,MEDIAN(_xlpm.data),
_xlpm.mad,MEDIAN(ABS(_xlpm.data-_xlpm.med)),
SUMPRODUCT(--(ABS(_xlpm.data-_xlpm.med)&gt;2.5*_xlpm.mad))/COUNT(_xlpm.data)
)</f>
        <v>0.33333333333333331</v>
      </c>
      <c r="AQ24" s="15">
        <f t="array" ref="AQ24">_xlfn.LET(
_xlpm.data,_xlfn._xlws.FILTER(
Table9[Export Revenue Generated (USD) /Project Cost],
ISNUMBER(Table9[Export Revenue Generated (USD) /Project Cost])*
(Table9[Export Revenue Generated (USD) /Project Cost]&gt;0)*
(Table9[Cost Quartiles]="1st Quartile (Lowest 25%)")
),
_xlpm.med,MEDIAN(_xlpm.data),
_xlpm.mad,MEDIAN(ABS(_xlpm.data-_xlpm.med)),
SUMPRODUCT(--(ABS(_xlpm.data-_xlpm.med)&gt;2.5*_xlpm.mad))
)</f>
        <v>1</v>
      </c>
      <c r="AR24" s="203">
        <f t="array" ref="AR24">_xlfn.LET(
_xlpm.data,_xlfn._xlws.FILTER(
Table9[Export Revenue Generated (USD) /Project Cost],
ISNUMBER(Table9[Export Revenue Generated (USD) /Project Cost])*
(Table9[Export Revenue Generated (USD) /Project Cost]&gt;0)*
(Table9[Cost Quartiles]="1st Quartile (Lowest 25%)")
),
_xlpm.med,MEDIAN(_xlpm.data),
_xlpm.mad,MEDIAN(ABS(_xlpm.data-_xlpm.med)),
AVERAGE(_xlfn._xlws.FILTER(_xlpm.data,ABS(_xlpm.data-_xlpm.med)&lt;=2.5*_xlpm.mad))
)</f>
        <v>1.8512298914940332E-2</v>
      </c>
      <c r="AS24" s="15">
        <f>AO24-AQ24</f>
        <v>2</v>
      </c>
      <c r="AU24" s="206" t="s">
        <v>720</v>
      </c>
      <c r="AV24" s="202">
        <f t="array" ref="AV24">MEDIAN(
_xlfn._xlws.FILTER(
Table9[Job created per $Mn],
ISNUMBER(Table9[Job created per $Mn])*
(Table9[Job created per $Mn]&gt;0)*
(Table9[Cost Quartiles]="1st Quartile (Lowest 25%)")
)
)</f>
        <v>239.28585880124223</v>
      </c>
      <c r="AW24" s="202">
        <f t="array" ref="AW24">AVERAGE(
_xlfn._xlws.FILTER(
Table9[Job created per $Mn],
ISNUMBER(Table9[Job created per $Mn])*
(Table9[Job created per $Mn]&gt;0)*
(Table9[Cost Quartiles]="1st Quartile (Lowest 25%)")
)
)</f>
        <v>289.81367535889649</v>
      </c>
      <c r="AX24" s="15">
        <f>COUNTIFS(
Table9[Job created per $Mn],"&gt;0",
Table9[Cost Quartiles],"1st Quartile (Lowest 25%)"
)</f>
        <v>6</v>
      </c>
      <c r="AY24" s="195">
        <f t="array" ref="AY24">_xlfn.LET(
_xlpm.data,
_xlfn._xlws.FILTER(
Table9[Job created per $Mn],
ISNUMBER(Table9[Job created per $Mn])*
(Table9[Job created per $Mn]&gt;0)*
(Table9[Cost Quartiles]="1st Quartile (Lowest 25%)")
),
_xlpm.med,
MEDIAN(_xlpm.data),
_xlpm.mad,
MEDIAN(ABS(_xlpm.data-_xlpm.med)),
SUMPRODUCT(--(ABS(_xlpm.data-_xlpm.med)&gt;2.5*_xlpm.mad))/COUNT(_xlpm.data)
)</f>
        <v>0.16666666666666666</v>
      </c>
      <c r="AZ24" s="15">
        <f t="array" ref="AZ24">_xlfn.LET(
_xlpm.data,
_xlfn._xlws.FILTER(
Table9[Job created per $Mn],
ISNUMBER(Table9[Job created per $Mn])*
(Table9[Job created per $Mn]&gt;0)*
(Table9[Cost Quartiles]="1st Quartile (Lowest 25%)")
),
_xlpm.med,
MEDIAN(_xlpm.data),
_xlpm.mad,
MEDIAN(ABS(_xlpm.data-_xlpm.med)),
SUMPRODUCT(--(ABS(_xlpm.data-_xlpm.med)&gt;2.5*_xlpm.mad))
)</f>
        <v>1</v>
      </c>
      <c r="BA24" s="202">
        <f t="array" ref="BA24">_xlfn.LET(
_xlpm.data,
_xlfn._xlws.FILTER(
Table9[Job created per $Mn],
ISNUMBER(Table9[Job created per $Mn])*
(Table9[Job created per $Mn]&gt;0)*
(Table9[Cost Quartiles]="1st Quartile (Lowest 25%)")
),
_xlpm.med,
MEDIAN(_xlpm.data),
_xlpm.mad,
MEDIAN(ABS(_xlpm.data-_xlpm.med)),
AVERAGE(
_xlfn._xlws.FILTER(
_xlpm.data,
ABS(_xlpm.data-_xlpm.med)&lt;=2.5*_xlpm.mad
)
)
)</f>
        <v>239.12275000958243</v>
      </c>
      <c r="BB24" s="15">
        <f>AX24-AZ24</f>
        <v>5</v>
      </c>
      <c r="BD24" s="206" t="s">
        <v>720</v>
      </c>
      <c r="BE24" s="202">
        <f t="array" ref="BE24">MEDIAN(
_xlfn._xlws.FILTER(
Table9[Job improved per $Mn],
ISNUMBER(Table9[Job improved per $Mn])*
(Table9[Job improved per $Mn]&gt;0)*
(Table9[Cost Quartiles]="1st Quartile (Lowest 25%)")
)
)</f>
        <v>1482.8571428571429</v>
      </c>
      <c r="BF24" s="202">
        <f t="array" ref="BF24">AVERAGE(
_xlfn._xlws.FILTER(
Table9[Job improved per $Mn],
ISNUMBER(Table9[Job improved per $Mn])*
(Table9[Job improved per $Mn]&gt;0)*
(Table9[Cost Quartiles]="1st Quartile (Lowest 25%)")
)
)</f>
        <v>2971.9922244411077</v>
      </c>
      <c r="BG24" s="15">
        <f>COUNTIFS(
Table9[Job improved per $Mn],"&gt;0",
Table9[Cost Quartiles],"1st Quartile (Lowest 25%)"
)</f>
        <v>19</v>
      </c>
      <c r="BH24" s="195">
        <f t="array" ref="BH24">_xlfn.LET(
_xlpm.data,
_xlfn._xlws.FILTER(
Table9[Job improved per $Mn],
ISNUMBER(Table9[Job improved per $Mn])*
(Table9[Job improved per $Mn]&gt;0)*
(Table9[Cost Quartiles]="1st Quartile (Lowest 25%)")
),
_xlpm.med,
MEDIAN(_xlpm.data),
_xlpm.mad,
MEDIAN(ABS(_xlpm.data-_xlpm.med)),
SUMPRODUCT(--(ABS(_xlpm.data-_xlpm.med)&gt;2.5*_xlpm.mad))/COUNT(_xlpm.data)
)</f>
        <v>0.21052631578947367</v>
      </c>
      <c r="BI24" s="15">
        <f t="array" ref="BI24">_xlfn.LET(
_xlpm.data,
_xlfn._xlws.FILTER(
Table9[Job improved per $Mn],
ISNUMBER(Table9[Job improved per $Mn])*
(Table9[Job improved per $Mn]&gt;0)*
(Table9[Cost Quartiles]="1st Quartile (Lowest 25%)")
),
_xlpm.med,
MEDIAN(_xlpm.data),
_xlpm.mad,
MEDIAN(ABS(_xlpm.data-_xlpm.med)),
SUMPRODUCT(--(ABS(_xlpm.data-_xlpm.med)&gt;2.5*_xlpm.mad))
)</f>
        <v>4</v>
      </c>
      <c r="BJ24" s="202">
        <f t="array" ref="BJ24">_xlfn.LET(
_xlpm.data,
_xlfn._xlws.FILTER(
Table9[Job improved per $Mn],
ISNUMBER(Table9[Job improved per $Mn])*
(Table9[Job improved per $Mn]&gt;0)*
(Table9[Cost Quartiles]="1st Quartile (Lowest 25%)")
),
_xlpm.med,
MEDIAN(_xlpm.data),
_xlpm.mad,
MEDIAN(ABS(_xlpm.data-_xlpm.med)),
AVERAGE(
_xlfn._xlws.FILTER(
_xlpm.data,
ABS(_xlpm.data-_xlpm.med)&lt;=2.5*_xlpm.mad
)
)
)</f>
        <v>1127.4344683979175</v>
      </c>
      <c r="BK24" s="15">
        <f>BG24-BI24</f>
        <v>15</v>
      </c>
      <c r="BM24" s="206" t="s">
        <v>720</v>
      </c>
      <c r="BN24" s="203">
        <f t="array" ref="BN24">MEDIAN(
_xlfn._xlws.FILTER(
Table9[Beneficiary Income (USD) / Project Cost],
ISNUMBER(Table9[Beneficiary Income (USD) / Project Cost])*
(Table9[Beneficiary Income (USD) / Project Cost]&gt;0)*
(Table9[Cost Quartiles]="1st Quartile (Lowest 25%)")
)
)</f>
        <v>0.50114407140589967</v>
      </c>
      <c r="BO24" s="203">
        <f t="array" ref="BO24">AVERAGE(
_xlfn._xlws.FILTER(
Table9[Beneficiary Income (USD) / Project Cost],
ISNUMBER(Table9[Beneficiary Income (USD) / Project Cost])*
(Table9[Beneficiary Income (USD) / Project Cost]&gt;0)*
(Table9[Cost Quartiles]="1st Quartile (Lowest 25%)")
)
)</f>
        <v>1.4798846996656125</v>
      </c>
      <c r="BP24" s="15">
        <f>COUNTIFS(
Table9[Beneficiary Income (USD) / Project Cost],"&gt;0",
Table9[Cost Quartiles],"1st Quartile (Lowest 25%)"
)</f>
        <v>16</v>
      </c>
      <c r="BQ24" s="195">
        <f t="array" ref="BQ24">_xlfn.LET(
_xlpm.data,
_xlfn._xlws.FILTER(
Table9[Beneficiary Income (USD) / Project Cost],
ISNUMBER(Table9[Beneficiary Income (USD) / Project Cost])*
(Table9[Beneficiary Income (USD) / Project Cost]&gt;0)*
(Table9[Cost Quartiles]="1st Quartile (Lowest 25%)")
),
_xlpm.med,
MEDIAN(_xlpm.data),
_xlpm.mad,
MEDIAN(ABS(_xlpm.data-_xlpm.med)),
SUMPRODUCT(--(ABS(_xlpm.data-_xlpm.med)&gt;2.5*_xlpm.mad))/COUNT(_xlpm.data)
)</f>
        <v>0.25</v>
      </c>
      <c r="BR24" s="15">
        <f t="array" ref="BR24">_xlfn.LET(
_xlpm.data,
_xlfn._xlws.FILTER(
Table9[Beneficiary Income (USD) / Project Cost],
ISNUMBER(Table9[Beneficiary Income (USD) / Project Cost])*
(Table9[Beneficiary Income (USD) / Project Cost]&gt;0)*
(Table9[Cost Quartiles]="1st Quartile (Lowest 25%)")
),
_xlpm.med,
MEDIAN(_xlpm.data),
_xlpm.mad,
MEDIAN(ABS(_xlpm.data-_xlpm.med)),
SUMPRODUCT(--(ABS(_xlpm.data-_xlpm.med)&gt;2.5*_xlpm.mad))
)</f>
        <v>4</v>
      </c>
      <c r="BS24" s="203">
        <f t="array" ref="BS24">_xlfn.LET(
_xlpm.data,
_xlfn._xlws.FILTER(
Table9[Beneficiary Income (USD) / Project Cost],
ISNUMBER(Table9[Beneficiary Income (USD) / Project Cost])*
(Table9[Beneficiary Income (USD) / Project Cost]&gt;0)*
(Table9[Cost Quartiles]="1st Quartile (Lowest 25%)")
),
_xlpm.med,
MEDIAN(_xlpm.data),
_xlpm.mad,
MEDIAN(ABS(_xlpm.data-_xlpm.med)),
AVERAGE(
_xlfn._xlws.FILTER(
_xlpm.data,
ABS(_xlpm.data-_xlpm.med)&lt;=2.5*_xlpm.mad
)
)
)</f>
        <v>0.4789529597412599</v>
      </c>
      <c r="BT24" s="15">
        <f>BP24-BR24</f>
        <v>12</v>
      </c>
    </row>
    <row r="25" spans="2:72" x14ac:dyDescent="0.25">
      <c r="B25" s="206" t="s">
        <v>721</v>
      </c>
      <c r="C25" s="202">
        <f t="array" ref="C25">MEDIAN(_xlfn._xlws.FILTER(Table9[Income per beneficiary (USD)],(Table9[Income per beneficiary (USD)]&gt;0)*(Table9[Cost Quartiles]="2nd Quartile (25–50%)")))</f>
        <v>247.04261754384419</v>
      </c>
      <c r="D25" s="202">
        <f t="array" ref="D25">AVERAGE(_xlfn._xlws.FILTER(Table9[Income per beneficiary (USD)],(Table9[Income per beneficiary (USD)]&gt;0)*(Table9[Cost Quartiles]="2nd Quartile (25–50%)")))</f>
        <v>736.45545627188972</v>
      </c>
      <c r="E25" s="15">
        <f>COUNTIFS(Table9[Income per beneficiary (USD)],"&gt;0",Table9[Cost Quartiles],"2nd Quartile (25–50%)")</f>
        <v>8</v>
      </c>
      <c r="F25" s="195">
        <f t="array" ref="F25">_xlfn.LET(
_xlpm.data,_xlfn._xlws.FILTER(
Table9[Income per beneficiary (USD)],
(Table9[Income per beneficiary (USD)]&gt;0)*
(Table9[Cost Quartiles]="2nd Quartile (25–50%)")
),
_xlpm.med,MEDIAN(_xlpm.data),
_xlpm.mad,MEDIAN(ABS(_xlpm.data-_xlpm.med)),
SUMPRODUCT(--(ABS(_xlpm.data-_xlpm.med)&gt;2.5*_xlpm.mad))/COUNT(_xlpm.data)
)</f>
        <v>0.375</v>
      </c>
      <c r="G25" s="15">
        <f t="array" ref="G25">_xlfn.LET(
_xlpm.data,_xlfn._xlws.FILTER(
Table9[Income per beneficiary (USD)],
(Table9[Income per beneficiary (USD)]&gt;0)*
(Table9[Cost Quartiles]="2nd Quartile (25–50%)")
),
_xlpm.med,MEDIAN(_xlpm.data),
_xlpm.mad,MEDIAN(ABS(_xlpm.data-_xlpm.med)),
SUMPRODUCT(--(ABS(_xlpm.data-_xlpm.med)&gt;2.5*_xlpm.mad))
)</f>
        <v>3</v>
      </c>
      <c r="H25" s="202">
        <f t="array" ref="H25">_xlfn.LET(
_xlpm.data,_xlfn._xlws.FILTER(
Table9[Income per beneficiary (USD)],
(Table9[Income per beneficiary (USD)]&gt;0)*
(Table9[Cost Quartiles]="2nd Quartile (25–50%)")
),
_xlpm.med,MEDIAN(_xlpm.data),
_xlpm.mad,MEDIAN(ABS(_xlpm.data-_xlpm.med)),
AVERAGE(_xlfn._xlws.FILTER(_xlpm.data,ABS(_xlpm.data-_xlpm.med)&lt;=2.5*_xlpm.mad))
)</f>
        <v>156.90842668420058</v>
      </c>
      <c r="I25" s="202">
        <f>E25-G25</f>
        <v>5</v>
      </c>
      <c r="J25" s="130"/>
      <c r="K25" s="206" t="s">
        <v>721</v>
      </c>
      <c r="L25" s="203">
        <f t="array" ref="L25">MEDIAN(
_xlfn._xlws.FILTER(
Table9[Normalised Income Impact Ratio],
ISNUMBER(Table9[Normalised Income Impact Ratio])*
(Table9[Normalised Income Impact Ratio]&gt;0)*
(Table9[Cost Quartiles]="2nd Quartile (25–50%)")
)
)</f>
        <v>9.9489920937024051E-2</v>
      </c>
      <c r="M25" s="203">
        <f t="array" ref="M25">AVERAGE(
_xlfn._xlws.FILTER(
Table9[Normalised Income Impact Ratio],
ISNUMBER(Table9[Normalised Income Impact Ratio])*
(Table9[Normalised Income Impact Ratio]&gt;0)*
(Table9[Cost Quartiles]="2nd Quartile (25–50%)")
)
)</f>
        <v>0.10008991996049749</v>
      </c>
      <c r="N25" s="15">
        <f>COUNTIFS(
Table9[Normalised Income Impact Ratio],"&gt;0",
Table9[Cost Quartiles],"2nd Quartile (25–50%)"
)</f>
        <v>8</v>
      </c>
      <c r="O25" s="195">
        <f t="array" ref="O25">_xlfn.LET(
_xlpm.data,_xlfn._xlws.FILTER(
Table9[Normalised Income Impact Ratio],
ISNUMBER(Table9[Normalised Income Impact Ratio])*
(Table9[Normalised Income Impact Ratio]&gt;0)*
(Table9[Cost Quartiles]="2nd Quartile (25–50%)")
),
_xlpm.med,MEDIAN(_xlpm.data),
_xlpm.mad,MEDIAN(ABS(_xlpm.data-_xlpm.med)),
SUMPRODUCT(--(ABS(_xlpm.data-_xlpm.med)&gt;2.5*_xlpm.mad))/COUNT(_xlpm.data)
)</f>
        <v>0.125</v>
      </c>
      <c r="P25" s="15">
        <f t="array" ref="P25">_xlfn.LET(
_xlpm.data,_xlfn._xlws.FILTER(
Table9[Normalised Income Impact Ratio],
ISNUMBER(Table9[Normalised Income Impact Ratio])*
(Table9[Normalised Income Impact Ratio]&gt;0)*
(Table9[Cost Quartiles]="2nd Quartile (25–50%)")
),
_xlpm.med,MEDIAN(_xlpm.data),
_xlpm.mad,MEDIAN(ABS(_xlpm.data-_xlpm.med)),
SUMPRODUCT(--(ABS(_xlpm.data-_xlpm.med)&gt;2.5*_xlpm.mad))
)</f>
        <v>1</v>
      </c>
      <c r="Q25" s="203">
        <f t="array" ref="Q25">_xlfn.LET(
_xlpm.data,_xlfn._xlws.FILTER(
Table9[Normalised Income Impact Ratio],
ISNUMBER(Table9[Normalised Income Impact Ratio])*
(Table9[Normalised Income Impact Ratio]&gt;0)*
(Table9[Cost Quartiles]="2nd Quartile (25–50%)")
),
_xlpm.med,MEDIAN(_xlpm.data),
_xlpm.mad,MEDIAN(ABS(_xlpm.data-_xlpm.med)),
AVERAGE(_xlfn._xlws.FILTER(_xlpm.data,ABS(_xlpm.data-_xlpm.med)&lt;=2.5*_xlpm.mad))
)</f>
        <v>7.7653786077303236E-2</v>
      </c>
      <c r="R25" s="15">
        <f>N25-P25</f>
        <v>7</v>
      </c>
      <c r="T25" s="206" t="s">
        <v>721</v>
      </c>
      <c r="U25" s="203">
        <f t="array" ref="U25">MEDIAN(
_xlfn._xlws.FILTER(
Table9[Private Sector Investment (USD) / Project cost ],
ISNUMBER(Table9[Private Sector Investment (USD) / Project cost ])*
(Table9[Private Sector Investment (USD) / Project cost ]&gt;0)*
(Table9[Cost Quartiles]="2nd Quartile (25–50%)")
)
)</f>
        <v>0.25141106448692158</v>
      </c>
      <c r="V25" s="203">
        <f t="array" ref="V25">AVERAGE(
_xlfn._xlws.FILTER(
Table9[Private Sector Investment (USD) / Project cost ],
ISNUMBER(Table9[Private Sector Investment (USD) / Project cost ])*
(Table9[Private Sector Investment (USD) / Project cost ]&gt;0)*
(Table9[Cost Quartiles]="2nd Quartile (25–50%)")
)
)</f>
        <v>0.53604359976209248</v>
      </c>
      <c r="W25" s="15">
        <f>COUNTIFS(
Table9[Private Sector Investment (USD) / Project cost ],"&gt;0",
Table9[Cost Quartiles],"2nd Quartile (25–50%)"
)</f>
        <v>14</v>
      </c>
      <c r="X25" s="195">
        <f t="array" ref="X25">_xlfn.LET(
_xlpm.data,_xlfn._xlws.FILTER(
Table9[Private Sector Investment (USD) / Project cost ],
ISNUMBER(Table9[Private Sector Investment (USD) / Project cost ])*
(Table9[Private Sector Investment (USD) / Project cost ]&gt;0)*
(Table9[Cost Quartiles]="2nd Quartile (25–50%)")
),
_xlpm.med,MEDIAN(_xlpm.data),
_xlpm.mad,MEDIAN(ABS(_xlpm.data-_xlpm.med)),
SUMPRODUCT(--(ABS(_xlpm.data-_xlpm.med)&gt;2.5*_xlpm.mad))/COUNT(_xlpm.data)
)</f>
        <v>0.2857142857142857</v>
      </c>
      <c r="Y25" s="15">
        <f t="array" ref="Y25">_xlfn.LET(
_xlpm.data,_xlfn._xlws.FILTER(
Table9[Private Sector Investment (USD) / Project cost ],
ISNUMBER(Table9[Private Sector Investment (USD) / Project cost ])*
(Table9[Private Sector Investment (USD) / Project cost ]&gt;0)*
(Table9[Cost Quartiles]="2nd Quartile (25–50%)")
),
_xlpm.med,MEDIAN(_xlpm.data),
_xlpm.mad,MEDIAN(ABS(_xlpm.data-_xlpm.med)),
SUMPRODUCT(--(ABS(_xlpm.data-_xlpm.med)&gt;2.5*_xlpm.mad))
)</f>
        <v>4</v>
      </c>
      <c r="Z25" s="203">
        <f t="array" ref="Z25">_xlfn.LET(
_xlpm.data,_xlfn._xlws.FILTER(
Table9[Private Sector Investment (USD) / Project cost ],
ISNUMBER(Table9[Private Sector Investment (USD) / Project cost ])*
(Table9[Private Sector Investment (USD) / Project cost ]&gt;0)*
(Table9[Cost Quartiles]="2nd Quartile (25–50%)")
),
_xlpm.med,MEDIAN(_xlpm.data),
_xlpm.mad,MEDIAN(ABS(_xlpm.data-_xlpm.med)),
AVERAGE(_xlfn._xlws.FILTER(_xlpm.data,ABS(_xlpm.data-_xlpm.med)&lt;=2.5*_xlpm.mad))
)</f>
        <v>0.1833911079954508</v>
      </c>
      <c r="AA25" s="15">
        <f>W25-Y25</f>
        <v>10</v>
      </c>
      <c r="AC25" s="206" t="s">
        <v>721</v>
      </c>
      <c r="AD25" s="203">
        <f t="array" ref="AD25">MEDIAN(
_xlfn._xlws.FILTER(
Table9[Private Sector Revenues Generated (USD) / Project cost],
ISNUMBER(Table9[Private Sector Revenues Generated (USD) / Project cost])*
(Table9[Private Sector Revenues Generated (USD) / Project cost]&gt;0)*
(Table9[Cost Quartiles]="2nd Quartile (25–50%)")
)
)</f>
        <v>1.9327001256074459</v>
      </c>
      <c r="AE25" s="203">
        <f t="array" ref="AE25">AVERAGE(
_xlfn._xlws.FILTER(
Table9[Private Sector Revenues Generated (USD) / Project cost],
ISNUMBER(Table9[Private Sector Revenues Generated (USD) / Project cost])*
(Table9[Private Sector Revenues Generated (USD) / Project cost]&gt;0)*
(Table9[Cost Quartiles]="2nd Quartile (25–50%)")
)
)</f>
        <v>5.2283114745019432</v>
      </c>
      <c r="AF25" s="15">
        <f>COUNTIFS(
Table9[Private Sector Revenues Generated (USD) / Project cost],"&gt;0",
Table9[Cost Quartiles],"2nd Quartile (25–50%)"
)</f>
        <v>8</v>
      </c>
      <c r="AG25" s="195">
        <f t="array" ref="AG25">_xlfn.LET(
_xlpm.data,_xlfn._xlws.FILTER(
Table9[Private Sector Revenues Generated (USD) / Project cost],
ISNUMBER(Table9[Private Sector Revenues Generated (USD) / Project cost])*
(Table9[Private Sector Revenues Generated (USD) / Project cost]&gt;0)*
(Table9[Cost Quartiles]="2nd Quartile (25–50%)")
),
_xlpm.med,MEDIAN(_xlpm.data),
_xlpm.mad,MEDIAN(ABS(_xlpm.data-_xlpm.med)),
SUMPRODUCT(--(ABS(_xlpm.data-_xlpm.med)&gt;2.5*_xlpm.mad))/COUNT(_xlpm.data)
)</f>
        <v>0.25</v>
      </c>
      <c r="AH25" s="15">
        <f t="array" ref="AH25">_xlfn.LET(
_xlpm.data,_xlfn._xlws.FILTER(
Table9[Private Sector Revenues Generated (USD) / Project cost],
ISNUMBER(Table9[Private Sector Revenues Generated (USD) / Project cost])*
(Table9[Private Sector Revenues Generated (USD) / Project cost]&gt;0)*
(Table9[Cost Quartiles]="2nd Quartile (25–50%)")
),
_xlpm.med,MEDIAN(_xlpm.data),
_xlpm.mad,MEDIAN(ABS(_xlpm.data-_xlpm.med)),
SUMPRODUCT(--(ABS(_xlpm.data-_xlpm.med)&gt;2.5*_xlpm.mad))
)</f>
        <v>2</v>
      </c>
      <c r="AI25" s="203">
        <f t="array" ref="AI25">_xlfn.LET(
_xlpm.data,_xlfn._xlws.FILTER(
Table9[Private Sector Revenues Generated (USD) / Project cost],
ISNUMBER(Table9[Private Sector Revenues Generated (USD) / Project cost])*
(Table9[Private Sector Revenues Generated (USD) / Project cost]&gt;0)*
(Table9[Cost Quartiles]="2nd Quartile (25–50%)")
),
_xlpm.med,MEDIAN(_xlpm.data),
_xlpm.mad,MEDIAN(ABS(_xlpm.data-_xlpm.med)),
AVERAGE(_xlfn._xlws.FILTER(_xlpm.data,ABS(_xlpm.data-_xlpm.med)&lt;=2.5*_xlpm.mad))
)</f>
        <v>2.0201605716549067</v>
      </c>
      <c r="AJ25" s="15">
        <f>AF25-AH25</f>
        <v>6</v>
      </c>
      <c r="AL25" s="206" t="s">
        <v>721</v>
      </c>
      <c r="AM25" s="198">
        <f t="array" ref="AM25">MEDIAN(
_xlfn._xlws.FILTER(
Table9[Export Revenue Generated (USD) /Project Cost],
ISNUMBER(Table9[Export Revenue Generated (USD) /Project Cost])*
(Table9[Export Revenue Generated (USD) /Project Cost]&gt;0)*
(Table9[Cost Quartiles]="2nd Quartile (25–50%)")
)
)</f>
        <v>0.14420347058823529</v>
      </c>
      <c r="AN25" s="198">
        <f t="array" ref="AN25">AVERAGE(
_xlfn._xlws.FILTER(
Table9[Export Revenue Generated (USD) /Project Cost],
ISNUMBER(Table9[Export Revenue Generated (USD) /Project Cost])*
(Table9[Export Revenue Generated (USD) /Project Cost]&gt;0)*
(Table9[Cost Quartiles]="2nd Quartile (25–50%)")
)
)</f>
        <v>0.14420347058823529</v>
      </c>
      <c r="AO25" s="15">
        <f>COUNTIFS(
Table9[Export Revenue Generated (USD) /Project Cost],"&gt;0",
Table9[Cost Quartiles],"2nd Quartile (25–50%)"
)</f>
        <v>1</v>
      </c>
      <c r="AP25" s="195">
        <f t="array" ref="AP25">_xlfn.LET(
_xlpm.data,_xlfn._xlws.FILTER(
Table9[Export Revenue Generated (USD) /Project Cost],
ISNUMBER(Table9[Export Revenue Generated (USD) /Project Cost])*
(Table9[Export Revenue Generated (USD) /Project Cost]&gt;0)*
(Table9[Cost Quartiles]="2nd Quartile (25–50%)")
),
_xlpm.med,MEDIAN(_xlpm.data),
_xlpm.mad,MEDIAN(ABS(_xlpm.data-_xlpm.med)),
SUMPRODUCT(--(ABS(_xlpm.data-_xlpm.med)&gt;2.5*_xlpm.mad))/COUNT(_xlpm.data)
)</f>
        <v>0</v>
      </c>
      <c r="AQ25" s="15">
        <f t="array" ref="AQ25">_xlfn.LET(
_xlpm.data,_xlfn._xlws.FILTER(
Table9[Export Revenue Generated (USD) /Project Cost],
ISNUMBER(Table9[Export Revenue Generated (USD) /Project Cost])*
(Table9[Export Revenue Generated (USD) /Project Cost]&gt;0)*
(Table9[Cost Quartiles]="2nd Quartile (25–50%)")
),
_xlpm.med,MEDIAN(_xlpm.data),
_xlpm.mad,MEDIAN(ABS(_xlpm.data-_xlpm.med)),
SUMPRODUCT(--(ABS(_xlpm.data-_xlpm.med)&gt;2.5*_xlpm.mad))
)</f>
        <v>0</v>
      </c>
      <c r="AR25" s="203">
        <f t="array" ref="AR25">_xlfn.LET(
_xlpm.data,_xlfn._xlws.FILTER(
Table9[Export Revenue Generated (USD) /Project Cost],
ISNUMBER(Table9[Export Revenue Generated (USD) /Project Cost])*
(Table9[Export Revenue Generated (USD) /Project Cost]&gt;0)*
(Table9[Cost Quartiles]="2nd Quartile (25–50%)")
),
_xlpm.med,MEDIAN(_xlpm.data),
_xlpm.mad,MEDIAN(ABS(_xlpm.data-_xlpm.med)),
AVERAGE(_xlfn._xlws.FILTER(_xlpm.data,ABS(_xlpm.data-_xlpm.med)&lt;=2.5*_xlpm.mad))
)</f>
        <v>0.14420347058823529</v>
      </c>
      <c r="AS25" s="15">
        <f>AO25-AQ25</f>
        <v>1</v>
      </c>
      <c r="AU25" s="206" t="s">
        <v>721</v>
      </c>
      <c r="AV25" s="202">
        <f t="array" ref="AV25">MEDIAN(
_xlfn._xlws.FILTER(
Table9[Job created per $Mn],
ISNUMBER(Table9[Job created per $Mn])*
(Table9[Job created per $Mn]&gt;0)*
(Table9[Cost Quartiles]="2nd Quartile (25–50%)")
)
)</f>
        <v>213.86744540375824</v>
      </c>
      <c r="AW25" s="202">
        <f t="array" ref="AW25">AVERAGE(
_xlfn._xlws.FILTER(
Table9[Job created per $Mn],
ISNUMBER(Table9[Job created per $Mn])*
(Table9[Job created per $Mn]&gt;0)*
(Table9[Cost Quartiles]="2nd Quartile (25–50%)")
)
)</f>
        <v>734.85645786487953</v>
      </c>
      <c r="AX25" s="15">
        <f>COUNTIFS(
Table9[Job created per $Mn],"&gt;0",
Table9[Cost Quartiles],"2nd Quartile (25–50%)"
)</f>
        <v>10</v>
      </c>
      <c r="AY25" s="195">
        <f t="array" ref="AY25">_xlfn.LET(
_xlpm.data,
_xlfn._xlws.FILTER(
Table9[Job created per $Mn],
ISNUMBER(Table9[Job created per $Mn])*
(Table9[Job created per $Mn]&gt;0)*
(Table9[Cost Quartiles]="2nd Quartile (25–50%)")
),
_xlpm.med,
MEDIAN(_xlpm.data),
_xlpm.mad,
MEDIAN(ABS(_xlpm.data-_xlpm.med)),
SUMPRODUCT(--(ABS(_xlpm.data-_xlpm.med)&gt;2.5*_xlpm.mad))/COUNT(_xlpm.data)
)</f>
        <v>0.2</v>
      </c>
      <c r="AZ25" s="15">
        <f t="array" ref="AZ25">_xlfn.LET(
_xlpm.data,
_xlfn._xlws.FILTER(
Table9[Job created per $Mn],
ISNUMBER(Table9[Job created per $Mn])*
(Table9[Job created per $Mn]&gt;0)*
(Table9[Cost Quartiles]="2nd Quartile (25–50%)")
),
_xlpm.med,
MEDIAN(_xlpm.data),
_xlpm.mad,
MEDIAN(ABS(_xlpm.data-_xlpm.med)),
SUMPRODUCT(--(ABS(_xlpm.data-_xlpm.med)&gt;2.5*_xlpm.mad))
)</f>
        <v>2</v>
      </c>
      <c r="BA25" s="202">
        <f t="array" ref="BA25">_xlfn.LET(
_xlpm.data,
_xlfn._xlws.FILTER(
Table9[Job created per $Mn],
ISNUMBER(Table9[Job created per $Mn])*
(Table9[Job created per $Mn]&gt;0)*
(Table9[Cost Quartiles]="2nd Quartile (25–50%)")
),
_xlpm.med,
MEDIAN(_xlpm.data),
_xlpm.mad,
MEDIAN(ABS(_xlpm.data-_xlpm.med)),
AVERAGE(
_xlfn._xlws.FILTER(
_xlpm.data,
ABS(_xlpm.data-_xlpm.med)&lt;=2.5*_xlpm.mad
)
)
)</f>
        <v>220.9140982994187</v>
      </c>
      <c r="BB25" s="15">
        <f>AX25-AZ25</f>
        <v>8</v>
      </c>
      <c r="BD25" s="206" t="s">
        <v>721</v>
      </c>
      <c r="BE25" s="202">
        <f t="array" ref="BE25">MEDIAN(
_xlfn._xlws.FILTER(
Table9[Job improved per $Mn],
ISNUMBER(Table9[Job improved per $Mn])*
(Table9[Job improved per $Mn]&gt;0)*
(Table9[Cost Quartiles]="2nd Quartile (25–50%)")
)
)</f>
        <v>2582.7247616241302</v>
      </c>
      <c r="BF25" s="202">
        <f t="array" ref="BF25">AVERAGE(
_xlfn._xlws.FILTER(
Table9[Job improved per $Mn],
ISNUMBER(Table9[Job improved per $Mn])*
(Table9[Job improved per $Mn]&gt;0)*
(Table9[Cost Quartiles]="2nd Quartile (25–50%)")
)
)</f>
        <v>4440.82437732985</v>
      </c>
      <c r="BG25" s="15">
        <f>COUNTIFS(
Table9[Job improved per $Mn],"&gt;0",
Table9[Cost Quartiles],"2nd Quartile (25–50%)"
)</f>
        <v>16</v>
      </c>
      <c r="BH25" s="195">
        <f t="array" ref="BH25">_xlfn.LET(
_xlpm.data,
_xlfn._xlws.FILTER(
Table9[Job improved per $Mn],
ISNUMBER(Table9[Job improved per $Mn])*
(Table9[Job improved per $Mn]&gt;0)*
(Table9[Cost Quartiles]="2nd Quartile (25–50%)")
),
_xlpm.med,
MEDIAN(_xlpm.data),
_xlpm.mad,
MEDIAN(ABS(_xlpm.data-_xlpm.med)),
SUMPRODUCT(--(ABS(_xlpm.data-_xlpm.med)&gt;2.5*_xlpm.mad))/COUNT(_xlpm.data)
)</f>
        <v>0.125</v>
      </c>
      <c r="BI25" s="15">
        <f t="array" ref="BI25">_xlfn.LET(
_xlpm.data,
_xlfn._xlws.FILTER(
Table9[Job improved per $Mn],
ISNUMBER(Table9[Job improved per $Mn])*
(Table9[Job improved per $Mn]&gt;0)*
(Table9[Cost Quartiles]="2nd Quartile (25–50%)")
),
_xlpm.med,
MEDIAN(_xlpm.data),
_xlpm.mad,
MEDIAN(ABS(_xlpm.data-_xlpm.med)),
SUMPRODUCT(--(ABS(_xlpm.data-_xlpm.med)&gt;2.5*_xlpm.mad))
)</f>
        <v>2</v>
      </c>
      <c r="BJ25" s="202">
        <f t="array" ref="BJ25">_xlfn.LET(
_xlpm.data,
_xlfn._xlws.FILTER(
Table9[Job improved per $Mn],
ISNUMBER(Table9[Job improved per $Mn])*
(Table9[Job improved per $Mn]&gt;0)*
(Table9[Cost Quartiles]="2nd Quartile (25–50%)")
),
_xlpm.med,
MEDIAN(_xlpm.data),
_xlpm.mad,
MEDIAN(ABS(_xlpm.data-_xlpm.med)),
AVERAGE(
_xlfn._xlws.FILTER(
_xlpm.data,
ABS(_xlpm.data-_xlpm.med)&lt;=2.5*_xlpm.mad
)
)
)</f>
        <v>2678.4291375876105</v>
      </c>
      <c r="BK25" s="15">
        <f>BG25-BI25</f>
        <v>14</v>
      </c>
      <c r="BM25" s="206" t="s">
        <v>721</v>
      </c>
      <c r="BN25" s="203">
        <f t="array" ref="BN25">MEDIAN(
_xlfn._xlws.FILTER(
Table9[Beneficiary Income (USD) / Project Cost],
ISNUMBER(Table9[Beneficiary Income (USD) / Project Cost])*
(Table9[Beneficiary Income (USD) / Project Cost]&gt;0)*
(Table9[Cost Quartiles]="2nd Quartile (25–50%)")
)
)</f>
        <v>0.74586469244285469</v>
      </c>
      <c r="BO25" s="203">
        <f t="array" ref="BO25">AVERAGE(
_xlfn._xlws.FILTER(
Table9[Beneficiary Income (USD) / Project Cost],
ISNUMBER(Table9[Beneficiary Income (USD) / Project Cost])*
(Table9[Beneficiary Income (USD) / Project Cost]&gt;0)*
(Table9[Cost Quartiles]="2nd Quartile (25–50%)")
)
)</f>
        <v>0.95032193379998353</v>
      </c>
      <c r="BP25" s="15">
        <f>COUNTIFS(
Table9[Beneficiary Income (USD) / Project Cost],"&gt;0",
Table9[Cost Quartiles],"2nd Quartile (25–50%)"
)</f>
        <v>8</v>
      </c>
      <c r="BQ25" s="195">
        <f t="array" ref="BQ25">_xlfn.LET(
_xlpm.data,
_xlfn._xlws.FILTER(
Table9[Beneficiary Income (USD) / Project Cost],
ISNUMBER(Table9[Beneficiary Income (USD) / Project Cost])*
(Table9[Beneficiary Income (USD) / Project Cost]&gt;0)*
(Table9[Cost Quartiles]="2nd Quartile (25–50%)")
),
_xlpm.med,
MEDIAN(_xlpm.data),
_xlpm.mad,
MEDIAN(ABS(_xlpm.data-_xlpm.med)),
SUMPRODUCT(--(ABS(_xlpm.data-_xlpm.med)&gt;2.5*_xlpm.mad))/COUNT(_xlpm.data)
)</f>
        <v>0</v>
      </c>
      <c r="BR25" s="15">
        <f t="array" ref="BR25">_xlfn.LET(
_xlpm.data,
_xlfn._xlws.FILTER(
Table9[Beneficiary Income (USD) / Project Cost],
ISNUMBER(Table9[Beneficiary Income (USD) / Project Cost])*
(Table9[Beneficiary Income (USD) / Project Cost]&gt;0)*
(Table9[Cost Quartiles]="2nd Quartile (25–50%)")
),
_xlpm.med,
MEDIAN(_xlpm.data),
_xlpm.mad,
MEDIAN(ABS(_xlpm.data-_xlpm.med)),
SUMPRODUCT(--(ABS(_xlpm.data-_xlpm.med)&gt;2.5*_xlpm.mad))
)</f>
        <v>0</v>
      </c>
      <c r="BS25" s="203">
        <f t="array" ref="BS25">_xlfn.LET(
_xlpm.data,
_xlfn._xlws.FILTER(
Table9[Beneficiary Income (USD) / Project Cost],
ISNUMBER(Table9[Beneficiary Income (USD) / Project Cost])*
(Table9[Beneficiary Income (USD) / Project Cost]&gt;0)*
(Table9[Cost Quartiles]="2nd Quartile (25–50%)")
),
_xlpm.med,
MEDIAN(_xlpm.data),
_xlpm.mad,
MEDIAN(ABS(_xlpm.data-_xlpm.med)),
AVERAGE(
_xlfn._xlws.FILTER(
_xlpm.data,
ABS(_xlpm.data-_xlpm.med)&lt;=2.5*_xlpm.mad
)
)
)</f>
        <v>0.95032193379998353</v>
      </c>
      <c r="BT25" s="15">
        <f>BP25-BR25</f>
        <v>8</v>
      </c>
    </row>
    <row r="26" spans="2:72" x14ac:dyDescent="0.25">
      <c r="B26" s="206" t="s">
        <v>722</v>
      </c>
      <c r="C26" s="202">
        <f t="array" ref="C26">MEDIAN(_xlfn._xlws.FILTER(Table9[Income per beneficiary (USD)],(Table9[Income per beneficiary (USD)]&gt;0)*(Table9[Cost Quartiles]="3rd Quartile (50–75%)")))</f>
        <v>350.35714285714278</v>
      </c>
      <c r="D26" s="202">
        <f t="array" ref="D26">AVERAGE(_xlfn._xlws.FILTER(Table9[Income per beneficiary (USD)],(Table9[Income per beneficiary (USD)]&gt;0)*(Table9[Cost Quartiles]="3rd Quartile (50–75%)")))</f>
        <v>400.82154224953797</v>
      </c>
      <c r="E26" s="15">
        <f>COUNTIFS(Table9[Income per beneficiary (USD)],"&gt;0",Table9[Cost Quartiles],"3rd Quartile (50–75%)")</f>
        <v>9</v>
      </c>
      <c r="F26" s="195">
        <f t="array" ref="F26">_xlfn.LET(
_xlpm.data,_xlfn._xlws.FILTER(
Table9[Income per beneficiary (USD)],
(Table9[Income per beneficiary (USD)]&gt;0)*
(Table9[Cost Quartiles]="3rd Quartile (50–75%)")
),
_xlpm.med,MEDIAN(_xlpm.data),
_xlpm.mad,MEDIAN(ABS(_xlpm.data-_xlpm.med)),
SUMPRODUCT(--(ABS(_xlpm.data-_xlpm.med)&gt;2.5*_xlpm.mad))/COUNT(_xlpm.data)
)</f>
        <v>0</v>
      </c>
      <c r="G26" s="204">
        <f t="array" ref="G26">_xlfn.LET(
_xlpm.data,_xlfn._xlws.FILTER(
Table9[Income per beneficiary (USD)],
(Table9[Income per beneficiary (USD)]&gt;0)*
(Table9[Cost Quartiles]="3rd Quartile (50–75%)")
),
_xlpm.med,MEDIAN(_xlpm.data),
_xlpm.mad,MEDIAN(ABS(_xlpm.data-_xlpm.med)),
SUMPRODUCT(--(ABS(_xlpm.data-_xlpm.med)&gt;2.5*_xlpm.mad))
)</f>
        <v>0</v>
      </c>
      <c r="H26" s="202">
        <f t="array" ref="H26">_xlfn.LET(
_xlpm.data,_xlfn._xlws.FILTER(
Table9[Income per beneficiary (USD)],
(Table9[Income per beneficiary (USD)]&gt;0)*
(Table9[Cost Quartiles]="3rd Quartile (50–75%)")
),
_xlpm.med,MEDIAN(_xlpm.data),
_xlpm.mad,MEDIAN(ABS(_xlpm.data-_xlpm.med)),
AVERAGE(_xlfn._xlws.FILTER(_xlpm.data,ABS(_xlpm.data-_xlpm.med)&lt;=2.5*_xlpm.mad))
)</f>
        <v>400.82154224953797</v>
      </c>
      <c r="I26" s="202">
        <f>E26-G26</f>
        <v>9</v>
      </c>
      <c r="J26" s="130"/>
      <c r="K26" s="206" t="s">
        <v>722</v>
      </c>
      <c r="L26" s="203">
        <f t="array" ref="L26">MEDIAN(
_xlfn._xlws.FILTER(
Table9[Normalised Income Impact Ratio],
ISNUMBER(Table9[Normalised Income Impact Ratio])*
(Table9[Normalised Income Impact Ratio]&gt;0)*
(Table9[Cost Quartiles]="3rd Quartile (50–75%)")
)
)</f>
        <v>8.0657894736842109E-2</v>
      </c>
      <c r="M26" s="203">
        <f t="array" ref="M26">AVERAGE(
_xlfn._xlws.FILTER(
Table9[Normalised Income Impact Ratio],
ISNUMBER(Table9[Normalised Income Impact Ratio])*
(Table9[Normalised Income Impact Ratio]&gt;0)*
(Table9[Cost Quartiles]="3rd Quartile (50–75%)")
)
)</f>
        <v>0.13839658224684612</v>
      </c>
      <c r="N26" s="15">
        <f>COUNTIFS(
Table9[Normalised Income Impact Ratio],"&gt;0",
Table9[Cost Quartiles],"3rd Quartile (50–75%)"
)</f>
        <v>9</v>
      </c>
      <c r="O26" s="195">
        <f t="array" ref="O26">_xlfn.LET(
_xlpm.data,_xlfn._xlws.FILTER(
Table9[Normalised Income Impact Ratio],
ISNUMBER(Table9[Normalised Income Impact Ratio])*
(Table9[Normalised Income Impact Ratio]&gt;0)*
(Table9[Cost Quartiles]="3rd Quartile (50–75%)")
),
_xlpm.med,MEDIAN(_xlpm.data),
_xlpm.mad,MEDIAN(ABS(_xlpm.data-_xlpm.med)),
SUMPRODUCT(--(ABS(_xlpm.data-_xlpm.med)&gt;2.5*_xlpm.mad))/COUNT(_xlpm.data)
)</f>
        <v>0.22222222222222221</v>
      </c>
      <c r="P26" s="15">
        <f t="array" ref="P26">_xlfn.LET(
_xlpm.data,_xlfn._xlws.FILTER(
Table9[Normalised Income Impact Ratio],
ISNUMBER(Table9[Normalised Income Impact Ratio])*
(Table9[Normalised Income Impact Ratio]&gt;0)*
(Table9[Cost Quartiles]="3rd Quartile (50–75%)")
),
_xlpm.med,MEDIAN(_xlpm.data),
_xlpm.mad,MEDIAN(ABS(_xlpm.data-_xlpm.med)),
SUMPRODUCT(--(ABS(_xlpm.data-_xlpm.med)&gt;2.5*_xlpm.mad))
)</f>
        <v>2</v>
      </c>
      <c r="Q26" s="203">
        <f t="array" ref="Q26">_xlfn.LET(
_xlpm.data,_xlfn._xlws.FILTER(
Table9[Normalised Income Impact Ratio],
ISNUMBER(Table9[Normalised Income Impact Ratio])*
(Table9[Normalised Income Impact Ratio]&gt;0)*
(Table9[Cost Quartiles]="3rd Quartile (50–75%)")
),
_xlpm.med,MEDIAN(_xlpm.data),
_xlpm.mad,MEDIAN(ABS(_xlpm.data-_xlpm.med)),
AVERAGE(_xlfn._xlws.FILTER(_xlpm.data,ABS(_xlpm.data-_xlpm.med)&lt;=2.5*_xlpm.mad))
)</f>
        <v>6.1591796770617366E-2</v>
      </c>
      <c r="R26" s="15">
        <f>N26-P26</f>
        <v>7</v>
      </c>
      <c r="T26" s="206" t="s">
        <v>722</v>
      </c>
      <c r="U26" s="203">
        <f t="array" ref="U26">MEDIAN(
_xlfn._xlws.FILTER(
Table9[Private Sector Investment (USD) / Project cost ],
ISNUMBER(Table9[Private Sector Investment (USD) / Project cost ])*
(Table9[Private Sector Investment (USD) / Project cost ]&gt;0)*
(Table9[Cost Quartiles]="3rd Quartile (50–75%)")
)
)</f>
        <v>0.68600237051805535</v>
      </c>
      <c r="V26" s="203">
        <f t="array" ref="V26">AVERAGE(
_xlfn._xlws.FILTER(
Table9[Private Sector Investment (USD) / Project cost ],
ISNUMBER(Table9[Private Sector Investment (USD) / Project cost ])*
(Table9[Private Sector Investment (USD) / Project cost ]&gt;0)*
(Table9[Cost Quartiles]="3rd Quartile (50–75%)")
)
)</f>
        <v>2.6688375960842032</v>
      </c>
      <c r="W26" s="15">
        <f>COUNTIFS(
Table9[Private Sector Investment (USD) / Project cost ],"&gt;0",
Table9[Cost Quartiles],"3rd Quartile (50–75%)"
)</f>
        <v>18</v>
      </c>
      <c r="X26" s="195">
        <f t="array" ref="X26">_xlfn.LET(
_xlpm.data,_xlfn._xlws.FILTER(
Table9[Private Sector Investment (USD) / Project cost ],
ISNUMBER(Table9[Private Sector Investment (USD) / Project cost ])*
(Table9[Private Sector Investment (USD) / Project cost ]&gt;0)*
(Table9[Cost Quartiles]="3rd Quartile (50–75%)")
),
_xlpm.med,MEDIAN(_xlpm.data),
_xlpm.mad,MEDIAN(ABS(_xlpm.data-_xlpm.med)),
SUMPRODUCT(--(ABS(_xlpm.data-_xlpm.med)&gt;2.5*_xlpm.mad))/COUNT(_xlpm.data)
)</f>
        <v>0.22222222222222221</v>
      </c>
      <c r="Y26" s="15">
        <f t="array" ref="Y26">_xlfn.LET(
_xlpm.data,_xlfn._xlws.FILTER(
Table9[Private Sector Investment (USD) / Project cost ],
ISNUMBER(Table9[Private Sector Investment (USD) / Project cost ])*
(Table9[Private Sector Investment (USD) / Project cost ]&gt;0)*
(Table9[Cost Quartiles]="3rd Quartile (50–75%)")
),
_xlpm.med,MEDIAN(_xlpm.data),
_xlpm.mad,MEDIAN(ABS(_xlpm.data-_xlpm.med)),
SUMPRODUCT(--(ABS(_xlpm.data-_xlpm.med)&gt;2.5*_xlpm.mad))
)</f>
        <v>4</v>
      </c>
      <c r="Z26" s="203">
        <f t="array" ref="Z26">_xlfn.LET(
_xlpm.data,_xlfn._xlws.FILTER(
Table9[Private Sector Investment (USD) / Project cost ],
ISNUMBER(Table9[Private Sector Investment (USD) / Project cost ])*
(Table9[Private Sector Investment (USD) / Project cost ]&gt;0)*
(Table9[Cost Quartiles]="3rd Quartile (50–75%)")
),
_xlpm.med,MEDIAN(_xlpm.data),
_xlpm.mad,MEDIAN(ABS(_xlpm.data-_xlpm.med)),
AVERAGE(_xlfn._xlws.FILTER(_xlpm.data,ABS(_xlpm.data-_xlpm.med)&lt;=2.5*_xlpm.mad))
)</f>
        <v>0.60690639557495552</v>
      </c>
      <c r="AA26" s="15">
        <f>W26-Y26</f>
        <v>14</v>
      </c>
      <c r="AC26" s="206" t="s">
        <v>722</v>
      </c>
      <c r="AD26" s="203">
        <f t="array" ref="AD26">MEDIAN(
_xlfn._xlws.FILTER(
Table9[Private Sector Revenues Generated (USD) / Project cost],
ISNUMBER(Table9[Private Sector Revenues Generated (USD) / Project cost])*
(Table9[Private Sector Revenues Generated (USD) / Project cost]&gt;0)*
(Table9[Cost Quartiles]="3rd Quartile (50–75%)")
)
)</f>
        <v>0.82296650717703346</v>
      </c>
      <c r="AE26" s="203">
        <f t="array" ref="AE26">AVERAGE(
_xlfn._xlws.FILTER(
Table9[Private Sector Revenues Generated (USD) / Project cost],
ISNUMBER(Table9[Private Sector Revenues Generated (USD) / Project cost])*
(Table9[Private Sector Revenues Generated (USD) / Project cost]&gt;0)*
(Table9[Cost Quartiles]="3rd Quartile (50–75%)")
)
)</f>
        <v>3.894956753599037</v>
      </c>
      <c r="AF26" s="15">
        <f>COUNTIFS(
Table9[Private Sector Revenues Generated (USD) / Project cost],"&gt;0",
Table9[Cost Quartiles],"3rd Quartile (50–75%)"
)</f>
        <v>15</v>
      </c>
      <c r="AG26" s="195">
        <f t="array" ref="AG26">_xlfn.LET(
_xlpm.data,_xlfn._xlws.FILTER(
Table9[Private Sector Revenues Generated (USD) / Project cost],
ISNUMBER(Table9[Private Sector Revenues Generated (USD) / Project cost])*
(Table9[Private Sector Revenues Generated (USD) / Project cost]&gt;0)*
(Table9[Cost Quartiles]="3rd Quartile (50–75%)")
),
_xlpm.med,MEDIAN(_xlpm.data),
_xlpm.mad,MEDIAN(ABS(_xlpm.data-_xlpm.med)),
SUMPRODUCT(--(ABS(_xlpm.data-_xlpm.med)&gt;2.5*_xlpm.mad))/COUNT(_xlpm.data)
)</f>
        <v>0.26666666666666666</v>
      </c>
      <c r="AH26" s="15">
        <f t="array" ref="AH26">_xlfn.LET(
_xlpm.data,_xlfn._xlws.FILTER(
Table9[Private Sector Revenues Generated (USD) / Project cost],
ISNUMBER(Table9[Private Sector Revenues Generated (USD) / Project cost])*
(Table9[Private Sector Revenues Generated (USD) / Project cost]&gt;0)*
(Table9[Cost Quartiles]="3rd Quartile (50–75%)")
),
_xlpm.med,MEDIAN(_xlpm.data),
_xlpm.mad,MEDIAN(ABS(_xlpm.data-_xlpm.med)),
SUMPRODUCT(--(ABS(_xlpm.data-_xlpm.med)&gt;2.5*_xlpm.mad))
)</f>
        <v>4</v>
      </c>
      <c r="AI26" s="203">
        <f t="array" ref="AI26">_xlfn.LET(
_xlpm.data,_xlfn._xlws.FILTER(
Table9[Private Sector Revenues Generated (USD) / Project cost],
ISNUMBER(Table9[Private Sector Revenues Generated (USD) / Project cost])*
(Table9[Private Sector Revenues Generated (USD) / Project cost]&gt;0)*
(Table9[Cost Quartiles]="3rd Quartile (50–75%)")
),
_xlpm.med,MEDIAN(_xlpm.data),
_xlpm.mad,MEDIAN(ABS(_xlpm.data-_xlpm.med)),
AVERAGE(_xlfn._xlws.FILTER(_xlpm.data,ABS(_xlpm.data-_xlpm.med)&lt;=2.5*_xlpm.mad))
)</f>
        <v>0.75290243002258994</v>
      </c>
      <c r="AJ26" s="15">
        <f>AF26-AH26</f>
        <v>11</v>
      </c>
      <c r="AL26" s="206" t="s">
        <v>722</v>
      </c>
      <c r="AM26" s="198">
        <f t="array" ref="AM26">MEDIAN(
_xlfn._xlws.FILTER(
Table9[Export Revenue Generated (USD) /Project Cost],
ISNUMBER(Table9[Export Revenue Generated (USD) /Project Cost])*
(Table9[Export Revenue Generated (USD) /Project Cost]&gt;0)*
(Table9[Cost Quartiles]="3rd Quartile (50–75%)")
)
)</f>
        <v>1.340712426989807</v>
      </c>
      <c r="AN26" s="198">
        <f t="array" ref="AN26">AVERAGE(
_xlfn._xlws.FILTER(
Table9[Export Revenue Generated (USD) /Project Cost],
ISNUMBER(Table9[Export Revenue Generated (USD) /Project Cost])*
(Table9[Export Revenue Generated (USD) /Project Cost]&gt;0)*
(Table9[Cost Quartiles]="3rd Quartile (50–75%)")
)
)</f>
        <v>16.337842033758122</v>
      </c>
      <c r="AO26" s="15">
        <f>COUNTIFS(
Table9[Export Revenue Generated (USD) /Project Cost],"&gt;0",
Table9[Cost Quartiles],"3rd Quartile (50–75%)"
)</f>
        <v>6</v>
      </c>
      <c r="AP26" s="195">
        <f t="array" ref="AP26">_xlfn.LET(
_xlpm.data,_xlfn._xlws.FILTER(
Table9[Export Revenue Generated (USD) /Project Cost],
ISNUMBER(Table9[Export Revenue Generated (USD) /Project Cost])*
(Table9[Export Revenue Generated (USD) /Project Cost]&gt;0)*
(Table9[Cost Quartiles]="3rd Quartile (50–75%)")
),
_xlpm.med,MEDIAN(_xlpm.data),
_xlpm.mad,MEDIAN(ABS(_xlpm.data-_xlpm.med)),
SUMPRODUCT(--(ABS(_xlpm.data-_xlpm.med)&gt;2.5*_xlpm.mad))/COUNT(_xlpm.data)
)</f>
        <v>0.33333333333333331</v>
      </c>
      <c r="AQ26" s="15">
        <f t="array" ref="AQ26">_xlfn.LET(
_xlpm.data,_xlfn._xlws.FILTER(
Table9[Export Revenue Generated (USD) /Project Cost],
ISNUMBER(Table9[Export Revenue Generated (USD) /Project Cost])*
(Table9[Export Revenue Generated (USD) /Project Cost]&gt;0)*
(Table9[Cost Quartiles]="3rd Quartile (50–75%)")
),
_xlpm.med,MEDIAN(_xlpm.data),
_xlpm.mad,MEDIAN(ABS(_xlpm.data-_xlpm.med)),
SUMPRODUCT(--(ABS(_xlpm.data-_xlpm.med)&gt;2.5*_xlpm.mad))
)</f>
        <v>2</v>
      </c>
      <c r="AR26" s="203">
        <f t="array" ref="AR26">_xlfn.LET(
_xlpm.data,_xlfn._xlws.FILTER(
Table9[Export Revenue Generated (USD) /Project Cost],
ISNUMBER(Table9[Export Revenue Generated (USD) /Project Cost])*
(Table9[Export Revenue Generated (USD) /Project Cost]&gt;0)*
(Table9[Cost Quartiles]="3rd Quartile (50–75%)")
),
_xlpm.med,MEDIAN(_xlpm.data),
_xlpm.mad,MEDIAN(ABS(_xlpm.data-_xlpm.med)),
AVERAGE(_xlfn._xlws.FILTER(_xlpm.data,ABS(_xlpm.data-_xlpm.med)&lt;=2.5*_xlpm.mad))
)</f>
        <v>0.69925959883979449</v>
      </c>
      <c r="AS26" s="15">
        <f>AO26-AQ26</f>
        <v>4</v>
      </c>
      <c r="AU26" s="206" t="s">
        <v>722</v>
      </c>
      <c r="AV26" s="202">
        <f t="array" ref="AV26">MEDIAN(
_xlfn._xlws.FILTER(
Table9[Job created per $Mn],
ISNUMBER(Table9[Job created per $Mn])*
(Table9[Job created per $Mn]&gt;0)*
(Table9[Cost Quartiles]="3rd Quartile (50–75%)")
)
)</f>
        <v>466.26765135529945</v>
      </c>
      <c r="AW26" s="202">
        <f t="array" ref="AW26">AVERAGE(
_xlfn._xlws.FILTER(
Table9[Job created per $Mn],
ISNUMBER(Table9[Job created per $Mn])*
(Table9[Job created per $Mn]&gt;0)*
(Table9[Cost Quartiles]="3rd Quartile (50–75%)")
)
)</f>
        <v>1543.3222395381026</v>
      </c>
      <c r="AX26" s="15">
        <f>COUNTIFS(
Table9[Job created per $Mn],"&gt;0",
Table9[Cost Quartiles],"3rd Quartile (50–75%)"
)</f>
        <v>12</v>
      </c>
      <c r="AY26" s="195">
        <f t="array" ref="AY26">_xlfn.LET(
_xlpm.data,
_xlfn._xlws.FILTER(
Table9[Job created per $Mn],
ISNUMBER(Table9[Job created per $Mn])*
(Table9[Job created per $Mn]&gt;0)*
(Table9[Cost Quartiles]="3rd Quartile (50–75%)")
),
_xlpm.med,
MEDIAN(_xlpm.data),
_xlpm.mad,
MEDIAN(ABS(_xlpm.data-_xlpm.med)),
SUMPRODUCT(--(ABS(_xlpm.data-_xlpm.med)&gt;2.5*_xlpm.mad))/COUNT(_xlpm.data)
)</f>
        <v>0.25</v>
      </c>
      <c r="AZ26" s="15">
        <f t="array" ref="AZ26">_xlfn.LET(
_xlpm.data,
_xlfn._xlws.FILTER(
Table9[Job created per $Mn],
ISNUMBER(Table9[Job created per $Mn])*
(Table9[Job created per $Mn]&gt;0)*
(Table9[Cost Quartiles]="3rd Quartile (50–75%)")
),
_xlpm.med,
MEDIAN(_xlpm.data),
_xlpm.mad,
MEDIAN(ABS(_xlpm.data-_xlpm.med)),
SUMPRODUCT(--(ABS(_xlpm.data-_xlpm.med)&gt;2.5*_xlpm.mad))
)</f>
        <v>3</v>
      </c>
      <c r="BA26" s="202">
        <f t="array" ref="BA26">_xlfn.LET(
_xlpm.data,
_xlfn._xlws.FILTER(
Table9[Job created per $Mn],
ISNUMBER(Table9[Job created per $Mn])*
(Table9[Job created per $Mn]&gt;0)*
(Table9[Cost Quartiles]="3rd Quartile (50–75%)")
),
_xlpm.med,
MEDIAN(_xlpm.data),
_xlpm.mad,
MEDIAN(ABS(_xlpm.data-_xlpm.med)),
AVERAGE(
_xlfn._xlws.FILTER(
_xlpm.data,
ABS(_xlpm.data-_xlpm.med)&lt;=2.5*_xlpm.mad
)
)
)</f>
        <v>378.70915549932164</v>
      </c>
      <c r="BB26" s="15">
        <f>AX26-AZ26</f>
        <v>9</v>
      </c>
      <c r="BD26" s="206" t="s">
        <v>722</v>
      </c>
      <c r="BE26" s="202">
        <f t="array" ref="BE26">MEDIAN(
_xlfn._xlws.FILTER(
Table9[Job improved per $Mn],
ISNUMBER(Table9[Job improved per $Mn])*
(Table9[Job improved per $Mn]&gt;0)*
(Table9[Cost Quartiles]="3rd Quartile (50–75%)")
)
)</f>
        <v>1781.818181818182</v>
      </c>
      <c r="BF26" s="202">
        <f t="array" ref="BF26">AVERAGE(
_xlfn._xlws.FILTER(
Table9[Job improved per $Mn],
ISNUMBER(Table9[Job improved per $Mn])*
(Table9[Job improved per $Mn]&gt;0)*
(Table9[Cost Quartiles]="3rd Quartile (50–75%)")
)
)</f>
        <v>5896.192560564431</v>
      </c>
      <c r="BG26" s="15">
        <f>COUNTIFS(
Table9[Job improved per $Mn],"&gt;0",
Table9[Cost Quartiles],"3rd Quartile (50–75%)"
)</f>
        <v>15</v>
      </c>
      <c r="BH26" s="195">
        <f t="array" ref="BH26">_xlfn.LET(
_xlpm.data,
_xlfn._xlws.FILTER(
Table9[Job improved per $Mn],
ISNUMBER(Table9[Job improved per $Mn])*
(Table9[Job improved per $Mn]&gt;0)*
(Table9[Cost Quartiles]="3rd Quartile (50–75%)")
),
_xlpm.med,
MEDIAN(_xlpm.data),
_xlpm.mad,
MEDIAN(ABS(_xlpm.data-_xlpm.med)),
SUMPRODUCT(--(ABS(_xlpm.data-_xlpm.med)&gt;2.5*_xlpm.mad))/COUNT(_xlpm.data)
)</f>
        <v>0.4</v>
      </c>
      <c r="BI26" s="15">
        <f t="array" ref="BI26">_xlfn.LET(
_xlpm.data,
_xlfn._xlws.FILTER(
Table9[Job improved per $Mn],
ISNUMBER(Table9[Job improved per $Mn])*
(Table9[Job improved per $Mn]&gt;0)*
(Table9[Cost Quartiles]="3rd Quartile (50–75%)")
),
_xlpm.med,
MEDIAN(_xlpm.data),
_xlpm.mad,
MEDIAN(ABS(_xlpm.data-_xlpm.med)),
SUMPRODUCT(--(ABS(_xlpm.data-_xlpm.med)&gt;2.5*_xlpm.mad))
)</f>
        <v>6</v>
      </c>
      <c r="BJ26" s="202">
        <f t="array" ref="BJ26">_xlfn.LET(
_xlpm.data,
_xlfn._xlws.FILTER(
Table9[Job improved per $Mn],
ISNUMBER(Table9[Job improved per $Mn])*
(Table9[Job improved per $Mn]&gt;0)*
(Table9[Cost Quartiles]="3rd Quartile (50–75%)")
),
_xlpm.med,
MEDIAN(_xlpm.data),
_xlpm.mad,
MEDIAN(ABS(_xlpm.data-_xlpm.med)),
AVERAGE(
_xlfn._xlws.FILTER(
_xlpm.data,
ABS(_xlpm.data-_xlpm.med)&lt;=2.5*_xlpm.mad
)
)
)</f>
        <v>984.61092739725973</v>
      </c>
      <c r="BK26" s="15">
        <f>BG26-BI26</f>
        <v>9</v>
      </c>
      <c r="BM26" s="206" t="s">
        <v>722</v>
      </c>
      <c r="BN26" s="203">
        <f t="array" ref="BN26">MEDIAN(
_xlfn._xlws.FILTER(
Table9[Beneficiary Income (USD) / Project Cost],
ISNUMBER(Table9[Beneficiary Income (USD) / Project Cost])*
(Table9[Beneficiary Income (USD) / Project Cost]&gt;0)*
(Table9[Cost Quartiles]="3rd Quartile (50–75%)")
)
)</f>
        <v>1.832535885167464</v>
      </c>
      <c r="BO26" s="203">
        <f t="array" ref="BO26">AVERAGE(
_xlfn._xlws.FILTER(
Table9[Beneficiary Income (USD) / Project Cost],
ISNUMBER(Table9[Beneficiary Income (USD) / Project Cost])*
(Table9[Beneficiary Income (USD) / Project Cost]&gt;0)*
(Table9[Cost Quartiles]="3rd Quartile (50–75%)")
)
)</f>
        <v>2.0106219542089301</v>
      </c>
      <c r="BP26" s="15">
        <f>COUNTIFS(
Table9[Beneficiary Income (USD) / Project Cost],"&gt;0",
Table9[Cost Quartiles],"3rd Quartile (50–75%)"
)</f>
        <v>9</v>
      </c>
      <c r="BQ26" s="195">
        <f t="array" ref="BQ26">_xlfn.LET(
_xlpm.data,
_xlfn._xlws.FILTER(
Table9[Beneficiary Income (USD) / Project Cost],
ISNUMBER(Table9[Beneficiary Income (USD) / Project Cost])*
(Table9[Beneficiary Income (USD) / Project Cost]&gt;0)*
(Table9[Cost Quartiles]="3rd Quartile (50–75%)")
),
_xlpm.med,
MEDIAN(_xlpm.data),
_xlpm.mad,
MEDIAN(ABS(_xlpm.data-_xlpm.med)),
SUMPRODUCT(--(ABS(_xlpm.data-_xlpm.med)&gt;2.5*_xlpm.mad))/COUNT(_xlpm.data)
)</f>
        <v>0.1111111111111111</v>
      </c>
      <c r="BR26" s="15">
        <f t="array" ref="BR26">_xlfn.LET(
_xlpm.data,
_xlfn._xlws.FILTER(
Table9[Beneficiary Income (USD) / Project Cost],
ISNUMBER(Table9[Beneficiary Income (USD) / Project Cost])*
(Table9[Beneficiary Income (USD) / Project Cost]&gt;0)*
(Table9[Cost Quartiles]="3rd Quartile (50–75%)")
),
_xlpm.med,
MEDIAN(_xlpm.data),
_xlpm.mad,
MEDIAN(ABS(_xlpm.data-_xlpm.med)),
SUMPRODUCT(--(ABS(_xlpm.data-_xlpm.med)&gt;2.5*_xlpm.mad))
)</f>
        <v>1</v>
      </c>
      <c r="BS26" s="203">
        <f t="array" ref="BS26">_xlfn.LET(
_xlpm.data,
_xlfn._xlws.FILTER(
Table9[Beneficiary Income (USD) / Project Cost],
ISNUMBER(Table9[Beneficiary Income (USD) / Project Cost])*
(Table9[Beneficiary Income (USD) / Project Cost]&gt;0)*
(Table9[Cost Quartiles]="3rd Quartile (50–75%)")
),
_xlpm.med,
MEDIAN(_xlpm.data),
_xlpm.mad,
MEDIAN(ABS(_xlpm.data-_xlpm.med)),
AVERAGE(
_xlfn._xlws.FILTER(
_xlpm.data,
ABS(_xlpm.data-_xlpm.med)&lt;=2.5*_xlpm.mad
)
)
)</f>
        <v>1.7013500060626776</v>
      </c>
      <c r="BT26" s="15">
        <f>BP26-BR26</f>
        <v>8</v>
      </c>
    </row>
    <row r="27" spans="2:72" x14ac:dyDescent="0.25">
      <c r="B27" s="206" t="s">
        <v>723</v>
      </c>
      <c r="C27" s="202">
        <f t="array" ref="C27">MEDIAN(_xlfn._xlws.FILTER(Table9[Income per beneficiary (USD)],(Table9[Income per beneficiary (USD)]&gt;0)*(Table9[Cost Quartiles]="4th Quartile (Highest 25%)")))</f>
        <v>87.461244316931172</v>
      </c>
      <c r="D27" s="202">
        <f t="array" ref="D27">AVERAGE(_xlfn._xlws.FILTER(Table9[Income per beneficiary (USD)],(Table9[Income per beneficiary (USD)]&gt;0)*(Table9[Cost Quartiles]="4th Quartile (Highest 25%)")))</f>
        <v>518.7127237111489</v>
      </c>
      <c r="E27" s="15">
        <f>COUNTIFS(Table9[Income per beneficiary (USD)],"&gt;0",Table9[Cost Quartiles],"4th Quartile (Highest 25%)")</f>
        <v>11</v>
      </c>
      <c r="F27" s="195">
        <f t="array" ref="F27">_xlfn.LET(
_xlpm.data,_xlfn._xlws.FILTER(
Table9[Income per beneficiary (USD)],
(Table9[Income per beneficiary (USD)]&gt;0)*
(Table9[Cost Quartiles]="4th Quartile (Highest 25%)")
),
_xlpm.med,MEDIAN(_xlpm.data),
_xlpm.mad,MEDIAN(ABS(_xlpm.data-_xlpm.med)),
SUMPRODUCT(--(ABS(_xlpm.data-_xlpm.med)&gt;2.5*_xlpm.mad))/COUNT(_xlpm.data)
)</f>
        <v>0.36363636363636365</v>
      </c>
      <c r="G27" s="15">
        <f t="array" ref="G27">_xlfn.LET(
_xlpm.data,_xlfn._xlws.FILTER(
Table9[Income per beneficiary (USD)],
(Table9[Income per beneficiary (USD)]&gt;0)*
(Table9[Cost Quartiles]="4th Quartile (Highest 25%)")
),
_xlpm.med,MEDIAN(_xlpm.data),
_xlpm.mad,MEDIAN(ABS(_xlpm.data-_xlpm.med)),
SUMPRODUCT(--(ABS(_xlpm.data-_xlpm.med)&gt;2.5*_xlpm.mad))
)</f>
        <v>4</v>
      </c>
      <c r="H27" s="202">
        <f t="array" ref="H27">_xlfn.LET(
_xlpm.data,_xlfn._xlws.FILTER(
Table9[Income per beneficiary (USD)],
(Table9[Income per beneficiary (USD)]&gt;0)*
(Table9[Cost Quartiles]="4th Quartile (Highest 25%)")
),
_xlpm.med,MEDIAN(_xlpm.data),
_xlpm.mad,MEDIAN(ABS(_xlpm.data-_xlpm.med)),
AVERAGE(_xlfn._xlws.FILTER(_xlpm.data,ABS(_xlpm.data-_xlpm.med)&lt;=2.5*_xlpm.mad))
)</f>
        <v>75.354174530961473</v>
      </c>
      <c r="I27" s="202">
        <f>E27-G27</f>
        <v>7</v>
      </c>
      <c r="J27" s="130"/>
      <c r="K27" s="206" t="s">
        <v>723</v>
      </c>
      <c r="L27" s="203">
        <f t="array" ref="L27">MEDIAN(
_xlfn._xlws.FILTER(
Table9[Normalised Income Impact Ratio],
ISNUMBER(Table9[Normalised Income Impact Ratio])*
(Table9[Normalised Income Impact Ratio]&gt;0)*
(Table9[Cost Quartiles]="4th Quartile (Highest 25%)")
)
)</f>
        <v>1.4928784258192673E-2</v>
      </c>
      <c r="M27" s="203">
        <f t="array" ref="M27">AVERAGE(
_xlfn._xlws.FILTER(
Table9[Normalised Income Impact Ratio],
ISNUMBER(Table9[Normalised Income Impact Ratio])*
(Table9[Normalised Income Impact Ratio]&gt;0)*
(Table9[Cost Quartiles]="4th Quartile (Highest 25%)")
)
)</f>
        <v>7.0250568250519438E-2</v>
      </c>
      <c r="N27" s="15">
        <f>COUNTIFS(
Table9[Normalised Income Impact Ratio],"&gt;0",
Table9[Cost Quartiles],"4th Quartile (Highest 25%)"
)</f>
        <v>11</v>
      </c>
      <c r="O27" s="195">
        <f t="array" ref="O27">_xlfn.LET(
_xlpm.data,_xlfn._xlws.FILTER(
Table9[Normalised Income Impact Ratio],
ISNUMBER(Table9[Normalised Income Impact Ratio])*
(Table9[Normalised Income Impact Ratio]&gt;0)*
(Table9[Cost Quartiles]="4th Quartile (Highest 25%)")
),
_xlpm.med,MEDIAN(_xlpm.data),
_xlpm.mad,MEDIAN(ABS(_xlpm.data-_xlpm.med)),
SUMPRODUCT(--(ABS(_xlpm.data-_xlpm.med)&gt;2.5*_xlpm.mad))/COUNT(_xlpm.data)
)</f>
        <v>0.18181818181818182</v>
      </c>
      <c r="P27" s="15">
        <f t="array" ref="P27">_xlfn.LET(
_xlpm.data,_xlfn._xlws.FILTER(
Table9[Normalised Income Impact Ratio],
ISNUMBER(Table9[Normalised Income Impact Ratio])*
(Table9[Normalised Income Impact Ratio]&gt;0)*
(Table9[Cost Quartiles]="4th Quartile (Highest 25%)")
),
_xlpm.med,MEDIAN(_xlpm.data),
_xlpm.mad,MEDIAN(ABS(_xlpm.data-_xlpm.med)),
SUMPRODUCT(--(ABS(_xlpm.data-_xlpm.med)&gt;2.5*_xlpm.mad))
)</f>
        <v>2</v>
      </c>
      <c r="Q27" s="203">
        <f t="array" ref="Q27">_xlfn.LET(
_xlpm.data,_xlfn._xlws.FILTER(
Table9[Normalised Income Impact Ratio],
ISNUMBER(Table9[Normalised Income Impact Ratio])*
(Table9[Normalised Income Impact Ratio]&gt;0)*
(Table9[Cost Quartiles]="4th Quartile (Highest 25%)")
),
_xlpm.med,MEDIAN(_xlpm.data),
_xlpm.mad,MEDIAN(ABS(_xlpm.data-_xlpm.med)),
AVERAGE(_xlfn._xlws.FILTER(_xlpm.data,ABS(_xlpm.data-_xlpm.med)&lt;=2.5*_xlpm.mad))
)</f>
        <v>1.4157635471086965E-2</v>
      </c>
      <c r="R27" s="15">
        <f>N27-P27</f>
        <v>9</v>
      </c>
      <c r="T27" s="206" t="s">
        <v>723</v>
      </c>
      <c r="U27" s="203">
        <f t="array" ref="U27">MEDIAN(
_xlfn._xlws.FILTER(
Table9[Private Sector Investment (USD) / Project cost ],
ISNUMBER(Table9[Private Sector Investment (USD) / Project cost ])*
(Table9[Private Sector Investment (USD) / Project cost ]&gt;0)*
(Table9[Cost Quartiles]="4th Quartile (Highest 25%)")
)
)</f>
        <v>0.52136840328265355</v>
      </c>
      <c r="V27" s="203">
        <f t="array" ref="V27">AVERAGE(
_xlfn._xlws.FILTER(
Table9[Private Sector Investment (USD) / Project cost ],
ISNUMBER(Table9[Private Sector Investment (USD) / Project cost ])*
(Table9[Private Sector Investment (USD) / Project cost ]&gt;0)*
(Table9[Cost Quartiles]="4th Quartile (Highest 25%)")
)
)</f>
        <v>1.1382875057331798</v>
      </c>
      <c r="W27" s="15">
        <f>COUNTIFS(
Table9[Private Sector Investment (USD) / Project cost ],"&gt;0",
Table9[Cost Quartiles],"4th Quartile (Highest 25%)"
)</f>
        <v>16</v>
      </c>
      <c r="X27" s="195">
        <f t="array" ref="X27">_xlfn.LET(
_xlpm.data,_xlfn._xlws.FILTER(
Table9[Private Sector Investment (USD) / Project cost ],
ISNUMBER(Table9[Private Sector Investment (USD) / Project cost ])*
(Table9[Private Sector Investment (USD) / Project cost ]&gt;0)*
(Table9[Cost Quartiles]="4th Quartile (Highest 25%)")
),
_xlpm.med,MEDIAN(_xlpm.data),
_xlpm.mad,MEDIAN(ABS(_xlpm.data-_xlpm.med)),
SUMPRODUCT(--(ABS(_xlpm.data-_xlpm.med)&gt;2.5*_xlpm.mad))/COUNT(_xlpm.data)
)</f>
        <v>0.125</v>
      </c>
      <c r="Y27" s="15">
        <f t="array" ref="Y27">_xlfn.LET(
_xlpm.data,_xlfn._xlws.FILTER(
Table9[Private Sector Investment (USD) / Project cost ],
ISNUMBER(Table9[Private Sector Investment (USD) / Project cost ])*
(Table9[Private Sector Investment (USD) / Project cost ]&gt;0)*
(Table9[Cost Quartiles]="4th Quartile (Highest 25%)")
),
_xlpm.med,MEDIAN(_xlpm.data),
_xlpm.mad,MEDIAN(ABS(_xlpm.data-_xlpm.med)),
SUMPRODUCT(--(ABS(_xlpm.data-_xlpm.med)&gt;2.5*_xlpm.mad))
)</f>
        <v>2</v>
      </c>
      <c r="Z27" s="203">
        <f t="array" ref="Z27">_xlfn.LET(
_xlpm.data,_xlfn._xlws.FILTER(
Table9[Private Sector Investment (USD) / Project cost ],
ISNUMBER(Table9[Private Sector Investment (USD) / Project cost ])*
(Table9[Private Sector Investment (USD) / Project cost ]&gt;0)*
(Table9[Cost Quartiles]="4th Quartile (Highest 25%)")
),
_xlpm.med,MEDIAN(_xlpm.data),
_xlpm.mad,MEDIAN(ABS(_xlpm.data-_xlpm.med)),
AVERAGE(_xlfn._xlws.FILTER(_xlpm.data,ABS(_xlpm.data-_xlpm.med)&lt;=2.5*_xlpm.mad))
)</f>
        <v>0.54620031738909847</v>
      </c>
      <c r="AA27" s="15">
        <f>W27-Y27</f>
        <v>14</v>
      </c>
      <c r="AC27" s="206" t="s">
        <v>723</v>
      </c>
      <c r="AD27" s="203">
        <f t="array" ref="AD27">MEDIAN(
_xlfn._xlws.FILTER(
Table9[Private Sector Revenues Generated (USD) / Project cost],
ISNUMBER(Table9[Private Sector Revenues Generated (USD) / Project cost])*
(Table9[Private Sector Revenues Generated (USD) / Project cost]&gt;0)*
(Table9[Cost Quartiles]="4th Quartile (Highest 25%)")
)
)</f>
        <v>1.846845771728908</v>
      </c>
      <c r="AE27" s="203">
        <f t="array" ref="AE27">AVERAGE(
_xlfn._xlws.FILTER(
Table9[Private Sector Revenues Generated (USD) / Project cost],
ISNUMBER(Table9[Private Sector Revenues Generated (USD) / Project cost])*
(Table9[Private Sector Revenues Generated (USD) / Project cost]&gt;0)*
(Table9[Cost Quartiles]="4th Quartile (Highest 25%)")
)
)</f>
        <v>2.2410426125816882</v>
      </c>
      <c r="AF27" s="15">
        <f>COUNTIFS(
Table9[Private Sector Revenues Generated (USD) / Project cost],"&gt;0",
Table9[Cost Quartiles],"4th Quartile (Highest 25%)"
)</f>
        <v>14</v>
      </c>
      <c r="AG27" s="195">
        <f t="array" ref="AG27">_xlfn.LET(
_xlpm.data,_xlfn._xlws.FILTER(
Table9[Private Sector Revenues Generated (USD) / Project cost],
ISNUMBER(Table9[Private Sector Revenues Generated (USD) / Project cost])*
(Table9[Private Sector Revenues Generated (USD) / Project cost]&gt;0)*
(Table9[Cost Quartiles]="4th Quartile (Highest 25%)")
),
_xlpm.med,MEDIAN(_xlpm.data),
_xlpm.mad,MEDIAN(ABS(_xlpm.data-_xlpm.med)),
SUMPRODUCT(--(ABS(_xlpm.data-_xlpm.med)&gt;2.5*_xlpm.mad))/COUNT(_xlpm.data)
)</f>
        <v>7.1428571428571425E-2</v>
      </c>
      <c r="AH27" s="15">
        <f t="array" ref="AH27">_xlfn.LET(
_xlpm.data,_xlfn._xlws.FILTER(
Table9[Private Sector Revenues Generated (USD) / Project cost],
ISNUMBER(Table9[Private Sector Revenues Generated (USD) / Project cost])*
(Table9[Private Sector Revenues Generated (USD) / Project cost]&gt;0)*
(Table9[Cost Quartiles]="4th Quartile (Highest 25%)")
),
_xlpm.med,MEDIAN(_xlpm.data),
_xlpm.mad,MEDIAN(ABS(_xlpm.data-_xlpm.med)),
SUMPRODUCT(--(ABS(_xlpm.data-_xlpm.med)&gt;2.5*_xlpm.mad))
)</f>
        <v>1</v>
      </c>
      <c r="AI27" s="203">
        <f t="array" ref="AI27">_xlfn.LET(
_xlpm.data,_xlfn._xlws.FILTER(
Table9[Private Sector Revenues Generated (USD) / Project cost],
ISNUMBER(Table9[Private Sector Revenues Generated (USD) / Project cost])*
(Table9[Private Sector Revenues Generated (USD) / Project cost]&gt;0)*
(Table9[Cost Quartiles]="4th Quartile (Highest 25%)")
),
_xlpm.med,MEDIAN(_xlpm.data),
_xlpm.mad,MEDIAN(ABS(_xlpm.data-_xlpm.med)),
AVERAGE(_xlfn._xlws.FILTER(_xlpm.data,ABS(_xlpm.data-_xlpm.med)&lt;=2.5*_xlpm.mad))
)</f>
        <v>1.6250745576543071</v>
      </c>
      <c r="AJ27" s="15">
        <f>AF27-AH27</f>
        <v>13</v>
      </c>
      <c r="AL27" s="206" t="s">
        <v>723</v>
      </c>
      <c r="AM27" s="198">
        <f t="array" ref="AM27">MEDIAN(
_xlfn._xlws.FILTER(
Table9[Export Revenue Generated (USD) /Project Cost],
ISNUMBER(Table9[Export Revenue Generated (USD) /Project Cost])*
(Table9[Export Revenue Generated (USD) /Project Cost]&gt;0)*
(Table9[Cost Quartiles]="4th Quartile (Highest 25%)")
)
)</f>
        <v>9.1394616883116897E-2</v>
      </c>
      <c r="AN27" s="198">
        <f t="array" ref="AN27">AVERAGE(
_xlfn._xlws.FILTER(
Table9[Export Revenue Generated (USD) /Project Cost],
ISNUMBER(Table9[Export Revenue Generated (USD) /Project Cost])*
(Table9[Export Revenue Generated (USD) /Project Cost]&gt;0)*
(Table9[Cost Quartiles]="4th Quartile (Highest 25%)")
)
)</f>
        <v>0.16611637651248737</v>
      </c>
      <c r="AO27" s="15">
        <f>COUNTIFS(
Table9[Export Revenue Generated (USD) /Project Cost],"&gt;0",
Table9[Cost Quartiles],"4th Quartile (Highest 25%)"
)</f>
        <v>4</v>
      </c>
      <c r="AP27" s="195">
        <f t="array" ref="AP27">_xlfn.LET(
_xlpm.data,_xlfn._xlws.FILTER(
Table9[Export Revenue Generated (USD) /Project Cost],
ISNUMBER(Table9[Export Revenue Generated (USD) /Project Cost])*
(Table9[Export Revenue Generated (USD) /Project Cost]&gt;0)*
(Table9[Cost Quartiles]="4th Quartile (Highest 25%)")
),
_xlpm.med,MEDIAN(_xlpm.data),
_xlpm.mad,MEDIAN(ABS(_xlpm.data-_xlpm.med)),
SUMPRODUCT(--(ABS(_xlpm.data-_xlpm.med)&gt;2.5*_xlpm.mad))/COUNT(_xlpm.data)
)</f>
        <v>0.25</v>
      </c>
      <c r="AQ27" s="15">
        <f t="array" ref="AQ27">_xlfn.LET(
_xlpm.data,_xlfn._xlws.FILTER(
Table9[Export Revenue Generated (USD) /Project Cost],
ISNUMBER(Table9[Export Revenue Generated (USD) /Project Cost])*
(Table9[Export Revenue Generated (USD) /Project Cost]&gt;0)*
(Table9[Cost Quartiles]="4th Quartile (Highest 25%)")
),
_xlpm.med,MEDIAN(_xlpm.data),
_xlpm.mad,MEDIAN(ABS(_xlpm.data-_xlpm.med)),
SUMPRODUCT(--(ABS(_xlpm.data-_xlpm.med)&gt;2.5*_xlpm.mad))
)</f>
        <v>1</v>
      </c>
      <c r="AR27" s="203">
        <f t="array" ref="AR27">_xlfn.LET(
_xlpm.data,_xlfn._xlws.FILTER(
Table9[Export Revenue Generated (USD) /Project Cost],
ISNUMBER(Table9[Export Revenue Generated (USD) /Project Cost])*
(Table9[Export Revenue Generated (USD) /Project Cost]&gt;0)*
(Table9[Cost Quartiles]="4th Quartile (Highest 25%)")
),
_xlpm.med,MEDIAN(_xlpm.data),
_xlpm.mad,MEDIAN(ABS(_xlpm.data-_xlpm.med)),
AVERAGE(_xlfn._xlws.FILTER(_xlpm.data,ABS(_xlpm.data-_xlpm.med)&lt;=2.5*_xlpm.mad))
)</f>
        <v>7.4821835349983157E-2</v>
      </c>
      <c r="AS27" s="15">
        <f>AO27-AQ27</f>
        <v>3</v>
      </c>
      <c r="AU27" s="206" t="s">
        <v>723</v>
      </c>
      <c r="AV27" s="202">
        <f t="array" ref="AV27">MEDIAN(
_xlfn._xlws.FILTER(
Table9[Job created per $Mn],
ISNUMBER(Table9[Job created per $Mn])*
(Table9[Job created per $Mn]&gt;0)*
(Table9[Cost Quartiles]="4th Quartile (Highest 25%)")
)
)</f>
        <v>598.59825652691143</v>
      </c>
      <c r="AW27" s="202">
        <f t="array" ref="AW27">AVERAGE(
_xlfn._xlws.FILTER(
Table9[Job created per $Mn],
ISNUMBER(Table9[Job created per $Mn])*
(Table9[Job created per $Mn]&gt;0)*
(Table9[Cost Quartiles]="4th Quartile (Highest 25%)")
)
)</f>
        <v>792.91746465182462</v>
      </c>
      <c r="AX27" s="15">
        <f>COUNTIFS(
Table9[Job created per $Mn],"&gt;0",
Table9[Cost Quartiles],"4th Quartile (Highest 25%)"
)</f>
        <v>13</v>
      </c>
      <c r="AY27" s="195">
        <f t="array" ref="AY27">_xlfn.LET(
_xlpm.data,
_xlfn._xlws.FILTER(
Table9[Job created per $Mn],
ISNUMBER(Table9[Job created per $Mn])*
(Table9[Job created per $Mn]&gt;0)*
(Table9[Cost Quartiles]="4th Quartile (Highest 25%)")
),
_xlpm.med,
MEDIAN(_xlpm.data),
_xlpm.mad,
MEDIAN(ABS(_xlpm.data-_xlpm.med)),
SUMPRODUCT(--(ABS(_xlpm.data-_xlpm.med)&gt;2.5*_xlpm.mad))/COUNT(_xlpm.data)
)</f>
        <v>0.15384615384615385</v>
      </c>
      <c r="AZ27" s="15">
        <f t="array" ref="AZ27">_xlfn.LET(
_xlpm.data,
_xlfn._xlws.FILTER(
Table9[Job created per $Mn],
ISNUMBER(Table9[Job created per $Mn])*
(Table9[Job created per $Mn]&gt;0)*
(Table9[Cost Quartiles]="4th Quartile (Highest 25%)")
),
_xlpm.med,
MEDIAN(_xlpm.data),
_xlpm.mad,
MEDIAN(ABS(_xlpm.data-_xlpm.med)),
SUMPRODUCT(--(ABS(_xlpm.data-_xlpm.med)&gt;2.5*_xlpm.mad))
)</f>
        <v>2</v>
      </c>
      <c r="BA27" s="202">
        <f t="array" ref="BA27">_xlfn.LET(
_xlpm.data,
_xlfn._xlws.FILTER(
Table9[Job created per $Mn],
ISNUMBER(Table9[Job created per $Mn])*
(Table9[Job created per $Mn]&gt;0)*
(Table9[Cost Quartiles]="4th Quartile (Highest 25%)")
),
_xlpm.med,
MEDIAN(_xlpm.data),
_xlpm.mad,
MEDIAN(ABS(_xlpm.data-_xlpm.med)),
AVERAGE(
_xlfn._xlws.FILTER(
_xlpm.data,
ABS(_xlpm.data-_xlpm.med)&lt;=2.5*_xlpm.mad
)
)
)</f>
        <v>418.53926272689989</v>
      </c>
      <c r="BB27" s="15">
        <f>AX27-AZ27</f>
        <v>11</v>
      </c>
      <c r="BD27" s="206" t="s">
        <v>723</v>
      </c>
      <c r="BE27" s="202">
        <f t="array" ref="BE27">MEDIAN(
_xlfn._xlws.FILTER(
Table9[Job improved per $Mn],
ISNUMBER(Table9[Job improved per $Mn])*
(Table9[Job improved per $Mn]&gt;0)*
(Table9[Cost Quartiles]="4th Quartile (Highest 25%)")
)
)</f>
        <v>5866.4210526315792</v>
      </c>
      <c r="BF27" s="202">
        <f t="array" ref="BF27">AVERAGE(
_xlfn._xlws.FILTER(
Table9[Job improved per $Mn],
ISNUMBER(Table9[Job improved per $Mn])*
(Table9[Job improved per $Mn]&gt;0)*
(Table9[Cost Quartiles]="4th Quartile (Highest 25%)")
)
)</f>
        <v>10009.942527710398</v>
      </c>
      <c r="BG27" s="15">
        <f>COUNTIFS(
Table9[Job improved per $Mn],"&gt;0",
Table9[Cost Quartiles],"4th Quartile (Highest 25%)"
)</f>
        <v>15</v>
      </c>
      <c r="BH27" s="195">
        <f t="array" ref="BH27">_xlfn.LET(
_xlpm.data,
_xlfn._xlws.FILTER(
Table9[Job improved per $Mn],
ISNUMBER(Table9[Job improved per $Mn])*
(Table9[Job improved per $Mn]&gt;0)*
(Table9[Cost Quartiles]="4th Quartile (Highest 25%)")
),
_xlpm.med,
MEDIAN(_xlpm.data),
_xlpm.mad,
MEDIAN(ABS(_xlpm.data-_xlpm.med)),
SUMPRODUCT(--(ABS(_xlpm.data-_xlpm.med)&gt;2.5*_xlpm.mad))/COUNT(_xlpm.data)
)</f>
        <v>0.13333333333333333</v>
      </c>
      <c r="BI27" s="15">
        <f t="array" ref="BI27">_xlfn.LET(
_xlpm.data,
_xlfn._xlws.FILTER(
Table9[Job improved per $Mn],
ISNUMBER(Table9[Job improved per $Mn])*
(Table9[Job improved per $Mn]&gt;0)*
(Table9[Cost Quartiles]="4th Quartile (Highest 25%)")
),
_xlpm.med,
MEDIAN(_xlpm.data),
_xlpm.mad,
MEDIAN(ABS(_xlpm.data-_xlpm.med)),
SUMPRODUCT(--(ABS(_xlpm.data-_xlpm.med)&gt;2.5*_xlpm.mad))
)</f>
        <v>2</v>
      </c>
      <c r="BJ27" s="202">
        <f t="array" ref="BJ27">_xlfn.LET(
_xlpm.data,
_xlfn._xlws.FILTER(
Table9[Job improved per $Mn],
ISNUMBER(Table9[Job improved per $Mn])*
(Table9[Job improved per $Mn]&gt;0)*
(Table9[Cost Quartiles]="4th Quartile (Highest 25%)")
),
_xlpm.med,
MEDIAN(_xlpm.data),
_xlpm.mad,
MEDIAN(ABS(_xlpm.data-_xlpm.med)),
AVERAGE(
_xlfn._xlws.FILTER(
_xlpm.data,
ABS(_xlpm.data-_xlpm.med)&lt;=2.5*_xlpm.mad
)
)
)</f>
        <v>6029.4888956444174</v>
      </c>
      <c r="BK27" s="15">
        <f>BG27-BI27</f>
        <v>13</v>
      </c>
      <c r="BM27" s="206" t="s">
        <v>723</v>
      </c>
      <c r="BN27" s="203">
        <f t="array" ref="BN27">MEDIAN(
_xlfn._xlws.FILTER(
Table9[Beneficiary Income (USD) / Project Cost],
ISNUMBER(Table9[Beneficiary Income (USD) / Project Cost])*
(Table9[Beneficiary Income (USD) / Project Cost]&gt;0)*
(Table9[Cost Quartiles]="4th Quartile (Highest 25%)")
)
)</f>
        <v>1.434350872483221</v>
      </c>
      <c r="BO27" s="203">
        <f t="array" ref="BO27">AVERAGE(
_xlfn._xlws.FILTER(
Table9[Beneficiary Income (USD) / Project Cost],
ISNUMBER(Table9[Beneficiary Income (USD) / Project Cost])*
(Table9[Beneficiary Income (USD) / Project Cost]&gt;0)*
(Table9[Cost Quartiles]="4th Quartile (Highest 25%)")
)
)</f>
        <v>1.816387709473426</v>
      </c>
      <c r="BP27" s="15">
        <f>COUNTIFS(
Table9[Beneficiary Income (USD) / Project Cost],"&gt;0",
Table9[Cost Quartiles],"4th Quartile (Highest 25%)"
)</f>
        <v>11</v>
      </c>
      <c r="BQ27" s="195">
        <f t="array" ref="BQ27">_xlfn.LET(
_xlpm.data,
_xlfn._xlws.FILTER(
Table9[Beneficiary Income (USD) / Project Cost],
ISNUMBER(Table9[Beneficiary Income (USD) / Project Cost])*
(Table9[Beneficiary Income (USD) / Project Cost]&gt;0)*
(Table9[Cost Quartiles]="4th Quartile (Highest 25%)")
),
_xlpm.med,
MEDIAN(_xlpm.data),
_xlpm.mad,
MEDIAN(ABS(_xlpm.data-_xlpm.med)),
SUMPRODUCT(--(ABS(_xlpm.data-_xlpm.med)&gt;2.5*_xlpm.mad))/COUNT(_xlpm.data)
)</f>
        <v>0.18181818181818182</v>
      </c>
      <c r="BR27" s="15">
        <f t="array" ref="BR27">_xlfn.LET(
_xlpm.data,
_xlfn._xlws.FILTER(
Table9[Beneficiary Income (USD) / Project Cost],
ISNUMBER(Table9[Beneficiary Income (USD) / Project Cost])*
(Table9[Beneficiary Income (USD) / Project Cost]&gt;0)*
(Table9[Cost Quartiles]="4th Quartile (Highest 25%)")
),
_xlpm.med,
MEDIAN(_xlpm.data),
_xlpm.mad,
MEDIAN(ABS(_xlpm.data-_xlpm.med)),
SUMPRODUCT(--(ABS(_xlpm.data-_xlpm.med)&gt;2.5*_xlpm.mad))
)</f>
        <v>2</v>
      </c>
      <c r="BS27" s="203">
        <f t="array" ref="BS27">_xlfn.LET(
_xlpm.data,
_xlfn._xlws.FILTER(
Table9[Beneficiary Income (USD) / Project Cost],
ISNUMBER(Table9[Beneficiary Income (USD) / Project Cost])*
(Table9[Beneficiary Income (USD) / Project Cost]&gt;0)*
(Table9[Cost Quartiles]="4th Quartile (Highest 25%)")
),
_xlpm.med,
MEDIAN(_xlpm.data),
_xlpm.mad,
MEDIAN(ABS(_xlpm.data-_xlpm.med)),
AVERAGE(
_xlfn._xlws.FILTER(
_xlpm.data,
ABS(_xlpm.data-_xlpm.med)&lt;=2.5*_xlpm.mad
)
)
)</f>
        <v>1.3487102009014673</v>
      </c>
      <c r="BT27" s="15">
        <f>BP27-BR27</f>
        <v>9</v>
      </c>
    </row>
    <row r="28" spans="2:72" x14ac:dyDescent="0.25">
      <c r="B28" s="373" t="s">
        <v>644</v>
      </c>
      <c r="C28" s="373"/>
      <c r="D28" s="373"/>
      <c r="E28" s="373"/>
      <c r="F28" s="420"/>
      <c r="G28" s="373"/>
      <c r="H28" s="373"/>
      <c r="I28" s="373"/>
      <c r="J28" s="417"/>
      <c r="K28" s="373" t="s">
        <v>644</v>
      </c>
      <c r="L28" s="373"/>
      <c r="M28" s="373"/>
      <c r="N28" s="373"/>
      <c r="O28" s="420"/>
      <c r="P28" s="373"/>
      <c r="Q28" s="373"/>
      <c r="R28" s="373"/>
      <c r="S28" s="417"/>
      <c r="T28" s="373" t="s">
        <v>644</v>
      </c>
      <c r="U28" s="373"/>
      <c r="V28" s="373"/>
      <c r="W28" s="373"/>
      <c r="X28" s="373"/>
      <c r="Y28" s="373"/>
      <c r="Z28" s="373"/>
      <c r="AA28" s="373"/>
      <c r="AB28" s="417"/>
      <c r="AC28" s="373" t="s">
        <v>644</v>
      </c>
      <c r="AD28" s="373"/>
      <c r="AE28" s="373"/>
      <c r="AF28" s="373"/>
      <c r="AG28" s="373"/>
      <c r="AH28" s="373"/>
      <c r="AI28" s="373"/>
      <c r="AJ28" s="373"/>
      <c r="AK28" s="417"/>
      <c r="AL28" s="373" t="s">
        <v>644</v>
      </c>
      <c r="AM28" s="373"/>
      <c r="AN28" s="373"/>
      <c r="AO28" s="373"/>
      <c r="AP28" s="373"/>
      <c r="AQ28" s="373"/>
      <c r="AR28" s="373"/>
      <c r="AS28" s="373"/>
      <c r="AT28" s="417"/>
      <c r="AU28" s="373" t="s">
        <v>644</v>
      </c>
      <c r="AV28" s="373"/>
      <c r="AW28" s="373"/>
      <c r="AX28" s="373"/>
      <c r="AY28" s="373"/>
      <c r="AZ28" s="373"/>
      <c r="BA28" s="373"/>
      <c r="BB28" s="373"/>
      <c r="BC28" s="417"/>
      <c r="BD28" s="373" t="s">
        <v>644</v>
      </c>
      <c r="BE28" s="373"/>
      <c r="BF28" s="373"/>
      <c r="BG28" s="373"/>
      <c r="BH28" s="420"/>
      <c r="BI28" s="373"/>
      <c r="BJ28" s="373"/>
      <c r="BK28" s="373"/>
      <c r="BL28" s="417"/>
      <c r="BM28" s="373" t="s">
        <v>644</v>
      </c>
      <c r="BN28" s="373"/>
      <c r="BO28" s="373"/>
      <c r="BP28" s="373"/>
      <c r="BQ28" s="420"/>
      <c r="BR28" s="373"/>
      <c r="BS28" s="373"/>
      <c r="BT28" s="373"/>
    </row>
    <row r="29" spans="2:72" x14ac:dyDescent="0.25">
      <c r="B29" s="206" t="s">
        <v>645</v>
      </c>
      <c r="C29" s="202">
        <f t="array" ref="C29">MEDIAN(_xlfn._xlws.FILTER(Table9[Income per beneficiary (USD)], (Table9[Income per beneficiary (USD)]&gt;0)*(Table9[FCAS Status]="Stable")))</f>
        <v>132.465622476475</v>
      </c>
      <c r="D29" s="202">
        <f t="array" ref="D29">AVERAGE(_xlfn._xlws.FILTER(Table9[Income per beneficiary (USD)], (Table9[Income per beneficiary (USD)]&gt;0)*(Table9[FCAS Status]="Stable")))</f>
        <v>481.09844910066704</v>
      </c>
      <c r="E29" s="15">
        <f>COUNTIFS(Table9[Income per beneficiary (USD)],"&gt;0", Table9[FCAS Status],"Stable")</f>
        <v>29</v>
      </c>
      <c r="F29" s="195">
        <f t="array" ref="F29">_xlfn.LET(
_xlpm.data,_xlfn._xlws.FILTER(
Table9[Income per beneficiary (USD)],
(Table9[Income per beneficiary (USD)]&gt;0)*
(Table9[FCAS Status]="Stable")
),
_xlpm.med,MEDIAN(_xlpm.data),
_xlpm.mad,MEDIAN(ABS(_xlpm.data-_xlpm.med)),
SUMPRODUCT(--(ABS(_xlpm.data-_xlpm.med)&gt;2.5*_xlpm.mad))/COUNT(_xlpm.data)
)</f>
        <v>0.41379310344827586</v>
      </c>
      <c r="G29" s="15">
        <f t="array" ref="G29">_xlfn.LET(
_xlpm.data,_xlfn._xlws.FILTER(
Table9[Income per beneficiary (USD)],
(Table9[Income per beneficiary (USD)]&gt;0)*
(Table9[FCAS Status]="Stable")
),
_xlpm.med,MEDIAN(_xlpm.data),
_xlpm.mad,MEDIAN(ABS(_xlpm.data-_xlpm.med)),
SUMPRODUCT(--(ABS(_xlpm.data-_xlpm.med)&gt;2.5*_xlpm.mad))
)</f>
        <v>12</v>
      </c>
      <c r="H29" s="202">
        <f t="array" ref="H29">_xlfn.LET(
_xlpm.data,_xlfn._xlws.FILTER(
Table9[Income per beneficiary (USD)],
(Table9[Income per beneficiary (USD)]&gt;0)*
(Table9[FCAS Status]="Stable")
),
_xlpm.med,MEDIAN(_xlpm.data),
_xlpm.mad,MEDIAN(ABS(_xlpm.data-_xlpm.med)),
AVERAGE(_xlfn._xlws.FILTER(_xlpm.data,ABS(_xlpm.data-_xlpm.med)&lt;=2.5*_xlpm.mad))
)</f>
        <v>93.455402460992175</v>
      </c>
      <c r="I29" s="202">
        <f>E29-G29</f>
        <v>17</v>
      </c>
      <c r="J29" s="130"/>
      <c r="K29" s="206" t="s">
        <v>645</v>
      </c>
      <c r="L29" s="203">
        <f t="array" ref="L29">MEDIAN(
_xlfn._xlws.FILTER(
Table9[Normalised Income Impact Ratio],
ISNUMBER(Table9[Normalised Income Impact Ratio])*
(Table9[Normalised Income Impact Ratio]&gt;0)*
(Table9[FCAS Status]="Stable")
)
)</f>
        <v>2.1857319389547651E-2</v>
      </c>
      <c r="M29" s="203">
        <f t="array" ref="M29">AVERAGE(
_xlfn._xlws.FILTER(
Table9[Normalised Income Impact Ratio],
ISNUMBER(Table9[Normalised Income Impact Ratio])*
(Table9[Normalised Income Impact Ratio]&gt;0)*
(Table9[FCAS Status]="Stable")
)
)</f>
        <v>6.1642357845761692E-2</v>
      </c>
      <c r="N29" s="15">
        <f>COUNTIFS(
Table9[Normalised Income Impact Ratio],"&gt;0",
Table9[FCAS Status],"Stable"
)</f>
        <v>29</v>
      </c>
      <c r="O29" s="195">
        <f t="array" ref="O29">_xlfn.LET(
_xlpm.data,_xlfn._xlws.FILTER(
Table9[Normalised Income Impact Ratio],
ISNUMBER(Table9[Normalised Income Impact Ratio])*
(Table9[Normalised Income Impact Ratio]&gt;0)*
(Table9[FCAS Status]="Stable")
),
_xlpm.med,MEDIAN(_xlpm.data),
_xlpm.mad,MEDIAN(ABS(_xlpm.data-_xlpm.med)),
SUMPRODUCT(--(ABS(_xlpm.data-_xlpm.med)&gt;2.5*_xlpm.mad))/COUNT(_xlpm.data)
)</f>
        <v>0.2413793103448276</v>
      </c>
      <c r="P29" s="15">
        <f t="array" ref="P29">_xlfn.LET(
_xlpm.data,_xlfn._xlws.FILTER(
Table9[Normalised Income Impact Ratio],
ISNUMBER(Table9[Normalised Income Impact Ratio])*
(Table9[Normalised Income Impact Ratio]&gt;0)*
(Table9[FCAS Status]="Stable")
),
_xlpm.med,MEDIAN(_xlpm.data),
_xlpm.mad,MEDIAN(ABS(_xlpm.data-_xlpm.med)),
SUMPRODUCT(--(ABS(_xlpm.data-_xlpm.med)&gt;2.5*_xlpm.mad))
)</f>
        <v>7</v>
      </c>
      <c r="Q29" s="203">
        <f t="array" ref="Q29">_xlfn.LET(
_xlpm.data,_xlfn._xlws.FILTER(
Table9[Normalised Income Impact Ratio],
ISNUMBER(Table9[Normalised Income Impact Ratio])*
(Table9[Normalised Income Impact Ratio]&gt;0)*
(Table9[FCAS Status]="Stable")
),
_xlpm.med,MEDIAN(_xlpm.data),
_xlpm.mad,MEDIAN(ABS(_xlpm.data-_xlpm.med)),
AVERAGE(_xlfn._xlws.FILTER(_xlpm.data,ABS(_xlpm.data-_xlpm.med)&lt;=2.5*_xlpm.mad))
)</f>
        <v>1.8587579644245466E-2</v>
      </c>
      <c r="R29" s="15">
        <f>N29-P29</f>
        <v>22</v>
      </c>
      <c r="T29" s="206" t="s">
        <v>645</v>
      </c>
      <c r="U29" s="203">
        <f t="array" ref="U29">MEDIAN(
_xlfn._xlws.FILTER(
Table9[Private Sector Investment (USD) / Project cost ],
ISNUMBER(Table9[Private Sector Investment (USD) / Project cost ])*
(Table9[Private Sector Investment (USD) / Project cost ]&gt;0)*
(Table9[FCAS Status]="Stable")
)
)</f>
        <v>0.5274942244224422</v>
      </c>
      <c r="V29" s="203">
        <f t="array" ref="V29">AVERAGE(
_xlfn._xlws.FILTER(
Table9[Private Sector Investment (USD) / Project cost ],
ISNUMBER(Table9[Private Sector Investment (USD) / Project cost ])*
(Table9[Private Sector Investment (USD) / Project cost ]&gt;0)*
(Table9[FCAS Status]="Stable")
)
)</f>
        <v>1.7978555954168283</v>
      </c>
      <c r="W29" s="15">
        <f>COUNTIFS(
Table9[Private Sector Investment (USD) / Project cost ],"&gt;0",
Table9[FCAS Status],"Stable"
)</f>
        <v>42</v>
      </c>
      <c r="X29" s="195">
        <f t="array" ref="X29">_xlfn.LET(
_xlpm.data,_xlfn._xlws.FILTER(
Table9[Private Sector Investment (USD) / Project cost ],
ISNUMBER(Table9[Private Sector Investment (USD) / Project cost ])*
(Table9[Private Sector Investment (USD) / Project cost ]&gt;0)*
(Table9[FCAS Status]="Stable")
),
_xlpm.med,MEDIAN(_xlpm.data),
_xlpm.mad,MEDIAN(ABS(_xlpm.data-_xlpm.med)),
SUMPRODUCT(--(ABS(_xlpm.data-_xlpm.med)&gt;2.5*_xlpm.mad))/COUNT(_xlpm.data)
)</f>
        <v>0.16666666666666666</v>
      </c>
      <c r="Y29" s="15">
        <f t="array" ref="Y29">_xlfn.LET(
_xlpm.data,_xlfn._xlws.FILTER(
Table9[Private Sector Investment (USD) / Project cost ],
ISNUMBER(Table9[Private Sector Investment (USD) / Project cost ])*
(Table9[Private Sector Investment (USD) / Project cost ]&gt;0)*
(Table9[FCAS Status]="Stable")
),
_xlpm.med,MEDIAN(_xlpm.data),
_xlpm.mad,MEDIAN(ABS(_xlpm.data-_xlpm.med)),
SUMPRODUCT(--(ABS(_xlpm.data-_xlpm.med)&gt;2.5*_xlpm.mad))
)</f>
        <v>7</v>
      </c>
      <c r="Z29" s="203">
        <f t="array" ref="Z29">_xlfn.LET(
_xlpm.data,_xlfn._xlws.FILTER(
Table9[Private Sector Investment (USD) / Project cost ],
ISNUMBER(Table9[Private Sector Investment (USD) / Project cost ])*
(Table9[Private Sector Investment (USD) / Project cost ]&gt;0)*
(Table9[FCAS Status]="Stable")
),
_xlpm.med,MEDIAN(_xlpm.data),
_xlpm.mad,MEDIAN(ABS(_xlpm.data-_xlpm.med)),
AVERAGE(_xlfn._xlws.FILTER(_xlpm.data,ABS(_xlpm.data-_xlpm.med)&lt;=2.5*_xlpm.mad))
)</f>
        <v>0.50910058153198756</v>
      </c>
      <c r="AA29" s="15">
        <f>W29-Y29</f>
        <v>35</v>
      </c>
      <c r="AC29" s="206" t="s">
        <v>645</v>
      </c>
      <c r="AD29" s="203">
        <f t="array" ref="AD29">MEDIAN(
_xlfn._xlws.FILTER(
Table9[Private Sector Revenues Generated (USD) / Project cost],
ISNUMBER(Table9[Private Sector Revenues Generated (USD) / Project cost])*
(Table9[Private Sector Revenues Generated (USD) / Project cost]&gt;0)*
(Table9[FCAS Status]="Stable")
)
)</f>
        <v>1.6775150232509577</v>
      </c>
      <c r="AE29" s="203">
        <f t="array" ref="AE29">AVERAGE(
_xlfn._xlws.FILTER(
Table9[Private Sector Revenues Generated (USD) / Project cost],
ISNUMBER(Table9[Private Sector Revenues Generated (USD) / Project cost])*
(Table9[Private Sector Revenues Generated (USD) / Project cost]&gt;0)*
(Table9[FCAS Status]="Stable")
)
)</f>
        <v>3.5755137645032056</v>
      </c>
      <c r="AF29" s="15">
        <f>COUNTIFS(
Table9[Private Sector Revenues Generated (USD) / Project cost],"&gt;0",
Table9[FCAS Status],"Stable"
)</f>
        <v>36</v>
      </c>
      <c r="AG29" s="195">
        <f t="array" ref="AG29">_xlfn.LET(
_xlpm.data,_xlfn._xlws.FILTER(
Table9[Private Sector Revenues Generated (USD) / Project cost],
ISNUMBER(Table9[Private Sector Revenues Generated (USD) / Project cost])*
(Table9[Private Sector Revenues Generated (USD) / Project cost]&gt;0)*
(Table9[FCAS Status]="Stable")
),
_xlpm.med,MEDIAN(_xlpm.data),
_xlpm.mad,MEDIAN(ABS(_xlpm.data-_xlpm.med)),
SUMPRODUCT(--(ABS(_xlpm.data-_xlpm.med)&gt;2.5*_xlpm.mad))/COUNT(_xlpm.data)
)</f>
        <v>0.19444444444444445</v>
      </c>
      <c r="AH29" s="15">
        <f t="array" ref="AH29">_xlfn.LET(
_xlpm.data,_xlfn._xlws.FILTER(
Table9[Private Sector Revenues Generated (USD) / Project cost],
ISNUMBER(Table9[Private Sector Revenues Generated (USD) / Project cost])*
(Table9[Private Sector Revenues Generated (USD) / Project cost]&gt;0)*
(Table9[FCAS Status]="Stable")
),
_xlpm.med,MEDIAN(_xlpm.data),
_xlpm.mad,MEDIAN(ABS(_xlpm.data-_xlpm.med)),
SUMPRODUCT(--(ABS(_xlpm.data-_xlpm.med)&gt;2.5*_xlpm.mad))
)</f>
        <v>7</v>
      </c>
      <c r="AI29" s="203">
        <f t="array" ref="AI29">_xlfn.LET(
_xlpm.data,_xlfn._xlws.FILTER(
Table9[Private Sector Revenues Generated (USD) / Project cost],
ISNUMBER(Table9[Private Sector Revenues Generated (USD) / Project cost])*
(Table9[Private Sector Revenues Generated (USD) / Project cost]&gt;0)*
(Table9[FCAS Status]="Stable")
),
_xlpm.med,MEDIAN(_xlpm.data),
_xlpm.mad,MEDIAN(ABS(_xlpm.data-_xlpm.med)),
AVERAGE(_xlfn._xlws.FILTER(_xlpm.data,ABS(_xlpm.data-_xlpm.med)&lt;=2.5*_xlpm.mad))
)</f>
        <v>1.2682050206300455</v>
      </c>
      <c r="AJ29" s="15">
        <f>AF29-AH29</f>
        <v>29</v>
      </c>
      <c r="AL29" s="206" t="s">
        <v>645</v>
      </c>
      <c r="AM29" s="203">
        <f t="array" ref="AM29">MEDIAN(
_xlfn._xlws.FILTER(
Table9[Export Revenue Generated (USD) /Project Cost],
ISNUMBER(Table9[Export Revenue Generated (USD) /Project Cost])*
(Table9[Export Revenue Generated (USD) /Project Cost]&gt;0)*
(Table9[FCAS Status]="Stable")
)
)</f>
        <v>0.34741362139326759</v>
      </c>
      <c r="AN29" s="203">
        <f t="array" ref="AN29">AVERAGE(
_xlfn._xlws.FILTER(
Table9[Export Revenue Generated (USD) /Project Cost],
ISNUMBER(Table9[Export Revenue Generated (USD) /Project Cost])*
(Table9[Export Revenue Generated (USD) /Project Cost]&gt;0)*
(Table9[FCAS Status]="Stable")
)
)</f>
        <v>10.999669240271372</v>
      </c>
      <c r="AO29" s="15">
        <f>COUNTIFS(
Table9[Export Revenue Generated (USD) /Project Cost],"&gt;0",
Table9[FCAS Status],"Stable"
)</f>
        <v>9</v>
      </c>
      <c r="AP29" s="195">
        <f t="array" ref="AP29">_xlfn.LET(
_xlpm.data,_xlfn._xlws.FILTER(
Table9[Export Revenue Generated (USD) /Project Cost],
ISNUMBER(Table9[Export Revenue Generated (USD) /Project Cost])*
(Table9[Export Revenue Generated (USD) /Project Cost]&gt;0)*
(Table9[FCAS Status]="Stable")
),
_xlpm.med,MEDIAN(_xlpm.data),
_xlpm.mad,MEDIAN(ABS(_xlpm.data-_xlpm.med)),
SUMPRODUCT(--(ABS(_xlpm.data-_xlpm.med)&gt;2.5*_xlpm.mad))/COUNT(_xlpm.data)
)</f>
        <v>0.33333333333333331</v>
      </c>
      <c r="AQ29" s="15">
        <f t="array" ref="AQ29">_xlfn.LET(
_xlpm.data,_xlfn._xlws.FILTER(
Table9[Export Revenue Generated (USD) /Project Cost],
ISNUMBER(Table9[Export Revenue Generated (USD) /Project Cost])*
(Table9[Export Revenue Generated (USD) /Project Cost]&gt;0)*
(Table9[FCAS Status]="Stable")
),
_xlpm.med,MEDIAN(_xlpm.data),
_xlpm.mad,MEDIAN(ABS(_xlpm.data-_xlpm.med)),
SUMPRODUCT(--(ABS(_xlpm.data-_xlpm.med)&gt;2.5*_xlpm.mad))
)</f>
        <v>3</v>
      </c>
      <c r="AR29" s="203">
        <f t="array" ref="AR29">_xlfn.LET(
_xlpm.data,_xlfn._xlws.FILTER(
Table9[Export Revenue Generated (USD) /Project Cost],
ISNUMBER(Table9[Export Revenue Generated (USD) /Project Cost])*
(Table9[Export Revenue Generated (USD) /Project Cost]&gt;0)*
(Table9[FCAS Status]="Stable")
),
_xlpm.med,MEDIAN(_xlpm.data),
_xlpm.mad,MEDIAN(ABS(_xlpm.data-_xlpm.med)),
AVERAGE(_xlfn._xlws.FILTER(_xlpm.data,ABS(_xlpm.data-_xlpm.med)&lt;=2.5*_xlpm.mad))
)</f>
        <v>0.20770347748492701</v>
      </c>
      <c r="AS29" s="15">
        <f>AO29-AQ29</f>
        <v>6</v>
      </c>
      <c r="AU29" s="206" t="s">
        <v>645</v>
      </c>
      <c r="AV29" s="202">
        <f t="array" ref="AV29">MEDIAN(
_xlfn._xlws.FILTER(
Table9[Job created per $Mn],
ISNUMBER(Table9[Job created per $Mn])*
(Table9[Job created per $Mn]&gt;0)*
(Table9[FCAS Status]="Stable")
)
)</f>
        <v>337.46556473829202</v>
      </c>
      <c r="AW29" s="202">
        <f t="array" ref="AW29">AVERAGE(
_xlfn._xlws.FILTER(
Table9[Job created per $Mn],
ISNUMBER(Table9[Job created per $Mn])*
(Table9[Job created per $Mn]&gt;0)*
(Table9[FCAS Status]="Stable")
)
)</f>
        <v>1187.7770472515597</v>
      </c>
      <c r="AX29" s="15">
        <f>COUNTIFS(
Table9[Job created per $Mn],"&gt;0",
Table9[FCAS Status],"Stable"
)</f>
        <v>29</v>
      </c>
      <c r="AY29" s="195">
        <f t="array" ref="AY29">_xlfn.LET(
_xlpm.data,
_xlfn._xlws.FILTER(
Table9[Job created per $Mn],
ISNUMBER(Table9[Job created per $Mn])*
(Table9[Job created per $Mn]&gt;0)*
(Table9[FCAS Status]="Stable")
),
_xlpm.med,
MEDIAN(_xlpm.data),
_xlpm.mad,
MEDIAN(ABS(_xlpm.data-_xlpm.med)),
SUMPRODUCT(--(ABS(_xlpm.data-_xlpm.med)&gt;2.5*_xlpm.mad))/COUNT(_xlpm.data)
)</f>
        <v>0.31034482758620691</v>
      </c>
      <c r="AZ29" s="15">
        <f t="array" ref="AZ29">_xlfn.LET(
_xlpm.data,
_xlfn._xlws.FILTER(
Table9[Job created per $Mn],
ISNUMBER(Table9[Job created per $Mn])*
(Table9[Job created per $Mn]&gt;0)*
(Table9[FCAS Status]="Stable")
),
_xlpm.med,
MEDIAN(_xlpm.data),
_xlpm.mad,
MEDIAN(ABS(_xlpm.data-_xlpm.med)),
SUMPRODUCT(--(ABS(_xlpm.data-_xlpm.med)&gt;2.5*_xlpm.mad))
)</f>
        <v>9</v>
      </c>
      <c r="BA29" s="202">
        <f t="array" ref="BA29">_xlfn.LET(
_xlpm.data,
_xlfn._xlws.FILTER(
Table9[Job created per $Mn],
ISNUMBER(Table9[Job created per $Mn])*
(Table9[Job created per $Mn]&gt;0)*
(Table9[FCAS Status]="Stable")
),
_xlpm.med,
MEDIAN(_xlpm.data),
_xlpm.mad,
MEDIAN(ABS(_xlpm.data-_xlpm.med)),
AVERAGE(
_xlfn._xlws.FILTER(
_xlpm.data,
ABS(_xlpm.data-_xlpm.med)&lt;=2.5*_xlpm.mad
)
)
)</f>
        <v>271.71630521772698</v>
      </c>
      <c r="BB29" s="15">
        <f>AX29-AZ29</f>
        <v>20</v>
      </c>
      <c r="BD29" s="206" t="s">
        <v>645</v>
      </c>
      <c r="BE29" s="202">
        <f t="array" ref="BE29">MEDIAN(
_xlfn._xlws.FILTER(
Table9[Job improved per $Mn],
ISNUMBER(Table9[Job improved per $Mn])*
(Table9[Job improved per $Mn]&gt;0)*
(Table9[FCAS Status]="Stable")
)
)</f>
        <v>2582.7247616241302</v>
      </c>
      <c r="BF29" s="202">
        <f t="array" ref="BF29">AVERAGE(
_xlfn._xlws.FILTER(
Table9[Job improved per $Mn],
ISNUMBER(Table9[Job improved per $Mn])*
(Table9[Job improved per $Mn]&gt;0)*
(Table9[FCAS Status]="Stable")
)
)</f>
        <v>6351.0433099076236</v>
      </c>
      <c r="BG29" s="15">
        <f>COUNTIFS(
Table9[Job improved per $Mn],"&gt;0",
Table9[FCAS Status],"Stable"
)</f>
        <v>50</v>
      </c>
      <c r="BH29" s="195">
        <f t="array" ref="BH29">_xlfn.LET(
_xlpm.data,
_xlfn._xlws.FILTER(
Table9[Job improved per $Mn],
ISNUMBER(Table9[Job improved per $Mn])*
(Table9[Job improved per $Mn]&gt;0)*
(Table9[FCAS Status]="Stable")
),
_xlpm.med,
MEDIAN(_xlpm.data),
_xlpm.mad,
MEDIAN(ABS(_xlpm.data-_xlpm.med)),
SUMPRODUCT(--(ABS(_xlpm.data-_xlpm.med)&gt;2.5*_xlpm.mad))/COUNT(_xlpm.data)
)</f>
        <v>0.26</v>
      </c>
      <c r="BI29" s="15">
        <f t="array" ref="BI29">_xlfn.LET(
_xlpm.data,
_xlfn._xlws.FILTER(
Table9[Job improved per $Mn],
ISNUMBER(Table9[Job improved per $Mn])*
(Table9[Job improved per $Mn]&gt;0)*
(Table9[FCAS Status]="Stable")
),
_xlpm.med,
MEDIAN(_xlpm.data),
_xlpm.mad,
MEDIAN(ABS(_xlpm.data-_xlpm.med)),
SUMPRODUCT(--(ABS(_xlpm.data-_xlpm.med)&gt;2.5*_xlpm.mad))
)</f>
        <v>13</v>
      </c>
      <c r="BJ29" s="202">
        <f t="array" ref="BJ29">_xlfn.LET(
_xlpm.data,
_xlfn._xlws.FILTER(
Table9[Job improved per $Mn],
ISNUMBER(Table9[Job improved per $Mn])*
(Table9[Job improved per $Mn]&gt;0)*
(Table9[FCAS Status]="Stable")
),
_xlpm.med,
MEDIAN(_xlpm.data),
_xlpm.mad,
MEDIAN(ABS(_xlpm.data-_xlpm.med)),
AVERAGE(
_xlfn._xlws.FILTER(
_xlpm.data,
ABS(_xlpm.data-_xlpm.med)&lt;=2.5*_xlpm.mad
)
)
)</f>
        <v>2320.4492435811849</v>
      </c>
      <c r="BK29" s="15">
        <f>BG29-BI29</f>
        <v>37</v>
      </c>
      <c r="BM29" s="206" t="s">
        <v>645</v>
      </c>
      <c r="BN29" s="203">
        <f t="array" ref="BN29">MEDIAN(
_xlfn._xlws.FILTER(
Table9[Beneficiary Income (USD) / Project Cost],
ISNUMBER(Table9[Beneficiary Income (USD) / Project Cost])*
(Table9[Beneficiary Income (USD) / Project Cost]&gt;0)*
(Table9[FCAS Status]="Stable")
)
)</f>
        <v>1.197129437050968</v>
      </c>
      <c r="BO29" s="203">
        <f t="array" ref="BO29">AVERAGE(
_xlfn._xlws.FILTER(
Table9[Beneficiary Income (USD) / Project Cost],
ISNUMBER(Table9[Beneficiary Income (USD) / Project Cost])*
(Table9[Beneficiary Income (USD) / Project Cost]&gt;0)*
(Table9[FCAS Status]="Stable")
)
)</f>
        <v>1.7371803583148904</v>
      </c>
      <c r="BP29" s="15">
        <f>COUNTIFS(
Table9[Beneficiary Income (USD) / Project Cost],"&gt;0",
Table9[FCAS Status],"Stable"
)</f>
        <v>29</v>
      </c>
      <c r="BQ29" s="195">
        <f t="array" ref="BQ29">_xlfn.LET(
_xlpm.data,
_xlfn._xlws.FILTER(
Table9[Beneficiary Income (USD) / Project Cost],
ISNUMBER(Table9[Beneficiary Income (USD) / Project Cost])*
(Table9[Beneficiary Income (USD) / Project Cost]&gt;0)*
(Table9[FCAS Status]="Stable")
),
_xlpm.med,
MEDIAN(_xlpm.data),
_xlpm.mad,
MEDIAN(ABS(_xlpm.data-_xlpm.med)),
SUMPRODUCT(--(ABS(_xlpm.data-_xlpm.med)&gt;2.5*_xlpm.mad))/COUNT(_xlpm.data)
)</f>
        <v>0.13793103448275862</v>
      </c>
      <c r="BR29" s="15">
        <f t="array" ref="BR29">_xlfn.LET(
_xlpm.data,
_xlfn._xlws.FILTER(
Table9[Beneficiary Income (USD) / Project Cost],
ISNUMBER(Table9[Beneficiary Income (USD) / Project Cost])*
(Table9[Beneficiary Income (USD) / Project Cost]&gt;0)*
(Table9[FCAS Status]="Stable")
),
_xlpm.med,
MEDIAN(_xlpm.data),
_xlpm.mad,
MEDIAN(ABS(_xlpm.data-_xlpm.med)),
SUMPRODUCT(--(ABS(_xlpm.data-_xlpm.med)&gt;2.5*_xlpm.mad))
)</f>
        <v>4</v>
      </c>
      <c r="BS29" s="203">
        <f t="array" ref="BS29">_xlfn.LET(
_xlpm.data,
_xlfn._xlws.FILTER(
Table9[Beneficiary Income (USD) / Project Cost],
ISNUMBER(Table9[Beneficiary Income (USD) / Project Cost])*
(Table9[Beneficiary Income (USD) / Project Cost]&gt;0)*
(Table9[FCAS Status]="Stable")
),
_xlpm.med,
MEDIAN(_xlpm.data),
_xlpm.mad,
MEDIAN(ABS(_xlpm.data-_xlpm.med)),
AVERAGE(
_xlfn._xlws.FILTER(
_xlpm.data,
ABS(_xlpm.data-_xlpm.med)&lt;=2.5*_xlpm.mad
)
)
)</f>
        <v>1.1895756181879988</v>
      </c>
      <c r="BT29" s="15">
        <f>BP29-BR29</f>
        <v>25</v>
      </c>
    </row>
    <row r="30" spans="2:72" x14ac:dyDescent="0.25">
      <c r="B30" s="206" t="s">
        <v>42</v>
      </c>
      <c r="C30" s="202">
        <f t="array" ref="C30">MEDIAN(_xlfn._xlws.FILTER(Table9[Income per beneficiary (USD)], (Table9[Income per beneficiary (USD)]&gt;0)*(Table9[FCAS Status]="FCAS")))</f>
        <v>285.22750050110238</v>
      </c>
      <c r="D30" s="202">
        <f t="array" ref="D30">AVERAGE(_xlfn._xlws.FILTER(Table9[Income per beneficiary (USD)], (Table9[Income per beneficiary (USD)]&gt;0)*(Table9[FCAS Status]="FCAS")))</f>
        <v>378.55591486987947</v>
      </c>
      <c r="E30" s="15">
        <f>COUNTIFS(Table9[Income per beneficiary (USD)],"&gt;0", Table9[FCAS Status],"FCAS")</f>
        <v>15</v>
      </c>
      <c r="F30" s="195">
        <f t="array" ref="F30">_xlfn.LET(
_xlpm.data,_xlfn._xlws.FILTER(
Table9[Income per beneficiary (USD)],
(Table9[Income per beneficiary (USD)]&gt;0)*
(Table9[FCAS Status]="FCAS")
),
_xlpm.med,MEDIAN(_xlpm.data),
_xlpm.mad,MEDIAN(ABS(_xlpm.data-_xlpm.med)),
SUMPRODUCT(--(ABS(_xlpm.data-_xlpm.med)&gt;2.5*_xlpm.mad))/COUNT(_xlpm.data)
)</f>
        <v>0.13333333333333333</v>
      </c>
      <c r="G30" s="15">
        <f t="array" ref="G30">_xlfn.LET(
_xlpm.data,_xlfn._xlws.FILTER(
Table9[Income per beneficiary (USD)],
(Table9[Income per beneficiary (USD)]&gt;0)*
(Table9[FCAS Status]="FCAS")
),
_xlpm.med,MEDIAN(_xlpm.data),
_xlpm.mad,MEDIAN(ABS(_xlpm.data-_xlpm.med)),
SUMPRODUCT(--(ABS(_xlpm.data-_xlpm.med)&gt;2.5*_xlpm.mad))
)</f>
        <v>2</v>
      </c>
      <c r="H30" s="202">
        <f t="array" ref="H30">_xlfn.LET(
_xlpm.data,_xlfn._xlws.FILTER(
Table9[Income per beneficiary (USD)],
(Table9[Income per beneficiary (USD)]&gt;0)*
(Table9[FCAS Status]="FCAS")
),
_xlpm.med,MEDIAN(_xlpm.data),
_xlpm.mad,MEDIAN(ABS(_xlpm.data-_xlpm.med)),
AVERAGE(_xlfn._xlws.FILTER(_xlpm.data,ABS(_xlpm.data-_xlpm.med)&lt;=2.5*_xlpm.mad))
)</f>
        <v>240.56880647927713</v>
      </c>
      <c r="I30" s="202">
        <f>E30-G30</f>
        <v>13</v>
      </c>
      <c r="J30" s="130"/>
      <c r="K30" s="206" t="s">
        <v>42</v>
      </c>
      <c r="L30" s="203">
        <f t="array" ref="L30">AVERAGE(
_xlfn._xlws.FILTER(
Table9[Normalised Income Impact Ratio],
ISNUMBER(Table9[Normalised Income Impact Ratio])*
(Table9[Normalised Income Impact Ratio]&gt;0)*
(Table9[FCAS Status]="FCAS")
)
)</f>
        <v>0.10487849853156572</v>
      </c>
      <c r="M30" s="203">
        <f t="array" ref="M30">AVERAGE(
_xlfn._xlws.FILTER(
Table9[Normalised Income Impact Ratio],
ISNUMBER(Table9[Normalised Income Impact Ratio])*
(Table9[Normalised Income Impact Ratio]&gt;0)*
(Table9[FCAS Status]="FCAS")
)
)</f>
        <v>0.10487849853156572</v>
      </c>
      <c r="N30" s="15">
        <f>COUNTIFS(
Table9[Normalised Income Impact Ratio],"&gt;0",
Table9[FCAS Status],"FCAS"
)</f>
        <v>14</v>
      </c>
      <c r="O30" s="195">
        <f t="array" ref="O30">_xlfn.LET(
_xlpm.data,_xlfn._xlws.FILTER(
Table9[Normalised Income Impact Ratio],
ISNUMBER(Table9[Normalised Income Impact Ratio])*
(Table9[Normalised Income Impact Ratio]&gt;0)*
(Table9[FCAS Status]="FCAS")
),
_xlpm.med,MEDIAN(_xlpm.data),
_xlpm.mad,MEDIAN(ABS(_xlpm.data-_xlpm.med)),
SUMPRODUCT(--(ABS(_xlpm.data-_xlpm.med)&gt;2.5*_xlpm.mad))/COUNT(_xlpm.data)
)</f>
        <v>0.35714285714285715</v>
      </c>
      <c r="P30" s="15">
        <f t="array" ref="P30">_xlfn.LET(
_xlpm.data,_xlfn._xlws.FILTER(
Table9[Normalised Income Impact Ratio],
ISNUMBER(Table9[Normalised Income Impact Ratio])*
(Table9[Normalised Income Impact Ratio]&gt;0)*
(Table9[FCAS Status]="FCAS")
),
_xlpm.med,MEDIAN(_xlpm.data),
_xlpm.mad,MEDIAN(ABS(_xlpm.data-_xlpm.med)),
SUMPRODUCT(--(ABS(_xlpm.data-_xlpm.med)&gt;2.5*_xlpm.mad))
)</f>
        <v>5</v>
      </c>
      <c r="Q30" s="203">
        <f t="array" ref="Q30">_xlfn.LET(
_xlpm.data,_xlfn._xlws.FILTER(
Table9[Normalised Income Impact Ratio],
ISNUMBER(Table9[Normalised Income Impact Ratio])*
(Table9[Normalised Income Impact Ratio]&gt;0)*
(Table9[FCAS Status]="FCAS")
),
_xlpm.med,MEDIAN(_xlpm.data),
_xlpm.mad,MEDIAN(ABS(_xlpm.data-_xlpm.med)),
AVERAGE(_xlfn._xlws.FILTER(_xlpm.data,ABS(_xlpm.data-_xlpm.med)&lt;=2.5*_xlpm.mad))
)</f>
        <v>3.1752111139481093E-2</v>
      </c>
      <c r="R30" s="15">
        <f>N30-P30</f>
        <v>9</v>
      </c>
      <c r="T30" s="206" t="s">
        <v>42</v>
      </c>
      <c r="U30" s="203">
        <f t="array" ref="U30">MEDIAN(
_xlfn._xlws.FILTER(
Table9[Private Sector Investment (USD) / Project cost ],
ISNUMBER(Table9[Private Sector Investment (USD) / Project cost ])*
(Table9[Private Sector Investment (USD) / Project cost ]&gt;0)*
(Table9[FCAS Status]="FCAS")
)
)</f>
        <v>0.26501766784452302</v>
      </c>
      <c r="V30" s="203">
        <f t="array" ref="V30">AVERAGE(
_xlfn._xlws.FILTER(
Table9[Private Sector Investment (USD) / Project cost ],
ISNUMBER(Table9[Private Sector Investment (USD) / Project cost ])*
(Table9[Private Sector Investment (USD) / Project cost ]&gt;0)*
(Table9[FCAS Status]="FCAS")
)
)</f>
        <v>0.69414283053442716</v>
      </c>
      <c r="W30" s="15">
        <f>COUNTIFS(
Table9[Private Sector Investment (USD) / Project cost ],"&gt;0",
Table9[FCAS Status],"FCAS"
)</f>
        <v>15</v>
      </c>
      <c r="X30" s="195">
        <f t="array" ref="X30">_xlfn.LET(
_xlpm.data,_xlfn._xlws.FILTER(
Table9[Private Sector Investment (USD) / Project cost ],
ISNUMBER(Table9[Private Sector Investment (USD) / Project cost ])*
(Table9[Private Sector Investment (USD) / Project cost ]&gt;0)*
(Table9[FCAS Status]="FCAS")
),
_xlpm.med,MEDIAN(_xlpm.data),
_xlpm.mad,MEDIAN(ABS(_xlpm.data-_xlpm.med)),
SUMPRODUCT(--(ABS(_xlpm.data-_xlpm.med)&gt;2.5*_xlpm.mad))/COUNT(_xlpm.data)
)</f>
        <v>0.33333333333333331</v>
      </c>
      <c r="Y30" s="15">
        <f t="array" ref="Y30">_xlfn.LET(
_xlpm.data,_xlfn._xlws.FILTER(
Table9[Private Sector Investment (USD) / Project cost ],
ISNUMBER(Table9[Private Sector Investment (USD) / Project cost ])*
(Table9[Private Sector Investment (USD) / Project cost ]&gt;0)*
(Table9[FCAS Status]="FCAS")
),
_xlpm.med,MEDIAN(_xlpm.data),
_xlpm.mad,MEDIAN(ABS(_xlpm.data-_xlpm.med)),
SUMPRODUCT(--(ABS(_xlpm.data-_xlpm.med)&gt;2.5*_xlpm.mad))
)</f>
        <v>5</v>
      </c>
      <c r="Z30" s="203">
        <f t="array" ref="Z30">_xlfn.LET(
_xlpm.data,_xlfn._xlws.FILTER(
Table9[Private Sector Investment (USD) / Project cost ],
ISNUMBER(Table9[Private Sector Investment (USD) / Project cost ])*
(Table9[Private Sector Investment (USD) / Project cost ]&gt;0)*
(Table9[FCAS Status]="FCAS")
),
_xlpm.med,MEDIAN(_xlpm.data),
_xlpm.mad,MEDIAN(ABS(_xlpm.data-_xlpm.med)),
AVERAGE(_xlfn._xlws.FILTER(_xlpm.data,ABS(_xlpm.data-_xlpm.med)&lt;=2.5*_xlpm.mad))
)</f>
        <v>0.15455596198954852</v>
      </c>
      <c r="AA30" s="15">
        <f>W30-Y30</f>
        <v>10</v>
      </c>
      <c r="AC30" s="206" t="s">
        <v>42</v>
      </c>
      <c r="AD30" s="203">
        <f t="array" ref="AD30">MEDIAN(
_xlfn._xlws.FILTER(
Table9[Private Sector Revenues Generated (USD) / Project cost],
ISNUMBER(Table9[Private Sector Revenues Generated (USD) / Project cost])*
(Table9[Private Sector Revenues Generated (USD) / Project cost]&gt;0)*
(Table9[FCAS Status]="FCAS")
)
)</f>
        <v>0.48617511520737328</v>
      </c>
      <c r="AE30" s="203">
        <f t="array" ref="AE30">AVERAGE(
_xlfn._xlws.FILTER(
Table9[Private Sector Revenues Generated (USD) / Project cost],
ISNUMBER(Table9[Private Sector Revenues Generated (USD) / Project cost])*
(Table9[Private Sector Revenues Generated (USD) / Project cost]&gt;0)*
(Table9[FCAS Status]="FCAS")
)
)</f>
        <v>0.75760848986506124</v>
      </c>
      <c r="AF30" s="15">
        <f>COUNTIFS(
Table9[Private Sector Revenues Generated (USD) / Project cost],"&gt;0",
Table9[FCAS Status],"FCAS"
)</f>
        <v>11</v>
      </c>
      <c r="AG30" s="195">
        <f t="array" ref="AG30">_xlfn.LET(
_xlpm.data,_xlfn._xlws.FILTER(
Table9[Private Sector Revenues Generated (USD) / Project cost],
ISNUMBER(Table9[Private Sector Revenues Generated (USD) / Project cost])*
(Table9[Private Sector Revenues Generated (USD) / Project cost]&gt;0)*
(Table9[FCAS Status]="FCAS")
),
_xlpm.med,MEDIAN(_xlpm.data),
_xlpm.mad,MEDIAN(ABS(_xlpm.data-_xlpm.med)),
SUMPRODUCT(--(ABS(_xlpm.data-_xlpm.med)&gt;2.5*_xlpm.mad))/COUNT(_xlpm.data)
)</f>
        <v>0.18181818181818182</v>
      </c>
      <c r="AH30" s="15">
        <f t="array" ref="AH30">_xlfn.LET(
_xlpm.data,_xlfn._xlws.FILTER(
Table9[Private Sector Revenues Generated (USD) / Project cost],
ISNUMBER(Table9[Private Sector Revenues Generated (USD) / Project cost])*
(Table9[Private Sector Revenues Generated (USD) / Project cost]&gt;0)*
(Table9[FCAS Status]="FCAS")
),
_xlpm.med,MEDIAN(_xlpm.data),
_xlpm.mad,MEDIAN(ABS(_xlpm.data-_xlpm.med)),
SUMPRODUCT(--(ABS(_xlpm.data-_xlpm.med)&gt;2.5*_xlpm.mad))
)</f>
        <v>2</v>
      </c>
      <c r="AI30" s="203">
        <f t="array" ref="AI30">_xlfn.LET(
_xlpm.data,_xlfn._xlws.FILTER(
Table9[Private Sector Revenues Generated (USD) / Project cost],
ISNUMBER(Table9[Private Sector Revenues Generated (USD) / Project cost])*
(Table9[Private Sector Revenues Generated (USD) / Project cost]&gt;0)*
(Table9[FCAS Status]="FCAS")
),
_xlpm.med,MEDIAN(_xlpm.data),
_xlpm.mad,MEDIAN(ABS(_xlpm.data-_xlpm.med)),
AVERAGE(_xlfn._xlws.FILTER(_xlpm.data,ABS(_xlpm.data-_xlpm.med)&lt;=2.5*_xlpm.mad))
)</f>
        <v>0.48707640707608274</v>
      </c>
      <c r="AJ30" s="15">
        <f>AF30-AH30</f>
        <v>9</v>
      </c>
      <c r="AL30" s="206" t="s">
        <v>42</v>
      </c>
      <c r="AM30" s="203">
        <f t="array" ref="AM30">MEDIAN(
_xlfn._xlws.FILTER(
Table9[Export Revenue Generated (USD) /Project Cost],
ISNUMBER(Table9[Export Revenue Generated (USD) /Project Cost])*
(Table9[Export Revenue Generated (USD) /Project Cost]&gt;0)*
(Table9[FCAS Status]="FCAS")
)
)</f>
        <v>3.6333847829880667E-2</v>
      </c>
      <c r="AN30" s="203">
        <f t="array" ref="AN30">AVERAGE(
_xlfn._xlws.FILTER(
Table9[Export Revenue Generated (USD) /Project Cost],
ISNUMBER(Table9[Export Revenue Generated (USD) /Project Cost])*
(Table9[Export Revenue Generated (USD) /Project Cost]&gt;0)*
(Table9[FCAS Status]="FCAS")
)
)</f>
        <v>4.4627247193539832E-2</v>
      </c>
      <c r="AO30" s="15">
        <f>COUNTIFS(
Table9[Export Revenue Generated (USD) /Project Cost],"&gt;0",
Table9[FCAS Status],"FCAS"
)</f>
        <v>5</v>
      </c>
      <c r="AP30" s="195">
        <f t="array" ref="AP30">_xlfn.LET(
_xlpm.data,_xlfn._xlws.FILTER(
Table9[Export Revenue Generated (USD) /Project Cost],
ISNUMBER(Table9[Export Revenue Generated (USD) /Project Cost])*
(Table9[Export Revenue Generated (USD) /Project Cost]&gt;0)*
(Table9[FCAS Status]="FCAS")
),
_xlpm.med,MEDIAN(_xlpm.data),
_xlpm.mad,MEDIAN(ABS(_xlpm.data-_xlpm.med)),
SUMPRODUCT(--(ABS(_xlpm.data-_xlpm.med)&gt;2.5*_xlpm.mad))/COUNT(_xlpm.data)
)</f>
        <v>0</v>
      </c>
      <c r="AQ30" s="15">
        <f t="array" ref="AQ30">_xlfn.LET(
_xlpm.data,_xlfn._xlws.FILTER(
Table9[Export Revenue Generated (USD) /Project Cost],
ISNUMBER(Table9[Export Revenue Generated (USD) /Project Cost])*
(Table9[Export Revenue Generated (USD) /Project Cost]&gt;0)*
(Table9[FCAS Status]="FCAS")
),
_xlpm.med,MEDIAN(_xlpm.data),
_xlpm.mad,MEDIAN(ABS(_xlpm.data-_xlpm.med)),
SUMPRODUCT(--(ABS(_xlpm.data-_xlpm.med)&gt;2.5*_xlpm.mad))
)</f>
        <v>0</v>
      </c>
      <c r="AR30" s="203">
        <f t="array" ref="AR30">_xlfn.LET(
_xlpm.data,_xlfn._xlws.FILTER(
Table9[Export Revenue Generated (USD) /Project Cost],
ISNUMBER(Table9[Export Revenue Generated (USD) /Project Cost])*
(Table9[Export Revenue Generated (USD) /Project Cost]&gt;0)*
(Table9[FCAS Status]="FCAS")
),
_xlpm.med,MEDIAN(_xlpm.data),
_xlpm.mad,MEDIAN(ABS(_xlpm.data-_xlpm.med)),
AVERAGE(_xlfn._xlws.FILTER(_xlpm.data,ABS(_xlpm.data-_xlpm.med)&lt;=2.5*_xlpm.mad))
)</f>
        <v>4.4627247193539832E-2</v>
      </c>
      <c r="AS30" s="15">
        <f>AO30-AQ30</f>
        <v>5</v>
      </c>
      <c r="AU30" s="206" t="s">
        <v>42</v>
      </c>
      <c r="AV30" s="202">
        <f t="array" ref="AV30">MEDIAN(
_xlfn._xlws.FILTER(
Table9[Job created per $Mn],
ISNUMBER(Table9[Job created per $Mn])*
(Table9[Job created per $Mn]&gt;0)*
(Table9[FCAS Status]="FCAS")
)
)</f>
        <v>194.39139415246055</v>
      </c>
      <c r="AW30" s="202">
        <f t="array" ref="AW30">AVERAGE(
_xlfn._xlws.FILTER(
Table9[Job created per $Mn],
ISNUMBER(Table9[Job created per $Mn])*
(Table9[Job created per $Mn]&gt;0)*
(Table9[FCAS Status]="FCAS")
)
)</f>
        <v>289.14218128649162</v>
      </c>
      <c r="AX30" s="15">
        <f>COUNTIFS(
Table9[Job created per $Mn],"&gt;0",
Table9[FCAS Status],"FCAS"
)</f>
        <v>12</v>
      </c>
      <c r="AY30" s="195">
        <f t="array" ref="AY30">_xlfn.LET(
_xlpm.data,
_xlfn._xlws.FILTER(
Table9[Job created per $Mn],
ISNUMBER(Table9[Job created per $Mn])*
(Table9[Job created per $Mn]&gt;0)*
(Table9[FCAS Status]="FCAS")
),
_xlpm.med,
MEDIAN(_xlpm.data),
_xlpm.mad,
MEDIAN(ABS(_xlpm.data-_xlpm.med)),
SUMPRODUCT(--(ABS(_xlpm.data-_xlpm.med)&gt;2.5*_xlpm.mad))/COUNT(_xlpm.data)
)</f>
        <v>8.3333333333333329E-2</v>
      </c>
      <c r="AZ30" s="15">
        <f t="array" ref="AZ30">_xlfn.LET(
_xlpm.data,
_xlfn._xlws.FILTER(
Table9[Job created per $Mn],
ISNUMBER(Table9[Job created per $Mn])*
(Table9[Job created per $Mn]&gt;0)*
(Table9[FCAS Status]="FCAS")
),
_xlpm.med,
MEDIAN(_xlpm.data),
_xlpm.mad,
MEDIAN(ABS(_xlpm.data-_xlpm.med)),
SUMPRODUCT(--(ABS(_xlpm.data-_xlpm.med)&gt;2.5*_xlpm.mad))
)</f>
        <v>1</v>
      </c>
      <c r="BA30" s="202">
        <f t="array" ref="BA30">_xlfn.LET(
_xlpm.data,
_xlfn._xlws.FILTER(
Table9[Job created per $Mn],
ISNUMBER(Table9[Job created per $Mn])*
(Table9[Job created per $Mn]&gt;0)*
(Table9[FCAS Status]="FCAS")
),
_xlpm.med,
MEDIAN(_xlpm.data),
_xlpm.mad,
MEDIAN(ABS(_xlpm.data-_xlpm.med)),
AVERAGE(
_xlfn._xlws.FILTER(
_xlpm.data,
ABS(_xlpm.data-_xlpm.med)&lt;=2.5*_xlpm.mad
)
)
)</f>
        <v>235.25294235582641</v>
      </c>
      <c r="BB30" s="15">
        <f>AX30-AZ30</f>
        <v>11</v>
      </c>
      <c r="BD30" s="206" t="s">
        <v>42</v>
      </c>
      <c r="BE30" s="202">
        <f t="array" ref="BE30">MEDIAN(
_xlfn._xlws.FILTER(
Table9[Job improved per $Mn],
ISNUMBER(Table9[Job improved per $Mn])*
(Table9[Job improved per $Mn]&gt;0)*
(Table9[FCAS Status]="FCAS")
)
)</f>
        <v>1482.8571428571429</v>
      </c>
      <c r="BF30" s="202">
        <f t="array" ref="BF30">AVERAGE(
_xlfn._xlws.FILTER(
Table9[Job improved per $Mn],
ISNUMBER(Table9[Job improved per $Mn])*
(Table9[Job improved per $Mn]&gt;0)*
(Table9[FCAS Status]="FCAS")
)
)</f>
        <v>3237.3935420266625</v>
      </c>
      <c r="BG30" s="15">
        <f>COUNTIFS(
Table9[Job improved per $Mn],"&gt;0",
Table9[FCAS Status],"FCAS"
)</f>
        <v>15</v>
      </c>
      <c r="BH30" s="195">
        <f t="array" ref="BH30">_xlfn.LET(
_xlpm.data,
_xlfn._xlws.FILTER(
Table9[Job improved per $Mn],
ISNUMBER(Table9[Job improved per $Mn])*
(Table9[Job improved per $Mn]&gt;0)*
(Table9[FCAS Status]="FCAS")
),
_xlpm.med,
MEDIAN(_xlpm.data),
_xlpm.mad,
MEDIAN(ABS(_xlpm.data-_xlpm.med)),
SUMPRODUCT(--(ABS(_xlpm.data-_xlpm.med)&gt;2.5*_xlpm.mad))/COUNT(_xlpm.data)
)</f>
        <v>0.26666666666666666</v>
      </c>
      <c r="BI30" s="15">
        <f t="array" ref="BI30">_xlfn.LET(
_xlpm.data,
_xlfn._xlws.FILTER(
Table9[Job improved per $Mn],
ISNUMBER(Table9[Job improved per $Mn])*
(Table9[Job improved per $Mn]&gt;0)*
(Table9[FCAS Status]="FCAS")
),
_xlpm.med,
MEDIAN(_xlpm.data),
_xlpm.mad,
MEDIAN(ABS(_xlpm.data-_xlpm.med)),
SUMPRODUCT(--(ABS(_xlpm.data-_xlpm.med)&gt;2.5*_xlpm.mad))
)</f>
        <v>4</v>
      </c>
      <c r="BJ30" s="202">
        <f t="array" ref="BJ30">_xlfn.LET(
_xlpm.data,
_xlfn._xlws.FILTER(
Table9[Job improved per $Mn],
ISNUMBER(Table9[Job improved per $Mn])*
(Table9[Job improved per $Mn]&gt;0)*
(Table9[FCAS Status]="FCAS")
),
_xlpm.med,
MEDIAN(_xlpm.data),
_xlpm.mad,
MEDIAN(ABS(_xlpm.data-_xlpm.med)),
AVERAGE(
_xlfn._xlws.FILTER(
_xlpm.data,
ABS(_xlpm.data-_xlpm.med)&lt;=2.5*_xlpm.mad
)
)
)</f>
        <v>976.5725239665976</v>
      </c>
      <c r="BK30" s="15">
        <f>BG30-BI30</f>
        <v>11</v>
      </c>
      <c r="BM30" s="206" t="s">
        <v>42</v>
      </c>
      <c r="BN30" s="203">
        <f t="array" ref="BN30">MEDIAN(
_xlfn._xlws.FILTER(
Table9[Beneficiary Income (USD) / Project Cost],
ISNUMBER(Table9[Beneficiary Income (USD) / Project Cost])*
(Table9[Beneficiary Income (USD) / Project Cost]&gt;0)*
(Table9[FCAS Status]="FCAS")
)
)</f>
        <v>0.96</v>
      </c>
      <c r="BO30" s="203">
        <f t="array" ref="BO30">AVERAGE(
_xlfn._xlws.FILTER(
Table9[Beneficiary Income (USD) / Project Cost],
ISNUMBER(Table9[Beneficiary Income (USD) / Project Cost])*
(Table9[Beneficiary Income (USD) / Project Cost]&gt;0)*
(Table9[FCAS Status]="FCAS")
)
)</f>
        <v>1.2652241777337252</v>
      </c>
      <c r="BP30" s="15">
        <f>COUNTIFS(
Table9[Beneficiary Income (USD) / Project Cost],"&gt;0",
Table9[FCAS Status],"FCAS"
)</f>
        <v>15</v>
      </c>
      <c r="BQ30" s="195">
        <f t="array" ref="BQ30">_xlfn.LET(
_xlpm.data,
_xlfn._xlws.FILTER(
Table9[Beneficiary Income (USD) / Project Cost],
ISNUMBER(Table9[Beneficiary Income (USD) / Project Cost])*
(Table9[Beneficiary Income (USD) / Project Cost]&gt;0)*
(Table9[FCAS Status]="FCAS")
),
_xlpm.med,
MEDIAN(_xlpm.data),
_xlpm.mad,
MEDIAN(ABS(_xlpm.data-_xlpm.med)),
SUMPRODUCT(--(ABS(_xlpm.data-_xlpm.med)&gt;2.5*_xlpm.mad))/COUNT(_xlpm.data)
)</f>
        <v>0.13333333333333333</v>
      </c>
      <c r="BR30" s="15">
        <f t="array" ref="BR30">_xlfn.LET(
_xlpm.data,
_xlfn._xlws.FILTER(
Table9[Beneficiary Income (USD) / Project Cost],
ISNUMBER(Table9[Beneficiary Income (USD) / Project Cost])*
(Table9[Beneficiary Income (USD) / Project Cost]&gt;0)*
(Table9[FCAS Status]="FCAS")
),
_xlpm.med,
MEDIAN(_xlpm.data),
_xlpm.mad,
MEDIAN(ABS(_xlpm.data-_xlpm.med)),
SUMPRODUCT(--(ABS(_xlpm.data-_xlpm.med)&gt;2.5*_xlpm.mad))
)</f>
        <v>2</v>
      </c>
      <c r="BS30" s="203">
        <f t="array" ref="BS30">_xlfn.LET(
_xlpm.data,
_xlfn._xlws.FILTER(
Table9[Beneficiary Income (USD) / Project Cost],
ISNUMBER(Table9[Beneficiary Income (USD) / Project Cost])*
(Table9[Beneficiary Income (USD) / Project Cost]&gt;0)*
(Table9[FCAS Status]="FCAS")
),
_xlpm.med,
MEDIAN(_xlpm.data),
_xlpm.mad,
MEDIAN(ABS(_xlpm.data-_xlpm.med)),
AVERAGE(
_xlfn._xlws.FILTER(
_xlpm.data,
ABS(_xlpm.data-_xlpm.med)&lt;=2.5*_xlpm.mad
)
)
)</f>
        <v>0.91767787609304985</v>
      </c>
      <c r="BT30" s="15">
        <f>BP30-BR30</f>
        <v>13</v>
      </c>
    </row>
    <row r="31" spans="2:72" ht="14.45" customHeight="1" x14ac:dyDescent="0.25">
      <c r="B31" s="376" t="s">
        <v>646</v>
      </c>
      <c r="C31" s="373"/>
      <c r="D31" s="373"/>
      <c r="E31" s="373"/>
      <c r="F31" s="420"/>
      <c r="G31" s="373"/>
      <c r="H31" s="373"/>
      <c r="I31" s="373"/>
      <c r="J31" s="417"/>
      <c r="K31" s="376" t="s">
        <v>646</v>
      </c>
      <c r="L31" s="373"/>
      <c r="M31" s="373"/>
      <c r="N31" s="373"/>
      <c r="O31" s="420"/>
      <c r="P31" s="373"/>
      <c r="Q31" s="373"/>
      <c r="R31" s="373"/>
      <c r="S31" s="417"/>
      <c r="T31" s="376" t="s">
        <v>646</v>
      </c>
      <c r="U31" s="373"/>
      <c r="V31" s="373"/>
      <c r="W31" s="373"/>
      <c r="X31" s="373"/>
      <c r="Y31" s="373"/>
      <c r="Z31" s="373"/>
      <c r="AA31" s="373"/>
      <c r="AB31" s="417"/>
      <c r="AC31" s="376" t="s">
        <v>646</v>
      </c>
      <c r="AD31" s="373"/>
      <c r="AE31" s="373"/>
      <c r="AF31" s="373"/>
      <c r="AG31" s="373"/>
      <c r="AH31" s="373"/>
      <c r="AI31" s="373"/>
      <c r="AJ31" s="373"/>
      <c r="AK31" s="417"/>
      <c r="AL31" s="376" t="s">
        <v>646</v>
      </c>
      <c r="AM31" s="373"/>
      <c r="AN31" s="373"/>
      <c r="AO31" s="373"/>
      <c r="AP31" s="373"/>
      <c r="AQ31" s="373"/>
      <c r="AR31" s="373"/>
      <c r="AS31" s="373"/>
      <c r="AT31" s="417"/>
      <c r="AU31" s="376" t="s">
        <v>646</v>
      </c>
      <c r="AV31" s="373"/>
      <c r="AW31" s="373"/>
      <c r="AX31" s="373"/>
      <c r="AY31" s="373"/>
      <c r="AZ31" s="373"/>
      <c r="BA31" s="373"/>
      <c r="BB31" s="373"/>
      <c r="BC31" s="417"/>
      <c r="BD31" s="376" t="s">
        <v>646</v>
      </c>
      <c r="BE31" s="373"/>
      <c r="BF31" s="373"/>
      <c r="BG31" s="373"/>
      <c r="BH31" s="420"/>
      <c r="BI31" s="373"/>
      <c r="BJ31" s="373"/>
      <c r="BK31" s="373"/>
      <c r="BL31" s="417"/>
      <c r="BM31" s="376" t="s">
        <v>646</v>
      </c>
      <c r="BN31" s="373"/>
      <c r="BO31" s="373"/>
      <c r="BP31" s="373"/>
      <c r="BQ31" s="420"/>
      <c r="BR31" s="373"/>
      <c r="BS31" s="373"/>
      <c r="BT31" s="373"/>
    </row>
    <row r="32" spans="2:72" x14ac:dyDescent="0.25">
      <c r="B32" s="206" t="s">
        <v>647</v>
      </c>
      <c r="C32" s="202">
        <f t="array" ref="C32">MEDIAN(_xlfn._xlws.FILTER(Table9[Income per beneficiary (USD)],(Table9[Income per beneficiary (USD)]&gt;0)*ISNUMBER(SEARCH("job creation",Table9[Primary Objective]))))</f>
        <v>285.22750050110238</v>
      </c>
      <c r="D32" s="202">
        <f t="array" ref="D32">AVERAGE(_xlfn._xlws.FILTER(Table9[Income per beneficiary (USD)],(Table9[Income per beneficiary (USD)]&gt;0)*ISNUMBER(SEARCH("job creation",Table9[Primary Objective]))))</f>
        <v>575.23285112772339</v>
      </c>
      <c r="E32" s="15">
        <f>COUNTIFS(Table9[Income per beneficiary (USD)],"&gt;0",Table9[Primary Objective],"*job creation*")</f>
        <v>21</v>
      </c>
      <c r="F32" s="195">
        <f t="array" ref="F32">_xlfn.LET(
_xlpm.data,_xlfn._xlws.FILTER(
Table9[Income per beneficiary (USD)],
(Table9[Income per beneficiary (USD)]&gt;0)*
ISNUMBER(SEARCH("job creation",Table9[Primary Objective]))
),
_xlpm.med,MEDIAN(_xlpm.data),
_xlpm.mad,MEDIAN(ABS(_xlpm.data-_xlpm.med)),
SUMPRODUCT(--(ABS(_xlpm.data-_xlpm.med)&gt;2.5*_xlpm.mad))/COUNT(_xlpm.data)
)</f>
        <v>0.14285714285714285</v>
      </c>
      <c r="G32" s="15">
        <f t="array" ref="G32">_xlfn.LET(
_xlpm.data,_xlfn._xlws.FILTER(
Table9[Income per beneficiary (USD)],
(Table9[Income per beneficiary (USD)]&gt;0)*
ISNUMBER(SEARCH("job creation",Table9[Primary Objective]))
),
_xlpm.med,MEDIAN(_xlpm.data),
_xlpm.mad,MEDIAN(ABS(_xlpm.data-_xlpm.med)),
SUMPRODUCT(--(ABS(_xlpm.data-_xlpm.med)&gt;2.5*_xlpm.mad))
)</f>
        <v>3</v>
      </c>
      <c r="H32" s="202">
        <f t="array" ref="H32">_xlfn.LET(
_xlpm.data,_xlfn._xlws.FILTER(
Table9[Income per beneficiary (USD)],
(Table9[Income per beneficiary (USD)]&gt;0)*
ISNUMBER(SEARCH("job creation",Table9[Primary Objective]))
),
_xlpm.med,MEDIAN(_xlpm.data),
_xlpm.mad,MEDIAN(ABS(_xlpm.data-_xlpm.med)),
AVERAGE(_xlfn._xlws.FILTER(_xlpm.data,ABS(_xlpm.data-_xlpm.med)&lt;=2.5*_xlpm.mad))
)</f>
        <v>248.00016887164691</v>
      </c>
      <c r="I32" s="202">
        <f>E32-G32</f>
        <v>18</v>
      </c>
      <c r="J32" s="130"/>
      <c r="K32" s="206" t="s">
        <v>647</v>
      </c>
      <c r="L32" s="203">
        <f t="array" ref="L32">MEDIAN(_xlfn._xlws.FILTER(Table9[Normalised Income Impact Ratio],ISNUMBER(Table9[Normalised Income Impact Ratio])*(Table9[Normalised Income Impact Ratio]&gt;0)*ISNUMBER(SEARCH("job creation",Table9[Primary Objective]))))</f>
        <v>2.5295999999999999E-2</v>
      </c>
      <c r="M32" s="203">
        <f t="array" ref="M32">AVERAGE(_xlfn._xlws.FILTER(Table9[Normalised Income Impact Ratio],ISNUMBER(Table9[Normalised Income Impact Ratio])*(Table9[Normalised Income Impact Ratio]&gt;0)*ISNUMBER(SEARCH("job creation",Table9[Primary Objective]))))</f>
        <v>7.6674964497304085E-2</v>
      </c>
      <c r="N32" s="15">
        <f>COUNTIFS(Table9[Normalised Income Impact Ratio],"&gt;0",Table9[Primary Objective],"*job creation*")</f>
        <v>21</v>
      </c>
      <c r="O32" s="195">
        <f t="array" ref="O32">_xlfn.LET(_xlpm.data,_xlfn._xlws.FILTER(Table9[Normalised Income Impact Ratio],ISNUMBER(Table9[Normalised Income Impact Ratio])*(Table9[Normalised Income Impact Ratio]&gt;0)*ISNUMBER(SEARCH("job creation",Table9[Primary Objective]))),_xlpm.med,MEDIAN(_xlpm.data),_xlpm.mad,MEDIAN(ABS(_xlpm.data-_xlpm.med)),SUMPRODUCT(--(ABS(_xlpm.data-_xlpm.med)&gt;2.5*_xlpm.mad))/COUNT(_xlpm.data))</f>
        <v>0.2857142857142857</v>
      </c>
      <c r="P32" s="15">
        <f t="array" ref="P32">_xlfn.LET(_xlpm.data,_xlfn._xlws.FILTER(Table9[Normalised Income Impact Ratio],ISNUMBER(Table9[Normalised Income Impact Ratio])*(Table9[Normalised Income Impact Ratio]&gt;0)*ISNUMBER(SEARCH("job creation",Table9[Primary Objective]))),_xlpm.med,MEDIAN(_xlpm.data),_xlpm.mad,MEDIAN(ABS(_xlpm.data-_xlpm.med)),SUMPRODUCT(--(ABS(_xlpm.data-_xlpm.med)&gt;2.5*_xlpm.mad)))</f>
        <v>6</v>
      </c>
      <c r="Q32" s="203">
        <f t="array" ref="Q32">_xlfn.LET(_xlpm.data,_xlfn._xlws.FILTER(Table9[Normalised Income Impact Ratio],ISNUMBER(Table9[Normalised Income Impact Ratio])*(Table9[Normalised Income Impact Ratio]&gt;0)*ISNUMBER(SEARCH("job creation",Table9[Primary Objective]))),_xlpm.med,MEDIAN(_xlpm.data),_xlpm.mad,MEDIAN(ABS(_xlpm.data-_xlpm.med)),AVERAGE(_xlfn._xlws.FILTER(_xlpm.data,ABS(_xlpm.data-_xlpm.med)&lt;=2.5*_xlpm.mad)))</f>
        <v>2.0102962624800894E-2</v>
      </c>
      <c r="R32" s="15">
        <f>N32-P32</f>
        <v>15</v>
      </c>
      <c r="T32" s="206" t="s">
        <v>647</v>
      </c>
      <c r="U32" s="203">
        <f t="array" ref="U32">MEDIAN(
_xlfn._xlws.FILTER(
Table9[Private Sector Investment (USD) / Project cost ],
ISNUMBER(Table9[Private Sector Investment (USD) / Project cost ])*
(Table9[Private Sector Investment (USD) / Project cost ]&gt;0)*
ISNUMBER(SEARCH("job creation",Table9[Primary Objective]))
)
)</f>
        <v>0.81891687625434328</v>
      </c>
      <c r="V32" s="203">
        <f t="array" ref="V32">AVERAGE(
_xlfn._xlws.FILTER(
Table9[Private Sector Investment (USD) / Project cost ],
ISNUMBER(Table9[Private Sector Investment (USD) / Project cost ])*
(Table9[Private Sector Investment (USD) / Project cost ]&gt;0)*
ISNUMBER(SEARCH("job creation",Table9[Primary Objective]))
)
)</f>
        <v>2.3058583342713233</v>
      </c>
      <c r="W32" s="15">
        <f>COUNTIFS(
Table9[Private Sector Investment (USD) / Project cost ],"&gt;0",
Table9[Primary Objective],"*job creation*"
)</f>
        <v>32</v>
      </c>
      <c r="X32" s="195">
        <f t="array" ref="X32">_xlfn.LET(
_xlpm.data,_xlfn._xlws.FILTER(
Table9[Private Sector Investment (USD) / Project cost ],
ISNUMBER(Table9[Private Sector Investment (USD) / Project cost ])*
(Table9[Private Sector Investment (USD) / Project cost ]&gt;0)*
ISNUMBER(SEARCH("job creation",Table9[Primary Objective]))
),
_xlpm.med,MEDIAN(_xlpm.data),
_xlpm.mad,MEDIAN(ABS(_xlpm.data-_xlpm.med)),
SUMPRODUCT(--(ABS(_xlpm.data-_xlpm.med)&gt;2.5*_xlpm.mad))/COUNT(_xlpm.data)
)</f>
        <v>0.1875</v>
      </c>
      <c r="Y32" s="15">
        <f t="array" ref="Y32">_xlfn.LET(
_xlpm.data,_xlfn._xlws.FILTER(
Table9[Private Sector Investment (USD) / Project cost ],
ISNUMBER(Table9[Private Sector Investment (USD) / Project cost ])*
(Table9[Private Sector Investment (USD) / Project cost ]&gt;0)*
ISNUMBER(SEARCH("job creation",Table9[Primary Objective]))
),
_xlpm.med,MEDIAN(_xlpm.data),
_xlpm.mad,MEDIAN(ABS(_xlpm.data-_xlpm.med)),
SUMPRODUCT(--(ABS(_xlpm.data-_xlpm.med)&gt;2.5*_xlpm.mad))
)</f>
        <v>6</v>
      </c>
      <c r="Z32" s="203">
        <f t="array" ref="Z32">_xlfn.LET(
_xlpm.data,_xlfn._xlws.FILTER(
Table9[Private Sector Investment (USD) / Project cost ],
ISNUMBER(Table9[Private Sector Investment (USD) / Project cost ])*
(Table9[Private Sector Investment (USD) / Project cost ]&gt;0)*
ISNUMBER(SEARCH("job creation",Table9[Primary Objective]))
),
_xlpm.med,MEDIAN(_xlpm.data),
_xlpm.mad,MEDIAN(ABS(_xlpm.data-_xlpm.med)),
AVERAGE(_xlfn._xlws.FILTER(_xlpm.data,ABS(_xlpm.data-_xlpm.med)&lt;=2.5*_xlpm.mad))
)</f>
        <v>0.70459181377280466</v>
      </c>
      <c r="AA32" s="15">
        <f>W32-Y32</f>
        <v>26</v>
      </c>
      <c r="AC32" s="206" t="s">
        <v>647</v>
      </c>
      <c r="AD32" s="203">
        <f t="array" ref="AD32">MEDIAN(
_xlfn._xlws.FILTER(
Table9[Private Sector Revenues Generated (USD) / Project cost],
ISNUMBER(Table9[Private Sector Revenues Generated (USD) / Project cost])*
(Table9[Private Sector Revenues Generated (USD) / Project cost]&gt;0)*
ISNUMBER(SEARCH("job creation",Table9[Primary Objective]))
)
)</f>
        <v>1.9212935826045361</v>
      </c>
      <c r="AE32" s="203">
        <f t="array" ref="AE32">AVERAGE(
_xlfn._xlws.FILTER(
Table9[Private Sector Revenues Generated (USD) / Project cost],
ISNUMBER(Table9[Private Sector Revenues Generated (USD) / Project cost])*
(Table9[Private Sector Revenues Generated (USD) / Project cost]&gt;0)*
ISNUMBER(SEARCH("job creation",Table9[Primary Objective]))
)
)</f>
        <v>3.9556704207931435</v>
      </c>
      <c r="AF32" s="15">
        <f>COUNTIFS(
Table9[Private Sector Revenues Generated (USD) / Project cost],"&gt;0",
Table9[Primary Objective],"*job creation*"
)</f>
        <v>26</v>
      </c>
      <c r="AG32" s="195">
        <f t="array" ref="AG32">_xlfn.LET(
_xlpm.data,_xlfn._xlws.FILTER(
Table9[Private Sector Revenues Generated (USD) / Project cost],
ISNUMBER(Table9[Private Sector Revenues Generated (USD) / Project cost])*
(Table9[Private Sector Revenues Generated (USD) / Project cost]&gt;0)*
ISNUMBER(SEARCH("job creation",Table9[Primary Objective]))
),
_xlpm.med,MEDIAN(_xlpm.data),
_xlpm.mad,MEDIAN(ABS(_xlpm.data-_xlpm.med)),
SUMPRODUCT(--(ABS(_xlpm.data-_xlpm.med)&gt;2.5*_xlpm.mad))/COUNT(_xlpm.data)
)</f>
        <v>0.23076923076923078</v>
      </c>
      <c r="AH32" s="15">
        <f t="array" ref="AH32">_xlfn.LET(
_xlpm.data,_xlfn._xlws.FILTER(
Table9[Private Sector Revenues Generated (USD) / Project cost],
ISNUMBER(Table9[Private Sector Revenues Generated (USD) / Project cost])*
(Table9[Private Sector Revenues Generated (USD) / Project cost]&gt;0)*
ISNUMBER(SEARCH("job creation",Table9[Primary Objective]))
),
_xlpm.med,MEDIAN(_xlpm.data),
_xlpm.mad,MEDIAN(ABS(_xlpm.data-_xlpm.med)),
SUMPRODUCT(--(ABS(_xlpm.data-_xlpm.med)&gt;2.5*_xlpm.mad))
)</f>
        <v>6</v>
      </c>
      <c r="AI32" s="203">
        <f t="array" ref="AI32">_xlfn.LET(
_xlpm.data,_xlfn._xlws.FILTER(
Table9[Private Sector Revenues Generated (USD) / Project cost],
ISNUMBER(Table9[Private Sector Revenues Generated (USD) / Project cost])*
(Table9[Private Sector Revenues Generated (USD) / Project cost]&gt;0)*
ISNUMBER(SEARCH("job creation",Table9[Primary Objective]))
),
_xlpm.med,MEDIAN(_xlpm.data),
_xlpm.mad,MEDIAN(ABS(_xlpm.data-_xlpm.med)),
AVERAGE(_xlfn._xlws.FILTER(_xlpm.data,ABS(_xlpm.data-_xlpm.med)&lt;=2.5*_xlpm.mad))
)</f>
        <v>1.3200447411983578</v>
      </c>
      <c r="AJ32" s="15">
        <f>AF32-AH32</f>
        <v>20</v>
      </c>
      <c r="AL32" s="206" t="s">
        <v>647</v>
      </c>
      <c r="AM32" s="203">
        <f t="array" ref="AM32">MEDIAN(
_xlfn._xlws.FILTER(
Table9[Export Revenue Generated (USD) /Project Cost],
ISNUMBER(Table9[Export Revenue Generated (USD) /Project Cost])*
(Table9[Export Revenue Generated (USD) /Project Cost]&gt;0)*
ISNUMBER(SEARCH("job creation",Table9[Primary Objective]))
)
)</f>
        <v>0.10208563993256134</v>
      </c>
      <c r="AN32" s="203">
        <f t="array" ref="AN32">AVERAGE(
_xlfn._xlws.FILTER(
Table9[Export Revenue Generated (USD) /Project Cost],
ISNUMBER(Table9[Export Revenue Generated (USD) /Project Cost])*
(Table9[Export Revenue Generated (USD) /Project Cost]&gt;0)*
ISNUMBER(SEARCH("job creation",Table9[Primary Objective]))
)
)</f>
        <v>8.3217404856190882</v>
      </c>
      <c r="AO32" s="15">
        <f>COUNTIFS(
Table9[Export Revenue Generated (USD) /Project Cost],"&gt;0",
Table9[Primary Objective],"*job creation*"
)</f>
        <v>10</v>
      </c>
      <c r="AP32" s="195">
        <f t="array" ref="AP32">_xlfn.LET(
_xlpm.data,_xlfn._xlws.FILTER(
Table9[Export Revenue Generated (USD) /Project Cost],
ISNUMBER(Table9[Export Revenue Generated (USD) /Project Cost])*
(Table9[Export Revenue Generated (USD) /Project Cost]&gt;0)*
ISNUMBER(SEARCH("job creation",Table9[Primary Objective]))
),
_xlpm.med,MEDIAN(_xlpm.data),
_xlpm.mad,MEDIAN(ABS(_xlpm.data-_xlpm.med)),
SUMPRODUCT(--(ABS(_xlpm.data-_xlpm.med)&gt;2.5*_xlpm.mad))/COUNT(_xlpm.data)
)</f>
        <v>0.3</v>
      </c>
      <c r="AQ32" s="15">
        <f t="array" ref="AQ32">_xlfn.LET(
_xlpm.data,_xlfn._xlws.FILTER(
Table9[Export Revenue Generated (USD) /Project Cost],
ISNUMBER(Table9[Export Revenue Generated (USD) /Project Cost])*
(Table9[Export Revenue Generated (USD) /Project Cost]&gt;0)*
ISNUMBER(SEARCH("job creation",Table9[Primary Objective]))
),
_xlpm.med,MEDIAN(_xlpm.data),
_xlpm.mad,MEDIAN(ABS(_xlpm.data-_xlpm.med)),
SUMPRODUCT(--(ABS(_xlpm.data-_xlpm.med)&gt;2.5*_xlpm.mad))
)</f>
        <v>3</v>
      </c>
      <c r="AR32" s="203">
        <f t="array" ref="AR32">_xlfn.LET(
_xlpm.data,_xlfn._xlws.FILTER(
Table9[Export Revenue Generated (USD) /Project Cost],
ISNUMBER(Table9[Export Revenue Generated (USD) /Project Cost])*
(Table9[Export Revenue Generated (USD) /Project Cost]&gt;0)*
ISNUMBER(SEARCH("job creation",Table9[Primary Objective]))
),
_xlpm.med,MEDIAN(_xlpm.data),
_xlpm.mad,MEDIAN(ABS(_xlpm.data-_xlpm.med)),
AVERAGE(_xlfn._xlws.FILTER(_xlpm.data,ABS(_xlpm.data-_xlpm.med)&lt;=2.5*_xlpm.mad))
)</f>
        <v>7.4373766549661421E-2</v>
      </c>
      <c r="AS32" s="15">
        <f>AO32-AQ32</f>
        <v>7</v>
      </c>
      <c r="AU32" s="206" t="s">
        <v>647</v>
      </c>
      <c r="AV32" s="202">
        <f t="array" ref="AV32">MEDIAN(
_xlfn._xlws.FILTER(
Table9[Job created per $Mn],
ISNUMBER(Table9[Job created per $Mn])*
(Table9[Job created per $Mn]&gt;0)*
ISNUMBER(SEARCH("job creation",Table9[Primary Objective]))
)
)</f>
        <v>337.46556473829202</v>
      </c>
      <c r="AW32" s="202">
        <f t="array" ref="AW32">AVERAGE(
_xlfn._xlws.FILTER(
Table9[Job created per $Mn],
ISNUMBER(Table9[Job created per $Mn])*
(Table9[Job created per $Mn]&gt;0)*
ISNUMBER(SEARCH("job creation",Table9[Primary Objective]))
)
)</f>
        <v>1005.0752799281297</v>
      </c>
      <c r="AX32" s="15">
        <f>COUNTIFS(
Table9[Job created per $Mn],"&gt;0",
Table9[Primary Objective],"*job creation*"
)</f>
        <v>37</v>
      </c>
      <c r="AY32" s="195">
        <f t="array" ref="AY32">_xlfn.LET(
_xlpm.data,
_xlfn._xlws.FILTER(
Table9[Job created per $Mn],
ISNUMBER(Table9[Job created per $Mn])*
(Table9[Job created per $Mn]&gt;0)*
ISNUMBER(SEARCH("job creation",Table9[Primary Objective]))
),
_xlpm.med,
MEDIAN(_xlpm.data),
_xlpm.mad,
MEDIAN(ABS(_xlpm.data-_xlpm.med)),
SUMPRODUCT(--(ABS(_xlpm.data-_xlpm.med)&gt;2.5*_xlpm.mad))/COUNT(_xlpm.data)
)</f>
        <v>0.24324324324324326</v>
      </c>
      <c r="AZ32" s="15">
        <f t="array" ref="AZ32">_xlfn.LET(
_xlpm.data,
_xlfn._xlws.FILTER(
Table9[Job created per $Mn],
ISNUMBER(Table9[Job created per $Mn])*
(Table9[Job created per $Mn]&gt;0)*
ISNUMBER(SEARCH("job creation",Table9[Primary Objective]))
),
_xlpm.med,
MEDIAN(_xlpm.data),
_xlpm.mad,
MEDIAN(ABS(_xlpm.data-_xlpm.med)),
SUMPRODUCT(--(ABS(_xlpm.data-_xlpm.med)&gt;2.5*_xlpm.mad))
)</f>
        <v>9</v>
      </c>
      <c r="BA32" s="202">
        <f t="array" ref="BA32">_xlfn.LET(
_xlpm.data,
_xlfn._xlws.FILTER(
Table9[Job created per $Mn],
ISNUMBER(Table9[Job created per $Mn])*
(Table9[Job created per $Mn]&gt;0)*
ISNUMBER(SEARCH("job creation",Table9[Primary Objective]))
),
_xlpm.med,
MEDIAN(_xlpm.data),
_xlpm.mad,
MEDIAN(ABS(_xlpm.data-_xlpm.med)),
AVERAGE(
_xlfn._xlws.FILTER(
_xlpm.data,
ABS(_xlpm.data-_xlpm.med)&lt;=2.5*_xlpm.mad
)
)
)</f>
        <v>292.02061040714676</v>
      </c>
      <c r="BB32" s="15">
        <f>AX32-AZ32</f>
        <v>28</v>
      </c>
      <c r="BD32" s="206" t="s">
        <v>647</v>
      </c>
      <c r="BE32" s="202">
        <f t="array" ref="BE32">MEDIAN(
_xlfn._xlws.FILTER(
Table9[Job improved per $Mn],
ISNUMBER(Table9[Job improved per $Mn])*
(Table9[Job improved per $Mn]&gt;0)*
ISNUMBER(SEARCH("job creation",Table9[Primary Objective]))
)
)</f>
        <v>1518.075432761626</v>
      </c>
      <c r="BF32" s="202">
        <f t="array" ref="BF32">AVERAGE(
_xlfn._xlws.FILTER(
Table9[Job improved per $Mn],
ISNUMBER(Table9[Job improved per $Mn])*
(Table9[Job improved per $Mn]&gt;0)*
ISNUMBER(SEARCH("job creation",Table9[Primary Objective]))
)
)</f>
        <v>6768.3212406701723</v>
      </c>
      <c r="BG32" s="15">
        <f>COUNTIFS(
Table9[Job improved per $Mn],"&gt;0",
Table9[Primary Objective],"*job creation*"
)</f>
        <v>31</v>
      </c>
      <c r="BH32" s="195">
        <f t="array" ref="BH32">_xlfn.LET(
_xlpm.data,
_xlfn._xlws.FILTER(
Table9[Job improved per $Mn],
ISNUMBER(Table9[Job improved per $Mn])*
(Table9[Job improved per $Mn]&gt;0)*
ISNUMBER(SEARCH("job creation",Table9[Primary Objective]))
),
_xlpm.med,
MEDIAN(_xlpm.data),
_xlpm.mad,
MEDIAN(ABS(_xlpm.data-_xlpm.med)),
SUMPRODUCT(--(ABS(_xlpm.data-_xlpm.med)&gt;2.5*_xlpm.mad))/COUNT(_xlpm.data)
)</f>
        <v>0.35483870967741937</v>
      </c>
      <c r="BI32" s="15">
        <f t="array" ref="BI32">_xlfn.LET(
_xlpm.data,
_xlfn._xlws.FILTER(
Table9[Job improved per $Mn],
ISNUMBER(Table9[Job improved per $Mn])*
(Table9[Job improved per $Mn]&gt;0)*
ISNUMBER(SEARCH("job creation",Table9[Primary Objective]))
),
_xlpm.med,
MEDIAN(_xlpm.data),
_xlpm.mad,
MEDIAN(ABS(_xlpm.data-_xlpm.med)),
SUMPRODUCT(--(ABS(_xlpm.data-_xlpm.med)&gt;2.5*_xlpm.mad))
)</f>
        <v>11</v>
      </c>
      <c r="BJ32" s="202">
        <f t="array" ref="BJ32">_xlfn.LET(
_xlpm.data,
_xlfn._xlws.FILTER(
Table9[Job improved per $Mn],
ISNUMBER(Table9[Job improved per $Mn])*
(Table9[Job improved per $Mn]&gt;0)*
ISNUMBER(SEARCH("job creation",Table9[Primary Objective]))
),
_xlpm.med,
MEDIAN(_xlpm.data),
_xlpm.mad,
MEDIAN(ABS(_xlpm.data-_xlpm.med)),
AVERAGE(
_xlfn._xlws.FILTER(
_xlpm.data,
ABS(_xlpm.data-_xlpm.med)&lt;=2.5*_xlpm.mad
)
)
)</f>
        <v>1089.2881721427452</v>
      </c>
      <c r="BK32" s="15">
        <f>BG32-BI32</f>
        <v>20</v>
      </c>
      <c r="BM32" s="206" t="s">
        <v>647</v>
      </c>
      <c r="BN32" s="203">
        <f t="array" ref="BN32">MEDIAN(
_xlfn._xlws.FILTER(
Table9[Beneficiary Income (USD) / Project Cost],
ISNUMBER(Table9[Beneficiary Income (USD) / Project Cost])*
(Table9[Beneficiary Income (USD) / Project Cost]&gt;0)*
ISNUMBER(SEARCH("job creation",Table9[Primary Objective]))
)
)</f>
        <v>1.0677128233333331</v>
      </c>
      <c r="BO32" s="203">
        <f t="array" ref="BO32">AVERAGE(
_xlfn._xlws.FILTER(
Table9[Beneficiary Income (USD) / Project Cost],
ISNUMBER(Table9[Beneficiary Income (USD) / Project Cost])*
(Table9[Beneficiary Income (USD) / Project Cost]&gt;0)*
ISNUMBER(SEARCH("job creation",Table9[Primary Objective]))
)
)</f>
        <v>1.3478918076797699</v>
      </c>
      <c r="BP32" s="15">
        <f>COUNTIFS(
Table9[Beneficiary Income (USD) / Project Cost],"&gt;0",
Table9[Primary Objective],"*job creation*"
)</f>
        <v>21</v>
      </c>
      <c r="BQ32" s="195">
        <f t="array" ref="BQ32">_xlfn.LET(
_xlpm.data,
_xlfn._xlws.FILTER(
Table9[Beneficiary Income (USD) / Project Cost],
ISNUMBER(Table9[Beneficiary Income (USD) / Project Cost])*
(Table9[Beneficiary Income (USD) / Project Cost]&gt;0)*
ISNUMBER(SEARCH("job creation",Table9[Primary Objective]))
),
_xlpm.med,
MEDIAN(_xlpm.data),
_xlpm.mad,
MEDIAN(ABS(_xlpm.data-_xlpm.med)),
SUMPRODUCT(--(ABS(_xlpm.data-_xlpm.med)&gt;2.5*_xlpm.mad))/COUNT(_xlpm.data)
)</f>
        <v>0.14285714285714285</v>
      </c>
      <c r="BR32" s="15">
        <f t="array" ref="BR32">_xlfn.LET(
_xlpm.data,
_xlfn._xlws.FILTER(
Table9[Beneficiary Income (USD) / Project Cost],
ISNUMBER(Table9[Beneficiary Income (USD) / Project Cost])*
(Table9[Beneficiary Income (USD) / Project Cost]&gt;0)*
ISNUMBER(SEARCH("job creation",Table9[Primary Objective]))
),
_xlpm.med,
MEDIAN(_xlpm.data),
_xlpm.mad,
MEDIAN(ABS(_xlpm.data-_xlpm.med)),
SUMPRODUCT(--(ABS(_xlpm.data-_xlpm.med)&gt;2.5*_xlpm.mad))
)</f>
        <v>3</v>
      </c>
      <c r="BS32" s="203">
        <f t="array" ref="BS32">_xlfn.LET(
_xlpm.data,
_xlfn._xlws.FILTER(
Table9[Beneficiary Income (USD) / Project Cost],
ISNUMBER(Table9[Beneficiary Income (USD) / Project Cost])*
(Table9[Beneficiary Income (USD) / Project Cost]&gt;0)*
ISNUMBER(SEARCH("job creation",Table9[Primary Objective]))
),
_xlpm.med,
MEDIAN(_xlpm.data),
_xlpm.mad,
MEDIAN(ABS(_xlpm.data-_xlpm.med)),
AVERAGE(
_xlfn._xlws.FILTER(
_xlpm.data,
ABS(_xlpm.data-_xlpm.med)&lt;=2.5*_xlpm.mad
)
)
)</f>
        <v>1.0373108229885604</v>
      </c>
      <c r="BT32" s="15">
        <f>BP32-BR32</f>
        <v>18</v>
      </c>
    </row>
    <row r="33" spans="2:72" x14ac:dyDescent="0.25">
      <c r="B33" s="206" t="s">
        <v>648</v>
      </c>
      <c r="C33" s="202">
        <f t="array" ref="C33">MEDIAN(_xlfn._xlws.FILTER(Table9[Income per beneficiary (USD)],(Table9[Income per beneficiary (USD)]&gt;0)*ISNUMBER(SEARCH("income improvement",Table9[Primary Objective]))))</f>
        <v>189.99599231861066</v>
      </c>
      <c r="D33" s="202">
        <f t="array" ref="D33">AVERAGE(_xlfn._xlws.FILTER(Table9[Income per beneficiary (USD)],(Table9[Income per beneficiary (USD)]&gt;0)*ISNUMBER(SEARCH("income improvement",Table9[Primary Objective]))))</f>
        <v>446.14076697653491</v>
      </c>
      <c r="E33" s="15">
        <f>COUNTIFS(Table9[Income per beneficiary (USD)],"&gt;0",Table9[Primary Objective],"*income improvement*")</f>
        <v>44</v>
      </c>
      <c r="F33" s="195">
        <f t="array" ref="F33">_xlfn.LET(
_xlpm.data,_xlfn._xlws.FILTER(
Table9[Income per beneficiary (USD)],
(Table9[Income per beneficiary (USD)]&gt;0)*
ISNUMBER(SEARCH("income improvement",Table9[Primary Objective]))
),
_xlpm.med,MEDIAN(_xlpm.data),
_xlpm.mad,MEDIAN(ABS(_xlpm.data-_xlpm.med)),
SUMPRODUCT(--(ABS(_xlpm.data-_xlpm.med)&gt;2.5*_xlpm.mad))/COUNT(_xlpm.data)
)</f>
        <v>0.20454545454545456</v>
      </c>
      <c r="G33" s="15">
        <f t="array" ref="G33">_xlfn.LET(
_xlpm.data,_xlfn._xlws.FILTER(
Table9[Income per beneficiary (USD)],
(Table9[Income per beneficiary (USD)]&gt;0)*
ISNUMBER(SEARCH("income improvement",Table9[Primary Objective]))
),
_xlpm.med,MEDIAN(_xlpm.data),
_xlpm.mad,MEDIAN(ABS(_xlpm.data-_xlpm.med)),
SUMPRODUCT(--(ABS(_xlpm.data-_xlpm.med)&gt;2.5*_xlpm.mad))
)</f>
        <v>9</v>
      </c>
      <c r="H33" s="202">
        <f t="array" ref="H33">_xlfn.LET(
_xlpm.data,_xlfn._xlws.FILTER(
Table9[Income per beneficiary (USD)],
(Table9[Income per beneficiary (USD)]&gt;0)*
ISNUMBER(SEARCH("income improvement",Table9[Primary Objective]))
),
_xlpm.med,MEDIAN(_xlpm.data),
_xlpm.mad,MEDIAN(ABS(_xlpm.data-_xlpm.med)),
AVERAGE(_xlfn._xlws.FILTER(_xlpm.data,ABS(_xlpm.data-_xlpm.med)&lt;=2.5*_xlpm.mad))
)</f>
        <v>193.20709578774699</v>
      </c>
      <c r="I33" s="202">
        <f>E33-G33</f>
        <v>35</v>
      </c>
      <c r="J33" s="130"/>
      <c r="K33" s="206" t="s">
        <v>648</v>
      </c>
      <c r="L33" s="203">
        <f t="array" ref="L33">MEDIAN(_xlfn._xlws.FILTER(Table9[Normalised Income Impact Ratio],ISNUMBER(Table9[Normalised Income Impact Ratio])*(Table9[Normalised Income Impact Ratio]&gt;0)*ISNUMBER(SEARCH("income improvement",Table9[Primary Objective]))))</f>
        <v>2.5295999999999999E-2</v>
      </c>
      <c r="M33" s="203">
        <f t="array" ref="M33">AVERAGE(_xlfn._xlws.FILTER(Table9[Normalised Income Impact Ratio],ISNUMBER(Table9[Normalised Income Impact Ratio])*(Table9[Normalised Income Impact Ratio]&gt;0)*ISNUMBER(SEARCH("income improvement",Table9[Primary Objective]))))</f>
        <v>7.5719240859744436E-2</v>
      </c>
      <c r="N33" s="15">
        <f>COUNTIFS(Table9[Normalised Income Impact Ratio],"&gt;0",Table9[Primary Objective],"*income improvement*")</f>
        <v>43</v>
      </c>
      <c r="O33" s="195">
        <f t="array" ref="O33">_xlfn.LET(_xlpm.data,_xlfn._xlws.FILTER(Table9[Normalised Income Impact Ratio],ISNUMBER(Table9[Normalised Income Impact Ratio])*(Table9[Normalised Income Impact Ratio]&gt;0)*ISNUMBER(SEARCH("income improvement",Table9[Primary Objective]))),_xlpm.med,MEDIAN(_xlpm.data),_xlpm.mad,MEDIAN(ABS(_xlpm.data-_xlpm.med)),SUMPRODUCT(--(ABS(_xlpm.data-_xlpm.med)&gt;2.5*_xlpm.mad))/COUNT(_xlpm.data))</f>
        <v>0.30232558139534882</v>
      </c>
      <c r="P33" s="15">
        <f t="array" ref="P33">_xlfn.LET(_xlpm.data,_xlfn._xlws.FILTER(Table9[Normalised Income Impact Ratio],ISNUMBER(Table9[Normalised Income Impact Ratio])*(Table9[Normalised Income Impact Ratio]&gt;0)*ISNUMBER(SEARCH("income improvement",Table9[Primary Objective]))),_xlpm.med,MEDIAN(_xlpm.data),_xlpm.mad,MEDIAN(ABS(_xlpm.data-_xlpm.med)),SUMPRODUCT(--(ABS(_xlpm.data-_xlpm.med)&gt;2.5*_xlpm.mad)))</f>
        <v>13</v>
      </c>
      <c r="Q33" s="203">
        <f t="array" ref="Q33">_xlfn.LET(_xlpm.data,_xlfn._xlws.FILTER(Table9[Normalised Income Impact Ratio],ISNUMBER(Table9[Normalised Income Impact Ratio])*(Table9[Normalised Income Impact Ratio]&gt;0)*ISNUMBER(SEARCH("income improvement",Table9[Primary Objective]))),_xlpm.med,MEDIAN(_xlpm.data),_xlpm.mad,MEDIAN(ABS(_xlpm.data-_xlpm.med)),AVERAGE(_xlfn._xlws.FILTER(_xlpm.data,ABS(_xlpm.data-_xlpm.med)&lt;=2.5*_xlpm.mad)))</f>
        <v>1.9804711722936529E-2</v>
      </c>
      <c r="R33" s="15">
        <f>N33-P33</f>
        <v>30</v>
      </c>
      <c r="T33" s="206" t="s">
        <v>648</v>
      </c>
      <c r="U33" s="203">
        <f t="array" ref="U33">MEDIAN(
_xlfn._xlws.FILTER(
Table9[Private Sector Investment (USD) / Project cost ],
ISNUMBER(Table9[Private Sector Investment (USD) / Project cost ])*
(Table9[Private Sector Investment (USD) / Project cost ]&gt;0)*
ISNUMBER(SEARCH("income improvement",Table9[Primary Objective]))
)
)</f>
        <v>0.48221049077583339</v>
      </c>
      <c r="V33" s="203">
        <f t="array" ref="V33">AVERAGE(
_xlfn._xlws.FILTER(
Table9[Private Sector Investment (USD) / Project cost ],
ISNUMBER(Table9[Private Sector Investment (USD) / Project cost ])*
(Table9[Private Sector Investment (USD) / Project cost ]&gt;0)*
ISNUMBER(SEARCH("income improvement",Table9[Primary Objective]))
)
)</f>
        <v>1.6060820741413953</v>
      </c>
      <c r="W33" s="15">
        <f>COUNTIFS(
Table9[Private Sector Investment (USD) / Project cost ],"&gt;0",
Table9[Primary Objective],"*income improvement*"
)</f>
        <v>53</v>
      </c>
      <c r="X33" s="195">
        <f t="array" ref="X33">_xlfn.LET(
_xlpm.data,_xlfn._xlws.FILTER(
Table9[Private Sector Investment (USD) / Project cost ],
ISNUMBER(Table9[Private Sector Investment (USD) / Project cost ])*
(Table9[Private Sector Investment (USD) / Project cost ]&gt;0)*
ISNUMBER(SEARCH("income improvement",Table9[Primary Objective]))
),
_xlpm.med,MEDIAN(_xlpm.data),
_xlpm.mad,MEDIAN(ABS(_xlpm.data-_xlpm.med)),
SUMPRODUCT(--(ABS(_xlpm.data-_xlpm.med)&gt;2.5*_xlpm.mad))/COUNT(_xlpm.data)
)</f>
        <v>0.18867924528301888</v>
      </c>
      <c r="Y33" s="15">
        <f t="array" ref="Y33">_xlfn.LET(
_xlpm.data,_xlfn._xlws.FILTER(
Table9[Private Sector Investment (USD) / Project cost ],
ISNUMBER(Table9[Private Sector Investment (USD) / Project cost ])*
(Table9[Private Sector Investment (USD) / Project cost ]&gt;0)*
ISNUMBER(SEARCH("income improvement",Table9[Primary Objective]))
),
_xlpm.med,MEDIAN(_xlpm.data),
_xlpm.mad,MEDIAN(ABS(_xlpm.data-_xlpm.med)),
SUMPRODUCT(--(ABS(_xlpm.data-_xlpm.med)&gt;2.5*_xlpm.mad))
)</f>
        <v>10</v>
      </c>
      <c r="Z33" s="203">
        <f t="array" ref="Z33">_xlfn.LET(
_xlpm.data,_xlfn._xlws.FILTER(
Table9[Private Sector Investment (USD) / Project cost ],
ISNUMBER(Table9[Private Sector Investment (USD) / Project cost ])*
(Table9[Private Sector Investment (USD) / Project cost ]&gt;0)*
ISNUMBER(SEARCH("income improvement",Table9[Primary Objective]))
),
_xlpm.med,MEDIAN(_xlpm.data),
_xlpm.mad,MEDIAN(ABS(_xlpm.data-_xlpm.med)),
AVERAGE(_xlfn._xlws.FILTER(_xlpm.data,ABS(_xlpm.data-_xlpm.med)&lt;=2.5*_xlpm.mad))
)</f>
        <v>0.47142979802855783</v>
      </c>
      <c r="AA33" s="15">
        <f>W33-Y33</f>
        <v>43</v>
      </c>
      <c r="AC33" s="206" t="s">
        <v>648</v>
      </c>
      <c r="AD33" s="203">
        <f t="array" ref="AD33">MEDIAN(
_xlfn._xlws.FILTER(
Table9[Private Sector Revenues Generated (USD) / Project cost],
ISNUMBER(Table9[Private Sector Revenues Generated (USD) / Project cost])*
(Table9[Private Sector Revenues Generated (USD) / Project cost]&gt;0)*
ISNUMBER(SEARCH("income improvement",Table9[Primary Objective]))
)
)</f>
        <v>1.5105740181268881</v>
      </c>
      <c r="AE33" s="203">
        <f t="array" ref="AE33">AVERAGE(
_xlfn._xlws.FILTER(
Table9[Private Sector Revenues Generated (USD) / Project cost],
ISNUMBER(Table9[Private Sector Revenues Generated (USD) / Project cost])*
(Table9[Private Sector Revenues Generated (USD) / Project cost]&gt;0)*
ISNUMBER(SEARCH("income improvement",Table9[Primary Objective]))
)
)</f>
        <v>3.0204195685875233</v>
      </c>
      <c r="AF33" s="15">
        <f>COUNTIFS(
Table9[Private Sector Revenues Generated (USD) / Project cost],"&gt;0",
Table9[Primary Objective],"*income improvement*"
)</f>
        <v>45</v>
      </c>
      <c r="AG33" s="195">
        <f t="array" ref="AG33">_xlfn.LET(
_xlpm.data,_xlfn._xlws.FILTER(
Table9[Private Sector Revenues Generated (USD) / Project cost],
ISNUMBER(Table9[Private Sector Revenues Generated (USD) / Project cost])*
(Table9[Private Sector Revenues Generated (USD) / Project cost]&gt;0)*
ISNUMBER(SEARCH("income improvement",Table9[Primary Objective]))
),
_xlpm.med,MEDIAN(_xlpm.data),
_xlpm.mad,MEDIAN(ABS(_xlpm.data-_xlpm.med)),
SUMPRODUCT(--(ABS(_xlpm.data-_xlpm.med)&gt;2.5*_xlpm.mad))/COUNT(_xlpm.data)
)</f>
        <v>0.15555555555555556</v>
      </c>
      <c r="AH33" s="15">
        <f t="array" ref="AH33">_xlfn.LET(
_xlpm.data,_xlfn._xlws.FILTER(
Table9[Private Sector Revenues Generated (USD) / Project cost],
ISNUMBER(Table9[Private Sector Revenues Generated (USD) / Project cost])*
(Table9[Private Sector Revenues Generated (USD) / Project cost]&gt;0)*
ISNUMBER(SEARCH("income improvement",Table9[Primary Objective]))
),
_xlpm.med,MEDIAN(_xlpm.data),
_xlpm.mad,MEDIAN(ABS(_xlpm.data-_xlpm.med)),
SUMPRODUCT(--(ABS(_xlpm.data-_xlpm.med)&gt;2.5*_xlpm.mad))
)</f>
        <v>7</v>
      </c>
      <c r="AI33" s="203">
        <f t="array" ref="AI33">_xlfn.LET(
_xlpm.data,_xlfn._xlws.FILTER(
Table9[Private Sector Revenues Generated (USD) / Project cost],
ISNUMBER(Table9[Private Sector Revenues Generated (USD) / Project cost])*
(Table9[Private Sector Revenues Generated (USD) / Project cost]&gt;0)*
ISNUMBER(SEARCH("income improvement",Table9[Primary Objective]))
),
_xlpm.med,MEDIAN(_xlpm.data),
_xlpm.mad,MEDIAN(ABS(_xlpm.data-_xlpm.med)),
AVERAGE(_xlfn._xlws.FILTER(_xlpm.data,ABS(_xlpm.data-_xlpm.med)&lt;=2.5*_xlpm.mad))
)</f>
        <v>1.1573244911209064</v>
      </c>
      <c r="AJ33" s="15">
        <f>AF33-AH33</f>
        <v>38</v>
      </c>
      <c r="AL33" s="206" t="s">
        <v>648</v>
      </c>
      <c r="AM33" s="203">
        <f t="array" ref="AM33">MEDIAN(
_xlfn._xlws.FILTER(
Table9[Export Revenue Generated (USD) /Project Cost],
ISNUMBER(Table9[Export Revenue Generated (USD) /Project Cost])*
(Table9[Export Revenue Generated (USD) /Project Cost]&gt;0)*
ISNUMBER(SEARCH("income improvement",Table9[Primary Objective]))
)
)</f>
        <v>0.14420347058823529</v>
      </c>
      <c r="AN33" s="203">
        <f t="array" ref="AN33">AVERAGE(
_xlfn._xlws.FILTER(
Table9[Export Revenue Generated (USD) /Project Cost],
ISNUMBER(Table9[Export Revenue Generated (USD) /Project Cost])*
(Table9[Export Revenue Generated (USD) /Project Cost]&gt;0)*
ISNUMBER(SEARCH("income improvement",Table9[Primary Objective]))
)
)</f>
        <v>7.6253269467308433</v>
      </c>
      <c r="AO33" s="15">
        <f>COUNTIFS(
Table9[Export Revenue Generated (USD) /Project Cost],"&gt;0",
Table9[Primary Objective],"*income improvement*"
)</f>
        <v>13</v>
      </c>
      <c r="AP33" s="195">
        <f t="array" ref="AP33">_xlfn.LET(
_xlpm.data,_xlfn._xlws.FILTER(
Table9[Export Revenue Generated (USD) /Project Cost],
ISNUMBER(Table9[Export Revenue Generated (USD) /Project Cost])*
(Table9[Export Revenue Generated (USD) /Project Cost]&gt;0)*
ISNUMBER(SEARCH("income improvement",Table9[Primary Objective]))
),
_xlpm.med,MEDIAN(_xlpm.data),
_xlpm.mad,MEDIAN(ABS(_xlpm.data-_xlpm.med)),
SUMPRODUCT(--(ABS(_xlpm.data-_xlpm.med)&gt;2.5*_xlpm.mad))/COUNT(_xlpm.data)
)</f>
        <v>0.23076923076923078</v>
      </c>
      <c r="AQ33" s="15">
        <f t="array" ref="AQ33">_xlfn.LET(
_xlpm.data,_xlfn._xlws.FILTER(
Table9[Export Revenue Generated (USD) /Project Cost],
ISNUMBER(Table9[Export Revenue Generated (USD) /Project Cost])*
(Table9[Export Revenue Generated (USD) /Project Cost]&gt;0)*
ISNUMBER(SEARCH("income improvement",Table9[Primary Objective]))
),
_xlpm.med,MEDIAN(_xlpm.data),
_xlpm.mad,MEDIAN(ABS(_xlpm.data-_xlpm.med)),
SUMPRODUCT(--(ABS(_xlpm.data-_xlpm.med)&gt;2.5*_xlpm.mad))
)</f>
        <v>3</v>
      </c>
      <c r="AR33" s="203">
        <f t="array" ref="AR33">_xlfn.LET(
_xlpm.data,_xlfn._xlws.FILTER(
Table9[Export Revenue Generated (USD) /Project Cost],
ISNUMBER(Table9[Export Revenue Generated (USD) /Project Cost])*
(Table9[Export Revenue Generated (USD) /Project Cost]&gt;0)*
ISNUMBER(SEARCH("income improvement",Table9[Primary Objective]))
),
_xlpm.med,MEDIAN(_xlpm.data),
_xlpm.mad,MEDIAN(ABS(_xlpm.data-_xlpm.med)),
AVERAGE(_xlfn._xlws.FILTER(_xlpm.data,ABS(_xlpm.data-_xlpm.med)&lt;=2.5*_xlpm.mad))
)</f>
        <v>0.13784480099681701</v>
      </c>
      <c r="AS33" s="15">
        <f>AO33-AQ33</f>
        <v>10</v>
      </c>
      <c r="AU33" s="206" t="s">
        <v>648</v>
      </c>
      <c r="AV33" s="202">
        <f t="array" ref="AV33">MEDIAN(
_xlfn._xlws.FILTER(
Table9[Job created per $Mn],
ISNUMBER(Table9[Job created per $Mn])*
(Table9[Job created per $Mn]&gt;0)*
ISNUMBER(SEARCH("income improvement",Table9[Primary Objective]))
)
)</f>
        <v>296.68732782369148</v>
      </c>
      <c r="AW33" s="202">
        <f t="array" ref="AW33">AVERAGE(
_xlfn._xlws.FILTER(
Table9[Job created per $Mn],
ISNUMBER(Table9[Job created per $Mn])*
(Table9[Job created per $Mn]&gt;0)*
ISNUMBER(SEARCH("income improvement",Table9[Primary Objective]))
)
)</f>
        <v>982.27658036991295</v>
      </c>
      <c r="AX33" s="15">
        <f>COUNTIFS(
Table9[Job created per $Mn],"&gt;0",
Table9[Primary Objective],"*income improvement*"
)</f>
        <v>38</v>
      </c>
      <c r="AY33" s="195">
        <f t="array" ref="AY33">_xlfn.LET(
_xlpm.data,
_xlfn._xlws.FILTER(
Table9[Job created per $Mn],
ISNUMBER(Table9[Job created per $Mn])*
(Table9[Job created per $Mn]&gt;0)*
ISNUMBER(SEARCH("income improvement",Table9[Primary Objective]))
),
_xlpm.med,
MEDIAN(_xlpm.data),
_xlpm.mad,
MEDIAN(ABS(_xlpm.data-_xlpm.med)),
SUMPRODUCT(--(ABS(_xlpm.data-_xlpm.med)&gt;2.5*_xlpm.mad))/COUNT(_xlpm.data)
)</f>
        <v>0.23684210526315788</v>
      </c>
      <c r="AZ33" s="15">
        <f t="array" ref="AZ33">_xlfn.LET(
_xlpm.data,
_xlfn._xlws.FILTER(
Table9[Job created per $Mn],
ISNUMBER(Table9[Job created per $Mn])*
(Table9[Job created per $Mn]&gt;0)*
ISNUMBER(SEARCH("income improvement",Table9[Primary Objective]))
),
_xlpm.med,
MEDIAN(_xlpm.data),
_xlpm.mad,
MEDIAN(ABS(_xlpm.data-_xlpm.med)),
SUMPRODUCT(--(ABS(_xlpm.data-_xlpm.med)&gt;2.5*_xlpm.mad))
)</f>
        <v>9</v>
      </c>
      <c r="BA33" s="202">
        <f t="array" ref="BA33">_xlfn.LET(
_xlpm.data,
_xlfn._xlws.FILTER(
Table9[Job created per $Mn],
ISNUMBER(Table9[Job created per $Mn])*
(Table9[Job created per $Mn]&gt;0)*
ISNUMBER(SEARCH("income improvement",Table9[Primary Objective]))
),
_xlpm.med,
MEDIAN(_xlpm.data),
_xlpm.mad,
MEDIAN(ABS(_xlpm.data-_xlpm.med)),
AVERAGE(
_xlfn._xlws.FILTER(
_xlpm.data,
ABS(_xlpm.data-_xlpm.med)&lt;=2.5*_xlpm.mad
)
)
)</f>
        <v>286.73454441779353</v>
      </c>
      <c r="BB33" s="15">
        <f>AX33-AZ33</f>
        <v>29</v>
      </c>
      <c r="BD33" s="206" t="s">
        <v>648</v>
      </c>
      <c r="BE33" s="202">
        <f t="array" ref="BE33">MEDIAN(
_xlfn._xlws.FILTER(
Table9[Job improved per $Mn],
ISNUMBER(Table9[Job improved per $Mn])*
(Table9[Job improved per $Mn]&gt;0)*
ISNUMBER(SEARCH("income improvement",Table9[Primary Objective]))
)
)</f>
        <v>2386.5026995573412</v>
      </c>
      <c r="BF33" s="202">
        <f t="array" ref="BF33">AVERAGE(
_xlfn._xlws.FILTER(
Table9[Job improved per $Mn],
ISNUMBER(Table9[Job improved per $Mn])*
(Table9[Job improved per $Mn]&gt;0)*
ISNUMBER(SEARCH("income improvement",Table9[Primary Objective]))
)
)</f>
        <v>5950.7646968735035</v>
      </c>
      <c r="BG33" s="15">
        <f>COUNTIFS(
Table9[Job improved per $Mn],"&gt;0",
Table9[Primary Objective],"*income improvement*"
)</f>
        <v>61</v>
      </c>
      <c r="BH33" s="195">
        <f t="array" ref="BH33">_xlfn.LET(
_xlpm.data,
_xlfn._xlws.FILTER(
Table9[Job improved per $Mn],
ISNUMBER(Table9[Job improved per $Mn])*
(Table9[Job improved per $Mn]&gt;0)*
ISNUMBER(SEARCH("income improvement",Table9[Primary Objective]))
),
_xlpm.med,
MEDIAN(_xlpm.data),
_xlpm.mad,
MEDIAN(ABS(_xlpm.data-_xlpm.med)),
SUMPRODUCT(--(ABS(_xlpm.data-_xlpm.med)&gt;2.5*_xlpm.mad))/COUNT(_xlpm.data)
)</f>
        <v>0.27868852459016391</v>
      </c>
      <c r="BI33" s="15">
        <f t="array" ref="BI33">_xlfn.LET(
_xlpm.data,
_xlfn._xlws.FILTER(
Table9[Job improved per $Mn],
ISNUMBER(Table9[Job improved per $Mn])*
(Table9[Job improved per $Mn]&gt;0)*
ISNUMBER(SEARCH("income improvement",Table9[Primary Objective]))
),
_xlpm.med,
MEDIAN(_xlpm.data),
_xlpm.mad,
MEDIAN(ABS(_xlpm.data-_xlpm.med)),
SUMPRODUCT(--(ABS(_xlpm.data-_xlpm.med)&gt;2.5*_xlpm.mad))
)</f>
        <v>17</v>
      </c>
      <c r="BJ33" s="202">
        <f t="array" ref="BJ33">_xlfn.LET(
_xlpm.data,
_xlfn._xlws.FILTER(
Table9[Job improved per $Mn],
ISNUMBER(Table9[Job improved per $Mn])*
(Table9[Job improved per $Mn]&gt;0)*
ISNUMBER(SEARCH("income improvement",Table9[Primary Objective]))
),
_xlpm.med,
MEDIAN(_xlpm.data),
_xlpm.mad,
MEDIAN(ABS(_xlpm.data-_xlpm.med)),
AVERAGE(
_xlfn._xlws.FILTER(
_xlpm.data,
ABS(_xlpm.data-_xlpm.med)&lt;=2.5*_xlpm.mad
)
)
)</f>
        <v>2026.1939595859899</v>
      </c>
      <c r="BK33" s="15">
        <f>BG33-BI33</f>
        <v>44</v>
      </c>
      <c r="BM33" s="206" t="s">
        <v>648</v>
      </c>
      <c r="BN33" s="203">
        <f t="array" ref="BN33">MEDIAN(
_xlfn._xlws.FILTER(
Table9[Beneficiary Income (USD) / Project Cost],
ISNUMBER(Table9[Beneficiary Income (USD) / Project Cost])*
(Table9[Beneficiary Income (USD) / Project Cost]&gt;0)*
ISNUMBER(SEARCH("income improvement",Table9[Primary Objective]))
)
)</f>
        <v>1.1640735593775156</v>
      </c>
      <c r="BO33" s="203">
        <f t="array" ref="BO33">AVERAGE(
_xlfn._xlws.FILTER(
Table9[Beneficiary Income (USD) / Project Cost],
ISNUMBER(Table9[Beneficiary Income (USD) / Project Cost])*
(Table9[Beneficiary Income (USD) / Project Cost]&gt;0)*
ISNUMBER(SEARCH("income improvement",Table9[Primary Objective]))
)
)</f>
        <v>1.5762862058440392</v>
      </c>
      <c r="BP33" s="15">
        <f>COUNTIFS(
Table9[Beneficiary Income (USD) / Project Cost],"&gt;0",
Table9[Primary Objective],"*income improvement*"
)</f>
        <v>44</v>
      </c>
      <c r="BQ33" s="195">
        <f t="array" ref="BQ33">_xlfn.LET(
_xlpm.data,
_xlfn._xlws.FILTER(
Table9[Beneficiary Income (USD) / Project Cost],
ISNUMBER(Table9[Beneficiary Income (USD) / Project Cost])*
(Table9[Beneficiary Income (USD) / Project Cost]&gt;0)*
ISNUMBER(SEARCH("income improvement",Table9[Primary Objective]))
),
_xlpm.med,
MEDIAN(_xlpm.data),
_xlpm.mad,
MEDIAN(ABS(_xlpm.data-_xlpm.med)),
SUMPRODUCT(--(ABS(_xlpm.data-_xlpm.med)&gt;2.5*_xlpm.mad))/COUNT(_xlpm.data)
)</f>
        <v>0.13636363636363635</v>
      </c>
      <c r="BR33" s="15">
        <f t="array" ref="BR33">_xlfn.LET(
_xlpm.data,
_xlfn._xlws.FILTER(
Table9[Beneficiary Income (USD) / Project Cost],
ISNUMBER(Table9[Beneficiary Income (USD) / Project Cost])*
(Table9[Beneficiary Income (USD) / Project Cost]&gt;0)*
ISNUMBER(SEARCH("income improvement",Table9[Primary Objective]))
),
_xlpm.med,
MEDIAN(_xlpm.data),
_xlpm.mad,
MEDIAN(ABS(_xlpm.data-_xlpm.med)),
SUMPRODUCT(--(ABS(_xlpm.data-_xlpm.med)&gt;2.5*_xlpm.mad))
)</f>
        <v>6</v>
      </c>
      <c r="BS33" s="203">
        <f t="array" ref="BS33">_xlfn.LET(
_xlpm.data,
_xlfn._xlws.FILTER(
Table9[Beneficiary Income (USD) / Project Cost],
ISNUMBER(Table9[Beneficiary Income (USD) / Project Cost])*
(Table9[Beneficiary Income (USD) / Project Cost]&gt;0)*
ISNUMBER(SEARCH("income improvement",Table9[Primary Objective]))
),
_xlpm.med,
MEDIAN(_xlpm.data),
_xlpm.mad,
MEDIAN(ABS(_xlpm.data-_xlpm.med)),
AVERAGE(
_xlfn._xlws.FILTER(
_xlpm.data,
ABS(_xlpm.data-_xlpm.med)&lt;=2.5*_xlpm.mad
)
)
)</f>
        <v>1.0965579695765688</v>
      </c>
      <c r="BT33" s="15">
        <f>BP33-BR33</f>
        <v>38</v>
      </c>
    </row>
    <row r="34" spans="2:72" x14ac:dyDescent="0.25">
      <c r="B34" s="206" t="s">
        <v>649</v>
      </c>
      <c r="C34" s="202">
        <f t="array" ref="C34">MEDIAN(_xlfn._xlws.FILTER(Table9[Income per beneficiary (USD)],(Table9[Income per beneficiary (USD)]&gt;0)*ISNUMBER(SEARCH("food security &amp; resilience",Table9[Primary Objective]))))</f>
        <v>191.32203389830511</v>
      </c>
      <c r="D34" s="202">
        <f t="array" ref="D34">AVERAGE(_xlfn._xlws.FILTER(Table9[Income per beneficiary (USD)],(Table9[Income per beneficiary (USD)]&gt;0)*ISNUMBER(SEARCH("food security &amp; resilience",Table9[Primary Objective]))))</f>
        <v>513.74298566480309</v>
      </c>
      <c r="E34" s="15">
        <f>COUNTIFS(Table9[Income per beneficiary (USD)],"&gt;0",Table9[Primary Objective],"*food security &amp; resilience*")</f>
        <v>31</v>
      </c>
      <c r="F34" s="195">
        <f t="array" ref="F34">_xlfn.LET(
_xlpm.data,_xlfn._xlws.FILTER(
Table9[Income per beneficiary (USD)],
(Table9[Income per beneficiary (USD)]&gt;0)*
ISNUMBER(SEARCH("food security &amp; resilience",Table9[Primary Objective]))
),
_xlpm.med,MEDIAN(_xlpm.data),
_xlpm.mad,MEDIAN(ABS(_xlpm.data-_xlpm.med)),
SUMPRODUCT(--(ABS(_xlpm.data-_xlpm.med)&gt;2.5*_xlpm.mad))/COUNT(_xlpm.data)
)</f>
        <v>0.25806451612903225</v>
      </c>
      <c r="G34" s="15">
        <f t="array" ref="G34">_xlfn.LET(
_xlpm.data,_xlfn._xlws.FILTER(
Table9[Income per beneficiary (USD)],
(Table9[Income per beneficiary (USD)]&gt;0)*
ISNUMBER(SEARCH("food security &amp; resilience",Table9[Primary Objective]))
),
_xlpm.med,MEDIAN(_xlpm.data),
_xlpm.mad,MEDIAN(ABS(_xlpm.data-_xlpm.med)),
SUMPRODUCT(--(ABS(_xlpm.data-_xlpm.med)&gt;2.5*_xlpm.mad))
)</f>
        <v>8</v>
      </c>
      <c r="H34" s="202">
        <f t="array" ref="H34">_xlfn.LET(
_xlpm.data,_xlfn._xlws.FILTER(
Table9[Income per beneficiary (USD)],
(Table9[Income per beneficiary (USD)]&gt;0)*
ISNUMBER(SEARCH("food security &amp; resilience",Table9[Primary Objective]))
),
_xlpm.med,MEDIAN(_xlpm.data),
_xlpm.mad,MEDIAN(ABS(_xlpm.data-_xlpm.med)),
AVERAGE(_xlfn._xlws.FILTER(_xlpm.data,ABS(_xlpm.data-_xlpm.med)&lt;=2.5*_xlpm.mad))
)</f>
        <v>172.50796991015258</v>
      </c>
      <c r="I34" s="202">
        <f>E34-G34</f>
        <v>23</v>
      </c>
      <c r="J34" s="130"/>
      <c r="K34" s="206" t="s">
        <v>649</v>
      </c>
      <c r="L34" s="203">
        <f t="array" ref="L34">MEDIAN(_xlfn._xlws.FILTER(Table9[Normalised Income Impact Ratio],ISNUMBER(Table9[Normalised Income Impact Ratio])*(Table9[Normalised Income Impact Ratio]&gt;0)*ISNUMBER(SEARCH("food security &amp; resilience",Table9[Primary Objective]))))</f>
        <v>2.5112285714285712E-2</v>
      </c>
      <c r="M34" s="203">
        <f t="array" ref="M34">AVERAGE(_xlfn._xlws.FILTER(Table9[Normalised Income Impact Ratio],ISNUMBER(Table9[Normalised Income Impact Ratio])*(Table9[Normalised Income Impact Ratio]&gt;0)*ISNUMBER(SEARCH("food security &amp; resilience",Table9[Primary Objective]))))</f>
        <v>6.8822387232483059E-2</v>
      </c>
      <c r="N34" s="15">
        <f>COUNTIFS(Table9[Normalised Income Impact Ratio],"&gt;0",Table9[Primary Objective],"*food security &amp; resilience*")</f>
        <v>30</v>
      </c>
      <c r="O34" s="195">
        <f t="array" ref="O34">_xlfn.LET(_xlpm.data,_xlfn._xlws.FILTER(Table9[Normalised Income Impact Ratio],ISNUMBER(Table9[Normalised Income Impact Ratio])*(Table9[Normalised Income Impact Ratio]&gt;0)*ISNUMBER(SEARCH("food security &amp; resilience",Table9[Primary Objective]))),_xlpm.med,MEDIAN(_xlpm.data),_xlpm.mad,MEDIAN(ABS(_xlpm.data-_xlpm.med)),SUMPRODUCT(--(ABS(_xlpm.data-_xlpm.med)&gt;2.5*_xlpm.mad))/COUNT(_xlpm.data))</f>
        <v>0.33333333333333331</v>
      </c>
      <c r="P34" s="15">
        <f t="array" ref="P34">_xlfn.LET(_xlpm.data,_xlfn._xlws.FILTER(Table9[Normalised Income Impact Ratio],ISNUMBER(Table9[Normalised Income Impact Ratio])*(Table9[Normalised Income Impact Ratio]&gt;0)*ISNUMBER(SEARCH("food security &amp; resilience",Table9[Primary Objective]))),_xlpm.med,MEDIAN(_xlpm.data),_xlpm.mad,MEDIAN(ABS(_xlpm.data-_xlpm.med)),SUMPRODUCT(--(ABS(_xlpm.data-_xlpm.med)&gt;2.5*_xlpm.mad)))</f>
        <v>10</v>
      </c>
      <c r="Q34" s="203">
        <f t="array" ref="Q34">_xlfn.LET(_xlpm.data,_xlfn._xlws.FILTER(Table9[Normalised Income Impact Ratio],ISNUMBER(Table9[Normalised Income Impact Ratio])*(Table9[Normalised Income Impact Ratio]&gt;0)*ISNUMBER(SEARCH("food security &amp; resilience",Table9[Primary Objective]))),_xlpm.med,MEDIAN(_xlpm.data),_xlpm.mad,MEDIAN(ABS(_xlpm.data-_xlpm.med)),AVERAGE(_xlfn._xlws.FILTER(_xlpm.data,ABS(_xlpm.data-_xlpm.med)&lt;=2.5*_xlpm.mad)))</f>
        <v>1.7656744690355507E-2</v>
      </c>
      <c r="R34" s="15">
        <f>N34-P34</f>
        <v>20</v>
      </c>
      <c r="T34" s="206" t="s">
        <v>649</v>
      </c>
      <c r="U34" s="203">
        <f t="array" ref="U34">MEDIAN(
_xlfn._xlws.FILTER(
Table9[Private Sector Investment (USD) / Project cost ],
ISNUMBER(Table9[Private Sector Investment (USD) / Project cost ])*
(Table9[Private Sector Investment (USD) / Project cost ]&gt;0)*
ISNUMBER(SEARCH("food security &amp; resilience",Table9[Primary Objective]))
)
)</f>
        <v>0.28582992421567488</v>
      </c>
      <c r="V34" s="203">
        <f t="array" ref="V34">AVERAGE(
_xlfn._xlws.FILTER(
Table9[Private Sector Investment (USD) / Project cost ],
ISNUMBER(Table9[Private Sector Investment (USD) / Project cost ])*
(Table9[Private Sector Investment (USD) / Project cost ]&gt;0)*
ISNUMBER(SEARCH("food security &amp; resilience",Table9[Primary Objective]))
)
)</f>
        <v>0.81522216417355964</v>
      </c>
      <c r="W34" s="15">
        <f>COUNTIFS(
Table9[Private Sector Investment (USD) / Project cost ],"&gt;0",
Table9[Primary Objective],"*food security &amp; resilience*"
)</f>
        <v>44</v>
      </c>
      <c r="X34" s="195">
        <f t="array" ref="X34">_xlfn.LET(
_xlpm.data,_xlfn._xlws.FILTER(
Table9[Private Sector Investment (USD) / Project cost ],
ISNUMBER(Table9[Private Sector Investment (USD) / Project cost ])*
(Table9[Private Sector Investment (USD) / Project cost ]&gt;0)*
ISNUMBER(SEARCH("food security &amp; resilience",Table9[Primary Objective]))
),
_xlpm.med,MEDIAN(_xlpm.data),
_xlpm.mad,MEDIAN(ABS(_xlpm.data-_xlpm.med)),
SUMPRODUCT(--(ABS(_xlpm.data-_xlpm.med)&gt;2.5*_xlpm.mad))/COUNT(_xlpm.data)
)</f>
        <v>0.25</v>
      </c>
      <c r="Y34" s="15">
        <f t="array" ref="Y34">_xlfn.LET(
_xlpm.data,_xlfn._xlws.FILTER(
Table9[Private Sector Investment (USD) / Project cost ],
ISNUMBER(Table9[Private Sector Investment (USD) / Project cost ])*
(Table9[Private Sector Investment (USD) / Project cost ]&gt;0)*
ISNUMBER(SEARCH("food security &amp; resilience",Table9[Primary Objective]))
),
_xlpm.med,MEDIAN(_xlpm.data),
_xlpm.mad,MEDIAN(ABS(_xlpm.data-_xlpm.med)),
SUMPRODUCT(--(ABS(_xlpm.data-_xlpm.med)&gt;2.5*_xlpm.mad))
)</f>
        <v>11</v>
      </c>
      <c r="Z34" s="203">
        <f t="array" ref="Z34">_xlfn.LET(
_xlpm.data,_xlfn._xlws.FILTER(
Table9[Private Sector Investment (USD) / Project cost ],
ISNUMBER(Table9[Private Sector Investment (USD) / Project cost ])*
(Table9[Private Sector Investment (USD) / Project cost ]&gt;0)*
ISNUMBER(SEARCH("food security &amp; resilience",Table9[Primary Objective]))
),
_xlpm.med,MEDIAN(_xlpm.data),
_xlpm.mad,MEDIAN(ABS(_xlpm.data-_xlpm.med)),
AVERAGE(_xlfn._xlws.FILTER(_xlpm.data,ABS(_xlpm.data-_xlpm.med)&lt;=2.5*_xlpm.mad))
)</f>
        <v>0.27556891442119158</v>
      </c>
      <c r="AA34" s="15">
        <f>W34-Y34</f>
        <v>33</v>
      </c>
      <c r="AC34" s="206" t="s">
        <v>649</v>
      </c>
      <c r="AD34" s="203">
        <f t="array" ref="AD34">MEDIAN(
_xlfn._xlws.FILTER(
Table9[Private Sector Revenues Generated (USD) / Project cost],
ISNUMBER(Table9[Private Sector Revenues Generated (USD) / Project cost])*
(Table9[Private Sector Revenues Generated (USD) / Project cost]&gt;0)*
ISNUMBER(SEARCH("food security &amp; resilience",Table9[Primary Objective]))
)
)</f>
        <v>1.33125</v>
      </c>
      <c r="AE34" s="203">
        <f t="array" ref="AE34">AVERAGE(
_xlfn._xlws.FILTER(
Table9[Private Sector Revenues Generated (USD) / Project cost],
ISNUMBER(Table9[Private Sector Revenues Generated (USD) / Project cost])*
(Table9[Private Sector Revenues Generated (USD) / Project cost]&gt;0)*
ISNUMBER(SEARCH("food security &amp; resilience",Table9[Primary Objective]))
)
)</f>
        <v>3.2104940965352342</v>
      </c>
      <c r="AF34" s="15">
        <f>COUNTIFS(
Table9[Private Sector Revenues Generated (USD) / Project cost],"&gt;0",
Table9[Primary Objective],"*food security &amp; resilience*"
)</f>
        <v>35</v>
      </c>
      <c r="AG34" s="195">
        <f t="array" ref="AG34">_xlfn.LET(
_xlpm.data,_xlfn._xlws.FILTER(
Table9[Private Sector Revenues Generated (USD) / Project cost],
ISNUMBER(Table9[Private Sector Revenues Generated (USD) / Project cost])*
(Table9[Private Sector Revenues Generated (USD) / Project cost]&gt;0)*
ISNUMBER(SEARCH("food security &amp; resilience",Table9[Primary Objective]))
),
_xlpm.med,MEDIAN(_xlpm.data),
_xlpm.mad,MEDIAN(ABS(_xlpm.data-_xlpm.med)),
SUMPRODUCT(--(ABS(_xlpm.data-_xlpm.med)&gt;2.5*_xlpm.mad))/COUNT(_xlpm.data)
)</f>
        <v>0.2</v>
      </c>
      <c r="AH34" s="15">
        <f t="array" ref="AH34">_xlfn.LET(
_xlpm.data,_xlfn._xlws.FILTER(
Table9[Private Sector Revenues Generated (USD) / Project cost],
ISNUMBER(Table9[Private Sector Revenues Generated (USD) / Project cost])*
(Table9[Private Sector Revenues Generated (USD) / Project cost]&gt;0)*
ISNUMBER(SEARCH("food security &amp; resilience",Table9[Primary Objective]))
),
_xlpm.med,MEDIAN(_xlpm.data),
_xlpm.mad,MEDIAN(ABS(_xlpm.data-_xlpm.med)),
SUMPRODUCT(--(ABS(_xlpm.data-_xlpm.med)&gt;2.5*_xlpm.mad))
)</f>
        <v>7</v>
      </c>
      <c r="AI34" s="203">
        <f t="array" ref="AI34">_xlfn.LET(
_xlpm.data,_xlfn._xlws.FILTER(
Table9[Private Sector Revenues Generated (USD) / Project cost],
ISNUMBER(Table9[Private Sector Revenues Generated (USD) / Project cost])*
(Table9[Private Sector Revenues Generated (USD) / Project cost]&gt;0)*
ISNUMBER(SEARCH("food security &amp; resilience",Table9[Primary Objective]))
),
_xlpm.med,MEDIAN(_xlpm.data),
_xlpm.mad,MEDIAN(ABS(_xlpm.data-_xlpm.med)),
AVERAGE(_xlfn._xlws.FILTER(_xlpm.data,ABS(_xlpm.data-_xlpm.med)&lt;=2.5*_xlpm.mad))
)</f>
        <v>0.96437710193991266</v>
      </c>
      <c r="AJ34" s="15">
        <f>AF34-AH34</f>
        <v>28</v>
      </c>
      <c r="AL34" s="206" t="s">
        <v>649</v>
      </c>
      <c r="AM34" s="203">
        <f t="array" ref="AM34">MEDIAN(
_xlfn._xlws.FILTER(
Table9[Export Revenue Generated (USD) /Project Cost],
ISNUMBER(Table9[Export Revenue Generated (USD) /Project Cost])*
(Table9[Export Revenue Generated (USD) /Project Cost]&gt;0)*
ISNUMBER(SEARCH("food security &amp; resilience",Table9[Primary Objective]))
)
)</f>
        <v>0.15241991711229946</v>
      </c>
      <c r="AN34" s="203">
        <f t="array" ref="AN34">AVERAGE(
_xlfn._xlws.FILTER(
Table9[Export Revenue Generated (USD) /Project Cost],
ISNUMBER(Table9[Export Revenue Generated (USD) /Project Cost])*
(Table9[Export Revenue Generated (USD) /Project Cost]&gt;0)*
ISNUMBER(SEARCH("food security &amp; resilience",Table9[Primary Objective]))
)
)</f>
        <v>9.864328057889761</v>
      </c>
      <c r="AO34" s="15">
        <f>COUNTIFS(
Table9[Export Revenue Generated (USD) /Project Cost],"&gt;0",
Table9[Primary Objective],"*food security &amp; resilience*"
)</f>
        <v>10</v>
      </c>
      <c r="AP34" s="195">
        <f t="array" ref="AP34">_xlfn.LET(
_xlpm.data,_xlfn._xlws.FILTER(
Table9[Export Revenue Generated (USD) /Project Cost],
ISNUMBER(Table9[Export Revenue Generated (USD) /Project Cost])*
(Table9[Export Revenue Generated (USD) /Project Cost]&gt;0)*
ISNUMBER(SEARCH("food security &amp; resilience",Table9[Primary Objective]))
),
_xlpm.med,MEDIAN(_xlpm.data),
_xlpm.mad,MEDIAN(ABS(_xlpm.data-_xlpm.med)),
SUMPRODUCT(--(ABS(_xlpm.data-_xlpm.med)&gt;2.5*_xlpm.mad))/COUNT(_xlpm.data)
)</f>
        <v>0.3</v>
      </c>
      <c r="AQ34" s="15">
        <f t="array" ref="AQ34">_xlfn.LET(
_xlpm.data,_xlfn._xlws.FILTER(
Table9[Export Revenue Generated (USD) /Project Cost],
ISNUMBER(Table9[Export Revenue Generated (USD) /Project Cost])*
(Table9[Export Revenue Generated (USD) /Project Cost]&gt;0)*
ISNUMBER(SEARCH("food security &amp; resilience",Table9[Primary Objective]))
),
_xlpm.med,MEDIAN(_xlpm.data),
_xlpm.mad,MEDIAN(ABS(_xlpm.data-_xlpm.med)),
SUMPRODUCT(--(ABS(_xlpm.data-_xlpm.med)&gt;2.5*_xlpm.mad))
)</f>
        <v>3</v>
      </c>
      <c r="AR34" s="203">
        <f t="array" ref="AR34">_xlfn.LET(
_xlpm.data,_xlfn._xlws.FILTER(
Table9[Export Revenue Generated (USD) /Project Cost],
ISNUMBER(Table9[Export Revenue Generated (USD) /Project Cost])*
(Table9[Export Revenue Generated (USD) /Project Cost]&gt;0)*
ISNUMBER(SEARCH("food security &amp; resilience",Table9[Primary Objective]))
),
_xlpm.med,MEDIAN(_xlpm.data),
_xlpm.mad,MEDIAN(ABS(_xlpm.data-_xlpm.med)),
AVERAGE(_xlfn._xlws.FILTER(_xlpm.data,ABS(_xlpm.data-_xlpm.med)&lt;=2.5*_xlpm.mad))
)</f>
        <v>0.12749689733783112</v>
      </c>
      <c r="AS34" s="15">
        <f>AO34-AQ34</f>
        <v>7</v>
      </c>
      <c r="AU34" s="206" t="s">
        <v>649</v>
      </c>
      <c r="AV34" s="202">
        <f t="array" ref="AV34">MEDIAN(
_xlfn._xlws.FILTER(
Table9[Job created per $Mn],
ISNUMBER(Table9[Job created per $Mn])*
(Table9[Job created per $Mn]&gt;0)*
ISNUMBER(SEARCH("food security &amp; resilience",Table9[Primary Objective]))
)
)</f>
        <v>237.04545454545456</v>
      </c>
      <c r="AW34" s="202">
        <f t="array" ref="AW34">AVERAGE(
_xlfn._xlws.FILTER(
Table9[Job created per $Mn],
ISNUMBER(Table9[Job created per $Mn])*
(Table9[Job created per $Mn]&gt;0)*
ISNUMBER(SEARCH("food security &amp; resilience",Table9[Primary Objective]))
)
)</f>
        <v>974.999481354517</v>
      </c>
      <c r="AX34" s="15">
        <f>COUNTIFS(
Table9[Job created per $Mn],"&gt;0",
Table9[Primary Objective],"*food security &amp; resilience*"
)</f>
        <v>28</v>
      </c>
      <c r="AY34" s="195">
        <f t="array" ref="AY34">_xlfn.LET(
_xlpm.data,
_xlfn._xlws.FILTER(
Table9[Job created per $Mn],
ISNUMBER(Table9[Job created per $Mn])*
(Table9[Job created per $Mn]&gt;0)*
ISNUMBER(SEARCH("food security &amp; resilience",Table9[Primary Objective]))
),
_xlpm.med,
MEDIAN(_xlpm.data),
_xlpm.mad,
MEDIAN(ABS(_xlpm.data-_xlpm.med)),
SUMPRODUCT(--(ABS(_xlpm.data-_xlpm.med)&gt;2.5*_xlpm.mad))/COUNT(_xlpm.data)
)</f>
        <v>0.25</v>
      </c>
      <c r="AZ34" s="15">
        <f t="array" ref="AZ34">_xlfn.LET(
_xlpm.data,
_xlfn._xlws.FILTER(
Table9[Job created per $Mn],
ISNUMBER(Table9[Job created per $Mn])*
(Table9[Job created per $Mn]&gt;0)*
ISNUMBER(SEARCH("food security &amp; resilience",Table9[Primary Objective]))
),
_xlpm.med,
MEDIAN(_xlpm.data),
_xlpm.mad,
MEDIAN(ABS(_xlpm.data-_xlpm.med)),
SUMPRODUCT(--(ABS(_xlpm.data-_xlpm.med)&gt;2.5*_xlpm.mad))
)</f>
        <v>7</v>
      </c>
      <c r="BA34" s="202">
        <f t="array" ref="BA34">_xlfn.LET(
_xlpm.data,
_xlfn._xlws.FILTER(
Table9[Job created per $Mn],
ISNUMBER(Table9[Job created per $Mn])*
(Table9[Job created per $Mn]&gt;0)*
ISNUMBER(SEARCH("food security &amp; resilience",Table9[Primary Objective]))
),
_xlpm.med,
MEDIAN(_xlpm.data),
_xlpm.mad,
MEDIAN(ABS(_xlpm.data-_xlpm.med)),
AVERAGE(
_xlfn._xlws.FILTER(
_xlpm.data,
ABS(_xlpm.data-_xlpm.med)&lt;=2.5*_xlpm.mad
)
)
)</f>
        <v>237.13361423387428</v>
      </c>
      <c r="BB34" s="15">
        <f>AX34-AZ34</f>
        <v>21</v>
      </c>
      <c r="BD34" s="206" t="s">
        <v>649</v>
      </c>
      <c r="BE34" s="202">
        <f t="array" ref="BE34">MEDIAN(
_xlfn._xlws.FILTER(
Table9[Job improved per $Mn],
ISNUMBER(Table9[Job improved per $Mn])*
(Table9[Job improved per $Mn]&gt;0)*
ISNUMBER(SEARCH("food security &amp; resilience",Table9[Primary Objective]))
)
)</f>
        <v>2120.75</v>
      </c>
      <c r="BF34" s="202">
        <f t="array" ref="BF34">AVERAGE(
_xlfn._xlws.FILTER(
Table9[Job improved per $Mn],
ISNUMBER(Table9[Job improved per $Mn])*
(Table9[Job improved per $Mn]&gt;0)*
ISNUMBER(SEARCH("food security &amp; resilience",Table9[Primary Objective]))
)
)</f>
        <v>5335.533665965103</v>
      </c>
      <c r="BG34" s="15">
        <f>COUNTIFS(
Table9[Job improved per $Mn],"&gt;0",
Table9[Primary Objective],"*food security &amp; resilience*"
)</f>
        <v>49</v>
      </c>
      <c r="BH34" s="195">
        <f t="array" ref="BH34">_xlfn.LET(
_xlpm.data,
_xlfn._xlws.FILTER(
Table9[Job improved per $Mn],
ISNUMBER(Table9[Job improved per $Mn])*
(Table9[Job improved per $Mn]&gt;0)*
ISNUMBER(SEARCH("food security &amp; resilience",Table9[Primary Objective]))
),
_xlpm.med,
MEDIAN(_xlpm.data),
_xlpm.mad,
MEDIAN(ABS(_xlpm.data-_xlpm.med)),
SUMPRODUCT(--(ABS(_xlpm.data-_xlpm.med)&gt;2.5*_xlpm.mad))/COUNT(_xlpm.data)
)</f>
        <v>0.26530612244897961</v>
      </c>
      <c r="BI34" s="15">
        <f t="array" ref="BI34">_xlfn.LET(
_xlpm.data,
_xlfn._xlws.FILTER(
Table9[Job improved per $Mn],
ISNUMBER(Table9[Job improved per $Mn])*
(Table9[Job improved per $Mn]&gt;0)*
ISNUMBER(SEARCH("food security &amp; resilience",Table9[Primary Objective]))
),
_xlpm.med,
MEDIAN(_xlpm.data),
_xlpm.mad,
MEDIAN(ABS(_xlpm.data-_xlpm.med)),
SUMPRODUCT(--(ABS(_xlpm.data-_xlpm.med)&gt;2.5*_xlpm.mad))
)</f>
        <v>13</v>
      </c>
      <c r="BJ34" s="202">
        <f t="array" ref="BJ34">_xlfn.LET(
_xlpm.data,
_xlfn._xlws.FILTER(
Table9[Job improved per $Mn],
ISNUMBER(Table9[Job improved per $Mn])*
(Table9[Job improved per $Mn]&gt;0)*
ISNUMBER(SEARCH("food security &amp; resilience",Table9[Primary Objective]))
),
_xlpm.med,
MEDIAN(_xlpm.data),
_xlpm.mad,
MEDIAN(ABS(_xlpm.data-_xlpm.med)),
AVERAGE(
_xlfn._xlws.FILTER(
_xlpm.data,
ABS(_xlpm.data-_xlpm.med)&lt;=2.5*_xlpm.mad
)
)
)</f>
        <v>1783.0076299921288</v>
      </c>
      <c r="BK34" s="15">
        <f>BG34-BI34</f>
        <v>36</v>
      </c>
      <c r="BM34" s="412" t="s">
        <v>649</v>
      </c>
      <c r="BN34" s="236">
        <f t="array" ref="BN34">MEDIAN(
_xlfn._xlws.FILTER(
Table9[Beneficiary Income (USD) / Project Cost],
ISNUMBER(Table9[Beneficiary Income (USD) / Project Cost])*
(Table9[Beneficiary Income (USD) / Project Cost]&gt;0)*
ISNUMBER(SEARCH("food security &amp; resilience",Table9[Primary Objective]))
)
)</f>
        <v>0.96</v>
      </c>
      <c r="BO34" s="203">
        <f t="array" ref="BO34">AVERAGE(
_xlfn._xlws.FILTER(
Table9[Beneficiary Income (USD) / Project Cost],
ISNUMBER(Table9[Beneficiary Income (USD) / Project Cost])*
(Table9[Beneficiary Income (USD) / Project Cost]&gt;0)*
ISNUMBER(SEARCH("food security &amp; resilience",Table9[Primary Objective]))
)
)</f>
        <v>1.427082693768831</v>
      </c>
      <c r="BP34" s="15">
        <f>COUNTIFS(
Table9[Beneficiary Income (USD) / Project Cost],"&gt;0",
Table9[Primary Objective],"*food security &amp; resilience*"
)</f>
        <v>31</v>
      </c>
      <c r="BQ34" s="195">
        <f t="array" ref="BQ34">_xlfn.LET(
_xlpm.data,
_xlfn._xlws.FILTER(
Table9[Beneficiary Income (USD) / Project Cost],
ISNUMBER(Table9[Beneficiary Income (USD) / Project Cost])*
(Table9[Beneficiary Income (USD) / Project Cost]&gt;0)*
ISNUMBER(SEARCH("food security &amp; resilience",Table9[Primary Objective]))
),
_xlpm.med,
MEDIAN(_xlpm.data),
_xlpm.mad,
MEDIAN(ABS(_xlpm.data-_xlpm.med)),
SUMPRODUCT(--(ABS(_xlpm.data-_xlpm.med)&gt;2.5*_xlpm.mad))/COUNT(_xlpm.data)
)</f>
        <v>0.12903225806451613</v>
      </c>
      <c r="BR34" s="15">
        <f t="array" ref="BR34">_xlfn.LET(
_xlpm.data,
_xlfn._xlws.FILTER(
Table9[Beneficiary Income (USD) / Project Cost],
ISNUMBER(Table9[Beneficiary Income (USD) / Project Cost])*
(Table9[Beneficiary Income (USD) / Project Cost]&gt;0)*
ISNUMBER(SEARCH("food security &amp; resilience",Table9[Primary Objective]))
),
_xlpm.med,
MEDIAN(_xlpm.data),
_xlpm.mad,
MEDIAN(ABS(_xlpm.data-_xlpm.med)),
SUMPRODUCT(--(ABS(_xlpm.data-_xlpm.med)&gt;2.5*_xlpm.mad))
)</f>
        <v>4</v>
      </c>
      <c r="BS34" s="203">
        <f t="array" ref="BS34">_xlfn.LET(
_xlpm.data,
_xlfn._xlws.FILTER(
Table9[Beneficiary Income (USD) / Project Cost],
ISNUMBER(Table9[Beneficiary Income (USD) / Project Cost])*
(Table9[Beneficiary Income (USD) / Project Cost]&gt;0)*
ISNUMBER(SEARCH("food security &amp; resilience",Table9[Primary Objective]))
),
_xlpm.med,
MEDIAN(_xlpm.data),
_xlpm.mad,
MEDIAN(ABS(_xlpm.data-_xlpm.med)),
AVERAGE(
_xlfn._xlws.FILTER(
_xlpm.data,
ABS(_xlpm.data-_xlpm.med)&lt;=2.5*_xlpm.mad
)
)
)</f>
        <v>0.93143701757193909</v>
      </c>
      <c r="BT34" s="15">
        <f>BP34-BR34</f>
        <v>27</v>
      </c>
    </row>
    <row r="36" spans="2:72" ht="31.9" customHeight="1" x14ac:dyDescent="0.25">
      <c r="B36" s="330" t="s">
        <v>707</v>
      </c>
      <c r="C36" s="528" t="s">
        <v>622</v>
      </c>
      <c r="D36" s="529"/>
      <c r="K36" s="410" t="s">
        <v>707</v>
      </c>
      <c r="L36" s="533" t="s">
        <v>709</v>
      </c>
      <c r="M36" s="515"/>
      <c r="T36" s="410" t="s">
        <v>707</v>
      </c>
      <c r="U36" s="380" t="s">
        <v>623</v>
      </c>
      <c r="V36" s="380"/>
      <c r="AC36" s="410" t="s">
        <v>707</v>
      </c>
      <c r="AD36" s="533" t="s">
        <v>624</v>
      </c>
      <c r="AE36" s="515"/>
      <c r="AL36" s="410" t="s">
        <v>707</v>
      </c>
      <c r="AM36" s="533" t="s">
        <v>562</v>
      </c>
      <c r="AN36" s="515"/>
      <c r="AU36" s="410" t="s">
        <v>707</v>
      </c>
      <c r="AV36" s="536" t="s">
        <v>31</v>
      </c>
      <c r="AW36" s="515"/>
      <c r="BD36" s="410" t="s">
        <v>707</v>
      </c>
      <c r="BE36" s="536" t="s">
        <v>33</v>
      </c>
      <c r="BF36" s="515"/>
      <c r="BM36" s="410" t="s">
        <v>707</v>
      </c>
      <c r="BN36" s="536" t="s">
        <v>33</v>
      </c>
      <c r="BO36" s="515"/>
    </row>
    <row r="37" spans="2:72" ht="48" customHeight="1" x14ac:dyDescent="0.25">
      <c r="B37" s="201" t="s">
        <v>627</v>
      </c>
      <c r="C37" s="200" t="s">
        <v>628</v>
      </c>
      <c r="D37" s="419" t="s">
        <v>698</v>
      </c>
      <c r="K37" s="200" t="s">
        <v>627</v>
      </c>
      <c r="L37" s="200" t="s">
        <v>628</v>
      </c>
      <c r="M37" s="419" t="s">
        <v>698</v>
      </c>
      <c r="T37" s="200" t="s">
        <v>627</v>
      </c>
      <c r="U37" s="200" t="s">
        <v>628</v>
      </c>
      <c r="V37" s="419" t="s">
        <v>698</v>
      </c>
      <c r="AC37" s="200" t="s">
        <v>627</v>
      </c>
      <c r="AD37" s="200" t="s">
        <v>628</v>
      </c>
      <c r="AE37" s="419" t="s">
        <v>698</v>
      </c>
      <c r="AL37" s="200" t="s">
        <v>627</v>
      </c>
      <c r="AM37" s="200" t="s">
        <v>628</v>
      </c>
      <c r="AN37" s="419" t="s">
        <v>698</v>
      </c>
      <c r="AU37" s="200" t="s">
        <v>627</v>
      </c>
      <c r="AV37" s="200" t="s">
        <v>628</v>
      </c>
      <c r="AW37" s="419" t="s">
        <v>698</v>
      </c>
      <c r="BD37" s="200" t="s">
        <v>627</v>
      </c>
      <c r="BE37" s="200" t="s">
        <v>628</v>
      </c>
      <c r="BF37" s="419" t="s">
        <v>698</v>
      </c>
      <c r="BM37" s="200" t="s">
        <v>627</v>
      </c>
      <c r="BN37" s="200" t="s">
        <v>628</v>
      </c>
      <c r="BO37" s="419" t="s">
        <v>698</v>
      </c>
    </row>
    <row r="38" spans="2:72" ht="27" customHeight="1" x14ac:dyDescent="0.25">
      <c r="B38" s="372" t="s">
        <v>631</v>
      </c>
      <c r="C38" s="202">
        <f>C4</f>
        <v>189.99599231861066</v>
      </c>
      <c r="D38" s="202">
        <f>H4</f>
        <v>193.20709578774699</v>
      </c>
      <c r="K38" s="411" t="s">
        <v>631</v>
      </c>
      <c r="L38" s="203">
        <f>L4</f>
        <v>2.5295999999999999E-2</v>
      </c>
      <c r="M38" s="203">
        <f>Q4</f>
        <v>1.9804711722936529E-2</v>
      </c>
      <c r="T38" s="411" t="s">
        <v>631</v>
      </c>
      <c r="U38" s="203">
        <f>U4</f>
        <v>0.43977591240875907</v>
      </c>
      <c r="V38" s="203">
        <f>Z4</f>
        <v>0.42706102368504933</v>
      </c>
      <c r="AC38" s="411" t="s">
        <v>631</v>
      </c>
      <c r="AD38" s="203">
        <f>AD4</f>
        <v>1.33125</v>
      </c>
      <c r="AE38" s="203">
        <f>AI4</f>
        <v>1.0470640789475101</v>
      </c>
      <c r="AL38" s="411" t="s">
        <v>631</v>
      </c>
      <c r="AM38" s="203">
        <f>AM4</f>
        <v>0.12824730379810756</v>
      </c>
      <c r="AN38" s="203">
        <f>AR4</f>
        <v>0.1029357100877261</v>
      </c>
      <c r="AU38" s="411" t="s">
        <v>631</v>
      </c>
      <c r="AV38" s="202">
        <f>AV4</f>
        <v>279.67741935483872</v>
      </c>
      <c r="AW38" s="202">
        <f>BA4</f>
        <v>278.25100874351381</v>
      </c>
      <c r="BD38" s="411" t="s">
        <v>631</v>
      </c>
      <c r="BE38" s="202">
        <f>BE4</f>
        <v>2120.75</v>
      </c>
      <c r="BF38" s="202">
        <f>BJ4</f>
        <v>1922.269923714186</v>
      </c>
      <c r="BM38" s="424" t="s">
        <v>631</v>
      </c>
      <c r="BN38" s="203">
        <f>BN4</f>
        <v>1.1640735593775156</v>
      </c>
      <c r="BO38" s="203">
        <f>BS4</f>
        <v>1.0965579695765688</v>
      </c>
    </row>
    <row r="39" spans="2:72" ht="16.899999999999999" customHeight="1" x14ac:dyDescent="0.25">
      <c r="B39" s="373" t="s">
        <v>700</v>
      </c>
      <c r="C39" s="373"/>
      <c r="D39" s="373"/>
      <c r="K39" s="409" t="s">
        <v>700</v>
      </c>
      <c r="L39" s="373"/>
      <c r="M39" s="373"/>
      <c r="T39" s="409" t="s">
        <v>700</v>
      </c>
      <c r="U39" s="373"/>
      <c r="V39" s="373"/>
      <c r="AC39" s="409" t="s">
        <v>700</v>
      </c>
      <c r="AD39" s="373"/>
      <c r="AE39" s="373"/>
      <c r="AL39" s="409" t="s">
        <v>700</v>
      </c>
      <c r="AM39" s="373"/>
      <c r="AN39" s="373"/>
      <c r="AU39" s="409" t="s">
        <v>700</v>
      </c>
      <c r="AV39" s="373"/>
      <c r="AW39" s="373"/>
      <c r="BD39" s="409" t="s">
        <v>700</v>
      </c>
      <c r="BE39" s="373"/>
      <c r="BF39" s="373"/>
      <c r="BM39" s="293" t="s">
        <v>700</v>
      </c>
      <c r="BN39" s="373"/>
      <c r="BO39" s="373"/>
    </row>
    <row r="40" spans="2:72" x14ac:dyDescent="0.25">
      <c r="B40" s="206" t="s">
        <v>714</v>
      </c>
      <c r="C40" s="202">
        <f>C6</f>
        <v>125.03383604055691</v>
      </c>
      <c r="D40" s="202">
        <f>H6</f>
        <v>101.12335105001353</v>
      </c>
      <c r="G40" s="190"/>
      <c r="K40" s="412" t="s">
        <v>714</v>
      </c>
      <c r="L40" s="203">
        <f>L6</f>
        <v>2.4128012820512822E-2</v>
      </c>
      <c r="M40" s="203">
        <f>Q6</f>
        <v>1.7921764853599875E-2</v>
      </c>
      <c r="T40" s="412" t="s">
        <v>714</v>
      </c>
      <c r="U40" s="203">
        <f>U6</f>
        <v>0.30848466448692158</v>
      </c>
      <c r="V40" s="203">
        <f>Z6</f>
        <v>0.2483186867653196</v>
      </c>
      <c r="AC40" s="412" t="s">
        <v>714</v>
      </c>
      <c r="AD40" s="203">
        <f>AD6</f>
        <v>1.33125</v>
      </c>
      <c r="AE40" s="203">
        <f>AI6</f>
        <v>0.99383734268372981</v>
      </c>
      <c r="AL40" s="412" t="s">
        <v>714</v>
      </c>
      <c r="AM40" s="203">
        <f>AM6</f>
        <v>0.10208563993256134</v>
      </c>
      <c r="AN40" s="203">
        <f>AR6</f>
        <v>7.5771497720443726E-2</v>
      </c>
      <c r="AU40" s="412" t="s">
        <v>714</v>
      </c>
      <c r="AV40" s="202">
        <f>AV6</f>
        <v>209.55307262569829</v>
      </c>
      <c r="AW40" s="202">
        <f>BA6</f>
        <v>216.14040688917038</v>
      </c>
      <c r="BD40" s="412" t="s">
        <v>714</v>
      </c>
      <c r="BE40" s="202">
        <f>BE6</f>
        <v>2386.5026995573412</v>
      </c>
      <c r="BF40" s="202">
        <f>BJ6</f>
        <v>2283.937366824412</v>
      </c>
      <c r="BM40" s="425" t="s">
        <v>714</v>
      </c>
      <c r="BN40" s="203">
        <f>BN6</f>
        <v>1.0993652525186981</v>
      </c>
      <c r="BO40" s="203">
        <f>BS6</f>
        <v>0.92410585800417921</v>
      </c>
    </row>
    <row r="41" spans="2:72" x14ac:dyDescent="0.25">
      <c r="B41" s="206" t="s">
        <v>715</v>
      </c>
      <c r="C41" s="202">
        <f>C7</f>
        <v>188.1985</v>
      </c>
      <c r="D41" s="202">
        <f>H7</f>
        <v>167.19729270301286</v>
      </c>
      <c r="K41" s="206" t="s">
        <v>715</v>
      </c>
      <c r="L41" s="203">
        <f>L7</f>
        <v>2.5112285714285712E-2</v>
      </c>
      <c r="M41" s="203">
        <f>Q7</f>
        <v>1.9480934733675261E-2</v>
      </c>
      <c r="T41" s="206" t="s">
        <v>715</v>
      </c>
      <c r="U41" s="203">
        <f>U7</f>
        <v>0.41538795620437952</v>
      </c>
      <c r="V41" s="203">
        <f>Z7</f>
        <v>0.37416424271518844</v>
      </c>
      <c r="AC41" s="206" t="s">
        <v>715</v>
      </c>
      <c r="AD41" s="203">
        <f>AD7</f>
        <v>1.4209120090634442</v>
      </c>
      <c r="AE41" s="203">
        <f>AI7</f>
        <v>1.1402152485878676</v>
      </c>
      <c r="AL41" s="206" t="s">
        <v>715</v>
      </c>
      <c r="AM41" s="203">
        <f>AM7</f>
        <v>0.1122911370079798</v>
      </c>
      <c r="AN41" s="203">
        <f>AR7</f>
        <v>7.5771497720443726E-2</v>
      </c>
      <c r="AU41" s="206" t="s">
        <v>715</v>
      </c>
      <c r="AV41" s="202">
        <f>AV7</f>
        <v>237.04545454545456</v>
      </c>
      <c r="AW41" s="202">
        <f>BA7</f>
        <v>220.89370461136696</v>
      </c>
      <c r="BD41" s="206" t="s">
        <v>715</v>
      </c>
      <c r="BE41" s="202">
        <f>BE7</f>
        <v>2269.2007168672781</v>
      </c>
      <c r="BF41" s="202">
        <f>BJ7</f>
        <v>1997.9691191026814</v>
      </c>
      <c r="BM41" s="206" t="s">
        <v>715</v>
      </c>
      <c r="BN41" s="203">
        <f>BN7</f>
        <v>1.197129437050968</v>
      </c>
      <c r="BO41" s="203">
        <f>BS7</f>
        <v>1.121731967906501</v>
      </c>
    </row>
    <row r="42" spans="2:72" x14ac:dyDescent="0.25">
      <c r="B42" s="206" t="s">
        <v>634</v>
      </c>
      <c r="C42" s="202">
        <f>C8</f>
        <v>524.57566534914361</v>
      </c>
      <c r="D42" s="202">
        <f>H8</f>
        <v>441.96749303736613</v>
      </c>
      <c r="K42" s="412" t="s">
        <v>634</v>
      </c>
      <c r="L42" s="203">
        <f>L8</f>
        <v>2.6817859755640938E-2</v>
      </c>
      <c r="M42" s="203">
        <f>Q8</f>
        <v>2.4337589572594295E-2</v>
      </c>
      <c r="T42" s="412" t="s">
        <v>634</v>
      </c>
      <c r="U42" s="203">
        <f>U8</f>
        <v>0.52782178217821785</v>
      </c>
      <c r="V42" s="203">
        <f>Z8</f>
        <v>0.66207604760951688</v>
      </c>
      <c r="AC42" s="412" t="s">
        <v>634</v>
      </c>
      <c r="AD42" s="203">
        <f>AD8</f>
        <v>1.0723423999999999</v>
      </c>
      <c r="AE42" s="203">
        <f>AI8</f>
        <v>1.0159725094059406</v>
      </c>
      <c r="AL42" s="412" t="s">
        <v>634</v>
      </c>
      <c r="AM42" s="203">
        <f>AM8</f>
        <v>79.736000000000004</v>
      </c>
      <c r="AN42" s="203">
        <f>AR8</f>
        <v>79.736000000000004</v>
      </c>
      <c r="AU42" s="412" t="s">
        <v>634</v>
      </c>
      <c r="AV42" s="202">
        <f>AV8</f>
        <v>337.46556473829202</v>
      </c>
      <c r="AW42" s="202">
        <f>BA8</f>
        <v>319.12856423743671</v>
      </c>
      <c r="BD42" s="412" t="s">
        <v>634</v>
      </c>
      <c r="BE42" s="202">
        <f>BE8</f>
        <v>1195.569505719822</v>
      </c>
      <c r="BF42" s="202">
        <f>BJ8</f>
        <v>902.9839274118973</v>
      </c>
      <c r="BM42" s="425" t="s">
        <v>634</v>
      </c>
      <c r="BN42" s="203">
        <f>BN8</f>
        <v>0.26001824000000001</v>
      </c>
      <c r="BO42" s="203">
        <f>BS8</f>
        <v>0.22311912</v>
      </c>
    </row>
    <row r="43" spans="2:72" x14ac:dyDescent="0.25">
      <c r="B43" s="373" t="s">
        <v>635</v>
      </c>
      <c r="C43" s="373"/>
      <c r="D43" s="373"/>
      <c r="K43" s="409" t="s">
        <v>635</v>
      </c>
      <c r="L43" s="373"/>
      <c r="M43" s="373"/>
      <c r="T43" s="409" t="s">
        <v>635</v>
      </c>
      <c r="U43" s="373"/>
      <c r="V43" s="373"/>
      <c r="AC43" s="409" t="s">
        <v>635</v>
      </c>
      <c r="AD43" s="373"/>
      <c r="AE43" s="373"/>
      <c r="AL43" s="409" t="s">
        <v>635</v>
      </c>
      <c r="AM43" s="373"/>
      <c r="AN43" s="373"/>
      <c r="AU43" s="409" t="s">
        <v>635</v>
      </c>
      <c r="AV43" s="373"/>
      <c r="AW43" s="373"/>
      <c r="BD43" s="409" t="s">
        <v>635</v>
      </c>
      <c r="BE43" s="373"/>
      <c r="BF43" s="373"/>
      <c r="BM43" s="293" t="s">
        <v>635</v>
      </c>
      <c r="BN43" s="373"/>
      <c r="BO43" s="373"/>
    </row>
    <row r="44" spans="2:72" x14ac:dyDescent="0.25">
      <c r="B44" s="206" t="s">
        <v>716</v>
      </c>
      <c r="C44" s="202" t="e">
        <f>C10</f>
        <v>#VALUE!</v>
      </c>
      <c r="D44" s="202">
        <f>H10</f>
        <v>197.98268201646579</v>
      </c>
      <c r="K44" s="206" t="s">
        <v>716</v>
      </c>
      <c r="L44" s="203">
        <f>L10</f>
        <v>2.6493124495294999E-2</v>
      </c>
      <c r="M44" s="203">
        <f>Q10</f>
        <v>1.9854915260853125E-2</v>
      </c>
      <c r="T44" s="206" t="s">
        <v>716</v>
      </c>
      <c r="U44" s="203">
        <f>U10</f>
        <v>0.48221049077583339</v>
      </c>
      <c r="V44" s="203">
        <f>Z10</f>
        <v>0.4342926189260185</v>
      </c>
      <c r="AC44" s="206" t="s">
        <v>716</v>
      </c>
      <c r="AD44" s="203">
        <f>AD10</f>
        <v>0.48617511520737328</v>
      </c>
      <c r="AE44" s="203">
        <f>AI10</f>
        <v>0.21346738366232937</v>
      </c>
      <c r="AL44" s="206" t="s">
        <v>716</v>
      </c>
      <c r="AM44" s="203">
        <f>AM10</f>
        <v>0.1606363636363636</v>
      </c>
      <c r="AN44" s="203">
        <f>AR10</f>
        <v>0.21410421197335974</v>
      </c>
      <c r="AU44" s="206" t="s">
        <v>716</v>
      </c>
      <c r="AV44" s="202">
        <f>AV10</f>
        <v>232.73108176739458</v>
      </c>
      <c r="AW44" s="202">
        <f>BA10</f>
        <v>178.95821865650223</v>
      </c>
      <c r="BD44" s="206" t="s">
        <v>716</v>
      </c>
      <c r="BE44" s="202">
        <f>BE10</f>
        <v>3050.909090909091</v>
      </c>
      <c r="BF44" s="202">
        <f>BJ10</f>
        <v>2709.7043391719071</v>
      </c>
      <c r="BM44" s="206" t="s">
        <v>716</v>
      </c>
      <c r="BN44" s="203">
        <f>BN10</f>
        <v>1.583870967741936</v>
      </c>
      <c r="BO44" s="203">
        <f>BS10</f>
        <v>1.6342597221576054</v>
      </c>
    </row>
    <row r="45" spans="2:72" x14ac:dyDescent="0.25">
      <c r="B45" s="206" t="s">
        <v>717</v>
      </c>
      <c r="C45" s="202" t="e">
        <f>C11</f>
        <v>#VALUE!</v>
      </c>
      <c r="D45" s="202">
        <f>H11</f>
        <v>108.58255558680986</v>
      </c>
      <c r="K45" s="206" t="s">
        <v>717</v>
      </c>
      <c r="L45" s="203">
        <f>L11</f>
        <v>2.4928571428571428E-2</v>
      </c>
      <c r="M45" s="203">
        <f>Q11</f>
        <v>1.3856682945957688E-2</v>
      </c>
      <c r="T45" s="206" t="s">
        <v>717</v>
      </c>
      <c r="U45" s="203">
        <f>U11</f>
        <v>0.79365079365079361</v>
      </c>
      <c r="V45" s="203">
        <f>Z11</f>
        <v>0.6244249811431789</v>
      </c>
      <c r="AC45" s="206" t="s">
        <v>717</v>
      </c>
      <c r="AD45" s="203">
        <f>AD11</f>
        <v>1.93865246449457</v>
      </c>
      <c r="AE45" s="203">
        <f>AI11</f>
        <v>1.5848955604574146</v>
      </c>
      <c r="AL45" s="206" t="s">
        <v>717</v>
      </c>
      <c r="AM45" s="203">
        <f>AM11</f>
        <v>1.3324959804657428</v>
      </c>
      <c r="AN45" s="203">
        <f>AR11</f>
        <v>0.71729081019915197</v>
      </c>
      <c r="AU45" s="206" t="s">
        <v>717</v>
      </c>
      <c r="AV45" s="202">
        <f>AV11</f>
        <v>591.85231975281738</v>
      </c>
      <c r="AW45" s="202">
        <f>BA11</f>
        <v>507.54572181686581</v>
      </c>
      <c r="BD45" s="206" t="s">
        <v>717</v>
      </c>
      <c r="BE45" s="202">
        <f>BE11</f>
        <v>3839.333698908828</v>
      </c>
      <c r="BF45" s="202">
        <f>BJ11</f>
        <v>4382.8559657190499</v>
      </c>
      <c r="BM45" s="206" t="s">
        <v>717</v>
      </c>
      <c r="BN45" s="203">
        <f>BN11</f>
        <v>1.485714285714286</v>
      </c>
      <c r="BO45" s="203">
        <f>BS11</f>
        <v>1.3692438221268184</v>
      </c>
    </row>
    <row r="46" spans="2:72" x14ac:dyDescent="0.25">
      <c r="B46" s="206" t="s">
        <v>718</v>
      </c>
      <c r="C46" s="202">
        <f>C12</f>
        <v>261.03095479055395</v>
      </c>
      <c r="D46" s="202">
        <f>H12</f>
        <v>281.37129921011558</v>
      </c>
      <c r="K46" s="206" t="s">
        <v>718</v>
      </c>
      <c r="L46" s="203">
        <f>L12</f>
        <v>2.5295999999999999E-2</v>
      </c>
      <c r="M46" s="203">
        <f>Q12</f>
        <v>2.4031787904528593E-2</v>
      </c>
      <c r="T46" s="206" t="s">
        <v>718</v>
      </c>
      <c r="U46" s="203">
        <f>U12</f>
        <v>0.1757894736842105</v>
      </c>
      <c r="V46" s="203">
        <f>Z12</f>
        <v>0.19858877598612323</v>
      </c>
      <c r="AC46" s="206" t="s">
        <v>718</v>
      </c>
      <c r="AD46" s="203">
        <f>AD12</f>
        <v>0.23866666666666669</v>
      </c>
      <c r="AE46" s="203">
        <f>AI12</f>
        <v>0.21464265583049064</v>
      </c>
      <c r="AL46" s="206" t="s">
        <v>718</v>
      </c>
      <c r="AM46" s="203">
        <f>AM12</f>
        <v>3.6333847829880667E-2</v>
      </c>
      <c r="AN46" s="203">
        <f>AR12</f>
        <v>3.2814023277639069E-2</v>
      </c>
      <c r="AU46" s="206" t="s">
        <v>718</v>
      </c>
      <c r="AV46" s="202">
        <f>AV12</f>
        <v>199.58210803281219</v>
      </c>
      <c r="AW46" s="202">
        <f>BA12</f>
        <v>299.8935950710985</v>
      </c>
      <c r="BD46" s="206" t="s">
        <v>718</v>
      </c>
      <c r="BE46" s="202">
        <f>BE12</f>
        <v>1500.4662878093845</v>
      </c>
      <c r="BF46" s="202">
        <f>BJ12</f>
        <v>1238.7700348219118</v>
      </c>
      <c r="BM46" s="206" t="s">
        <v>718</v>
      </c>
      <c r="BN46" s="203">
        <f>BN12</f>
        <v>0.57605489442643898</v>
      </c>
      <c r="BO46" s="203">
        <f>BS12</f>
        <v>0.48420487264456058</v>
      </c>
    </row>
    <row r="47" spans="2:72" ht="15" customHeight="1" x14ac:dyDescent="0.25">
      <c r="B47" s="376" t="s">
        <v>639</v>
      </c>
      <c r="C47" s="374"/>
      <c r="D47" s="374"/>
      <c r="K47" s="413" t="s">
        <v>639</v>
      </c>
      <c r="L47" s="373"/>
      <c r="M47" s="373"/>
      <c r="T47" s="413" t="s">
        <v>639</v>
      </c>
      <c r="U47" s="373"/>
      <c r="V47" s="373"/>
      <c r="AC47" s="413" t="s">
        <v>639</v>
      </c>
      <c r="AD47" s="373"/>
      <c r="AE47" s="373"/>
      <c r="AL47" s="413" t="s">
        <v>639</v>
      </c>
      <c r="AM47" s="373"/>
      <c r="AN47" s="373"/>
      <c r="AU47" s="413" t="s">
        <v>639</v>
      </c>
      <c r="AV47" s="373"/>
      <c r="AW47" s="373"/>
      <c r="BD47" s="413" t="s">
        <v>639</v>
      </c>
      <c r="BE47" s="373"/>
      <c r="BF47" s="373"/>
      <c r="BM47" s="426" t="s">
        <v>639</v>
      </c>
      <c r="BN47" s="373"/>
      <c r="BO47" s="373"/>
    </row>
    <row r="48" spans="2:72" x14ac:dyDescent="0.25">
      <c r="B48" s="206" t="s">
        <v>569</v>
      </c>
      <c r="C48" s="202">
        <f>C14</f>
        <v>108.65816765946225</v>
      </c>
      <c r="D48" s="202">
        <f>H14</f>
        <v>78.476919036384587</v>
      </c>
      <c r="K48" s="412" t="s">
        <v>569</v>
      </c>
      <c r="L48" s="203">
        <f>L14</f>
        <v>1.8666992000736318E-2</v>
      </c>
      <c r="M48" s="203">
        <f>Q14</f>
        <v>2.1521500998600163E-2</v>
      </c>
      <c r="T48" s="412" t="s">
        <v>569</v>
      </c>
      <c r="U48" s="203">
        <f>U14</f>
        <v>0.2697065081379364</v>
      </c>
      <c r="V48" s="203">
        <f>Z14</f>
        <v>0.18838534009125088</v>
      </c>
      <c r="AC48" s="412" t="s">
        <v>569</v>
      </c>
      <c r="AD48" s="203">
        <f>AD14</f>
        <v>0.68604651162790697</v>
      </c>
      <c r="AE48" s="203">
        <f>AI14</f>
        <v>0.79243985376346848</v>
      </c>
      <c r="AL48" s="412" t="s">
        <v>569</v>
      </c>
      <c r="AM48" s="203">
        <f>AM14</f>
        <v>3.6333847829880667E-2</v>
      </c>
      <c r="AN48" s="203">
        <f>AR14</f>
        <v>3.6333847829880667E-2</v>
      </c>
      <c r="AU48" s="412" t="s">
        <v>569</v>
      </c>
      <c r="AV48" s="202">
        <f>AV14</f>
        <v>83.451118963486451</v>
      </c>
      <c r="AW48" s="202">
        <f>BA14</f>
        <v>37.362166931668924</v>
      </c>
      <c r="BD48" s="412" t="s">
        <v>569</v>
      </c>
      <c r="BE48" s="202">
        <f>BE14</f>
        <v>4904.8194999176394</v>
      </c>
      <c r="BF48" s="202">
        <f>BJ14</f>
        <v>5676.3537572809855</v>
      </c>
      <c r="BM48" s="425" t="s">
        <v>569</v>
      </c>
      <c r="BN48" s="203">
        <f>BN14</f>
        <v>1.1971754362416105</v>
      </c>
      <c r="BO48" s="203">
        <f>BS14</f>
        <v>1.4361119292339291</v>
      </c>
    </row>
    <row r="49" spans="2:67" x14ac:dyDescent="0.25">
      <c r="B49" s="206" t="s">
        <v>658</v>
      </c>
      <c r="C49" s="202">
        <f>C15</f>
        <v>198.7638426627511</v>
      </c>
      <c r="D49" s="202">
        <f>H15</f>
        <v>217.63550829196475</v>
      </c>
      <c r="K49" s="412" t="s">
        <v>658</v>
      </c>
      <c r="L49" s="203">
        <f>L15</f>
        <v>2.6056929877820469E-2</v>
      </c>
      <c r="M49" s="203">
        <f>Q15</f>
        <v>2.1945071535214869E-2</v>
      </c>
      <c r="T49" s="412" t="s">
        <v>658</v>
      </c>
      <c r="U49" s="203">
        <f>U15</f>
        <v>0.31970482897384311</v>
      </c>
      <c r="V49" s="203">
        <f>Z15</f>
        <v>0.27223122273315842</v>
      </c>
      <c r="AC49" s="412" t="s">
        <v>658</v>
      </c>
      <c r="AD49" s="203">
        <f>AD15</f>
        <v>1.9327001256074459</v>
      </c>
      <c r="AE49" s="203">
        <f>AI15</f>
        <v>1.4361326190379069</v>
      </c>
      <c r="AL49" s="412" t="s">
        <v>658</v>
      </c>
      <c r="AM49" s="203">
        <f>AM15</f>
        <v>9.1880142857142869E-2</v>
      </c>
      <c r="AN49" s="203">
        <f>AR15</f>
        <v>7.3882832622338926E-2</v>
      </c>
      <c r="AU49" s="412" t="s">
        <v>658</v>
      </c>
      <c r="AV49" s="202">
        <f>AV15</f>
        <v>635.90163934426232</v>
      </c>
      <c r="AW49" s="202">
        <f>BA15</f>
        <v>517.55639485739061</v>
      </c>
      <c r="BD49" s="412" t="s">
        <v>658</v>
      </c>
      <c r="BE49" s="202">
        <f>BE15</f>
        <v>2497.840827596086</v>
      </c>
      <c r="BF49" s="202">
        <f>BJ15</f>
        <v>2579.2045060776695</v>
      </c>
      <c r="BM49" s="425" t="s">
        <v>658</v>
      </c>
      <c r="BN49" s="203">
        <f>BN15</f>
        <v>1.2907713052836876</v>
      </c>
      <c r="BO49" s="203">
        <f>BS15</f>
        <v>1.1550785110267823</v>
      </c>
    </row>
    <row r="50" spans="2:67" x14ac:dyDescent="0.25">
      <c r="B50" s="206" t="s">
        <v>659</v>
      </c>
      <c r="C50" s="202">
        <f>C16</f>
        <v>270.83958837772394</v>
      </c>
      <c r="D50" s="202">
        <f>H16</f>
        <v>241.83368626197085</v>
      </c>
      <c r="K50" s="412" t="s">
        <v>659</v>
      </c>
      <c r="L50" s="203">
        <f>L16</f>
        <v>3.923450788381494E-2</v>
      </c>
      <c r="M50" s="203">
        <f>Q16</f>
        <v>4.0689375319343697E-2</v>
      </c>
      <c r="T50" s="412" t="s">
        <v>659</v>
      </c>
      <c r="U50" s="203">
        <f>U16</f>
        <v>0.52782178217821785</v>
      </c>
      <c r="V50" s="203">
        <f>Z16</f>
        <v>0.48740605038359769</v>
      </c>
      <c r="AC50" s="412" t="s">
        <v>659</v>
      </c>
      <c r="AD50" s="203">
        <f>AD16</f>
        <v>1.2038596491228071</v>
      </c>
      <c r="AE50" s="203">
        <f>AI16</f>
        <v>0.97906527533860199</v>
      </c>
      <c r="AL50" s="412" t="s">
        <v>659</v>
      </c>
      <c r="AM50" s="203">
        <f>AM16</f>
        <v>0.39370681069663382</v>
      </c>
      <c r="AN50" s="203">
        <f>AR16</f>
        <v>0.24743156432833674</v>
      </c>
      <c r="AU50" s="412" t="s">
        <v>659</v>
      </c>
      <c r="AV50" s="202">
        <f>AV16</f>
        <v>198.89429824764571</v>
      </c>
      <c r="AW50" s="202">
        <f>BA16</f>
        <v>155.02880321389327</v>
      </c>
      <c r="BD50" s="412" t="s">
        <v>659</v>
      </c>
      <c r="BE50" s="202">
        <f>BE16</f>
        <v>1761.5542521994134</v>
      </c>
      <c r="BF50" s="202">
        <f>BJ16</f>
        <v>1523.4732546657742</v>
      </c>
      <c r="BM50" s="425" t="s">
        <v>659</v>
      </c>
      <c r="BN50" s="203">
        <f>BN16</f>
        <v>1.1640735593775156</v>
      </c>
      <c r="BO50" s="203">
        <f>BS16</f>
        <v>1.0610852274389311</v>
      </c>
    </row>
    <row r="51" spans="2:67" x14ac:dyDescent="0.25">
      <c r="B51" s="206" t="s">
        <v>571</v>
      </c>
      <c r="C51" s="202">
        <f>C17</f>
        <v>310.31798831659512</v>
      </c>
      <c r="D51" s="202">
        <f>H17</f>
        <v>211.37865887773009</v>
      </c>
      <c r="K51" s="412" t="s">
        <v>571</v>
      </c>
      <c r="L51" s="203">
        <f>L17</f>
        <v>1.5295037480412312E-2</v>
      </c>
      <c r="M51" s="203">
        <f>Q17</f>
        <v>1.0522778610129948E-2</v>
      </c>
      <c r="T51" s="412" t="s">
        <v>571</v>
      </c>
      <c r="U51" s="203">
        <f>U17</f>
        <v>1.133113833333333</v>
      </c>
      <c r="V51" s="203">
        <f>Z17</f>
        <v>0.6434649166666665</v>
      </c>
      <c r="AC51" s="412" t="s">
        <v>571</v>
      </c>
      <c r="AD51" s="203">
        <f>AD17</f>
        <v>0.53767324166666663</v>
      </c>
      <c r="AE51" s="203">
        <f>AI17</f>
        <v>0.53767324166666663</v>
      </c>
      <c r="AL51" s="412" t="s">
        <v>571</v>
      </c>
      <c r="AM51" s="203" t="e" vm="38">
        <f>AM17</f>
        <v>#VALUE!</v>
      </c>
      <c r="AN51" s="203" t="e" vm="38">
        <f>AR17</f>
        <v>#VALUE!</v>
      </c>
      <c r="AU51" s="412" t="s">
        <v>571</v>
      </c>
      <c r="AV51" s="202">
        <f>AV17</f>
        <v>565.18920068027205</v>
      </c>
      <c r="AW51" s="202">
        <f>BA17</f>
        <v>565.18920068027205</v>
      </c>
      <c r="BD51" s="412" t="s">
        <v>571</v>
      </c>
      <c r="BE51" s="202">
        <f>BE17</f>
        <v>833.85126253891383</v>
      </c>
      <c r="BF51" s="202">
        <f>BJ17</f>
        <v>724.83176254156479</v>
      </c>
      <c r="BM51" s="425" t="s">
        <v>571</v>
      </c>
      <c r="BN51" s="203">
        <f>BN17</f>
        <v>0.89272098440677961</v>
      </c>
      <c r="BO51" s="203">
        <f>BS17</f>
        <v>1.0914830657328014</v>
      </c>
    </row>
    <row r="52" spans="2:67" x14ac:dyDescent="0.25">
      <c r="B52" s="373" t="s">
        <v>643</v>
      </c>
      <c r="C52" s="373"/>
      <c r="D52" s="373"/>
      <c r="K52" s="409" t="s">
        <v>643</v>
      </c>
      <c r="L52" s="373"/>
      <c r="M52" s="373"/>
      <c r="T52" s="409" t="s">
        <v>643</v>
      </c>
      <c r="U52" s="373"/>
      <c r="V52" s="373"/>
      <c r="AC52" s="409" t="s">
        <v>643</v>
      </c>
      <c r="AD52" s="373"/>
      <c r="AE52" s="373"/>
      <c r="AL52" s="409" t="s">
        <v>643</v>
      </c>
      <c r="AM52" s="373"/>
      <c r="AN52" s="373"/>
      <c r="AU52" s="409" t="s">
        <v>643</v>
      </c>
      <c r="AV52" s="373"/>
      <c r="AW52" s="373"/>
      <c r="BD52" s="409" t="s">
        <v>643</v>
      </c>
      <c r="BE52" s="373"/>
      <c r="BF52" s="373"/>
      <c r="BM52" s="293" t="s">
        <v>643</v>
      </c>
      <c r="BN52" s="373"/>
      <c r="BO52" s="373"/>
    </row>
    <row r="53" spans="2:67" x14ac:dyDescent="0.25">
      <c r="B53" s="206" t="s">
        <v>586</v>
      </c>
      <c r="C53" s="202">
        <f>C19</f>
        <v>154.28601015043586</v>
      </c>
      <c r="D53" s="202">
        <f>H19</f>
        <v>159.72542083458265</v>
      </c>
      <c r="K53" s="412" t="s">
        <v>586</v>
      </c>
      <c r="L53" s="203">
        <f>L19</f>
        <v>4.0204608987968862E-2</v>
      </c>
      <c r="M53" s="203">
        <f>Q19</f>
        <v>2.6261486063480204E-2</v>
      </c>
      <c r="T53" s="412" t="s">
        <v>586</v>
      </c>
      <c r="U53" s="203">
        <f>U19</f>
        <v>0.31970482897384311</v>
      </c>
      <c r="V53" s="203">
        <f>Z19</f>
        <v>0.29119939462637839</v>
      </c>
      <c r="AC53" s="412" t="s">
        <v>586</v>
      </c>
      <c r="AD53" s="203">
        <f>AD19</f>
        <v>1.1209320865687951</v>
      </c>
      <c r="AE53" s="203">
        <f>AI19</f>
        <v>0.9812408924125855</v>
      </c>
      <c r="AL53" s="412" t="s">
        <v>586</v>
      </c>
      <c r="AM53" s="203">
        <f>AM19</f>
        <v>0.10208563993256134</v>
      </c>
      <c r="AN53" s="203">
        <f>AR19</f>
        <v>0.11392918360264429</v>
      </c>
      <c r="AU53" s="412" t="s">
        <v>586</v>
      </c>
      <c r="AV53" s="202">
        <f>AV19</f>
        <v>227.74559947095156</v>
      </c>
      <c r="AW53" s="202">
        <f>BA19</f>
        <v>219.75291450667294</v>
      </c>
      <c r="BD53" s="412" t="s">
        <v>586</v>
      </c>
      <c r="BE53" s="202">
        <f>BE19</f>
        <v>2386.5026995573412</v>
      </c>
      <c r="BF53" s="202">
        <f>BJ19</f>
        <v>2357.6192103151984</v>
      </c>
      <c r="BM53" s="425" t="s">
        <v>586</v>
      </c>
      <c r="BN53" s="203">
        <f>BN19</f>
        <v>0.82986517142857141</v>
      </c>
      <c r="BO53" s="203">
        <f>BS19</f>
        <v>0.87556732389550163</v>
      </c>
    </row>
    <row r="54" spans="2:67" x14ac:dyDescent="0.25">
      <c r="B54" s="206" t="s">
        <v>583</v>
      </c>
      <c r="C54" s="202">
        <f>C20</f>
        <v>191.32203389830511</v>
      </c>
      <c r="D54" s="202">
        <f>H20</f>
        <v>176.82506634490929</v>
      </c>
      <c r="K54" s="412" t="s">
        <v>583</v>
      </c>
      <c r="L54" s="203">
        <f>L20</f>
        <v>2.6493124495294999E-2</v>
      </c>
      <c r="M54" s="203">
        <f>Q20</f>
        <v>2.3891690454265181E-2</v>
      </c>
      <c r="T54" s="412" t="s">
        <v>583</v>
      </c>
      <c r="U54" s="203">
        <f>U20</f>
        <v>0.48347128953771279</v>
      </c>
      <c r="V54" s="203">
        <f>Z20</f>
        <v>0.45013482465486071</v>
      </c>
      <c r="AC54" s="412" t="s">
        <v>583</v>
      </c>
      <c r="AD54" s="203">
        <f>AD20</f>
        <v>1.959925063457816</v>
      </c>
      <c r="AE54" s="203">
        <f>AI20</f>
        <v>1.266577466416499</v>
      </c>
      <c r="AL54" s="412" t="s">
        <v>583</v>
      </c>
      <c r="AM54" s="203">
        <f>AM20</f>
        <v>0.29210173529411765</v>
      </c>
      <c r="AN54" s="203">
        <f>AR20</f>
        <v>0.15530701710452899</v>
      </c>
      <c r="AU54" s="412" t="s">
        <v>583</v>
      </c>
      <c r="AV54" s="202">
        <f>AV20</f>
        <v>629.30083333333323</v>
      </c>
      <c r="AW54" s="202">
        <f>BA20</f>
        <v>588.71523014841364</v>
      </c>
      <c r="BD54" s="412" t="s">
        <v>583</v>
      </c>
      <c r="BE54" s="202">
        <f>BE20</f>
        <v>3189.769846249128</v>
      </c>
      <c r="BF54" s="202">
        <f>BJ20</f>
        <v>2592.8889018296109</v>
      </c>
      <c r="BM54" s="425" t="s">
        <v>583</v>
      </c>
      <c r="BN54" s="203">
        <f>BN20</f>
        <v>1.832535885167464</v>
      </c>
      <c r="BO54" s="203">
        <f>BS20</f>
        <v>1.6853982482269858</v>
      </c>
    </row>
    <row r="55" spans="2:67" x14ac:dyDescent="0.25">
      <c r="B55" s="206" t="s">
        <v>589</v>
      </c>
      <c r="C55" s="202">
        <f>C21</f>
        <v>116.634423977346</v>
      </c>
      <c r="D55" s="202">
        <f>H21</f>
        <v>88.927485070643755</v>
      </c>
      <c r="K55" s="412" t="s">
        <v>589</v>
      </c>
      <c r="L55" s="203">
        <f>L21</f>
        <v>8.0074098435085287E-3</v>
      </c>
      <c r="M55" s="203">
        <f>Q21</f>
        <v>5.3804514356055244E-3</v>
      </c>
      <c r="T55" s="412" t="s">
        <v>589</v>
      </c>
      <c r="U55" s="203">
        <f>U21</f>
        <v>0.97482539682539682</v>
      </c>
      <c r="V55" s="203">
        <f>Z21</f>
        <v>0.74640468125869674</v>
      </c>
      <c r="AC55" s="412" t="s">
        <v>589</v>
      </c>
      <c r="AD55" s="203">
        <f>AD21</f>
        <v>0.8147368421052632</v>
      </c>
      <c r="AE55" s="203">
        <f>AI21</f>
        <v>0.65143726657486856</v>
      </c>
      <c r="AL55" s="412" t="s">
        <v>589</v>
      </c>
      <c r="AM55" s="203">
        <f>AM21</f>
        <v>39.888838136141864</v>
      </c>
      <c r="AN55" s="203">
        <f>AR21</f>
        <v>39.888838136141857</v>
      </c>
      <c r="AU55" s="412" t="s">
        <v>589</v>
      </c>
      <c r="AV55" s="202">
        <f>AV21</f>
        <v>196.64</v>
      </c>
      <c r="AW55" s="202">
        <f>BA21</f>
        <v>180.43696184074571</v>
      </c>
      <c r="BD55" s="412" t="s">
        <v>589</v>
      </c>
      <c r="BE55" s="202">
        <f>BE21</f>
        <v>1411.6709671323986</v>
      </c>
      <c r="BF55" s="202">
        <f>BJ21</f>
        <v>724.23056380779747</v>
      </c>
      <c r="BM55" s="425" t="s">
        <v>589</v>
      </c>
      <c r="BN55" s="203">
        <f>BN21</f>
        <v>0.80423280423280419</v>
      </c>
      <c r="BO55" s="203">
        <f>BS21</f>
        <v>0.69513979813633442</v>
      </c>
    </row>
    <row r="56" spans="2:67" x14ac:dyDescent="0.25">
      <c r="B56" s="206" t="s">
        <v>597</v>
      </c>
      <c r="C56" s="202">
        <f>C22</f>
        <v>212.87799860937119</v>
      </c>
      <c r="D56" s="202">
        <f>H22</f>
        <v>232.91370595749353</v>
      </c>
      <c r="K56" s="412" t="s">
        <v>597</v>
      </c>
      <c r="L56" s="203">
        <f>L22</f>
        <v>1.8363905735518514E-2</v>
      </c>
      <c r="M56" s="203">
        <f>Q22</f>
        <v>2.1150299671132272E-2</v>
      </c>
      <c r="T56" s="412" t="s">
        <v>597</v>
      </c>
      <c r="U56" s="203">
        <f>U22</f>
        <v>0.29404642185850494</v>
      </c>
      <c r="V56" s="203">
        <f>Z22</f>
        <v>0.21553145695419498</v>
      </c>
      <c r="AC56" s="412" t="s">
        <v>597</v>
      </c>
      <c r="AD56" s="203">
        <f>AD22</f>
        <v>1.8035812692425064</v>
      </c>
      <c r="AE56" s="203">
        <f>AI22</f>
        <v>1.8035812692425066</v>
      </c>
      <c r="AL56" s="412" t="s">
        <v>597</v>
      </c>
      <c r="AM56" s="203" t="e" vm="38">
        <f>AM22</f>
        <v>#VALUE!</v>
      </c>
      <c r="AN56" s="203" t="e" vm="38">
        <f>AR22</f>
        <v>#VALUE!</v>
      </c>
      <c r="AU56" s="412" t="s">
        <v>597</v>
      </c>
      <c r="AV56" s="202">
        <f>AV22</f>
        <v>737.890410958904</v>
      </c>
      <c r="AW56" s="202">
        <f>BA22</f>
        <v>737.890410958904</v>
      </c>
      <c r="BD56" s="412" t="s">
        <v>597</v>
      </c>
      <c r="BE56" s="202">
        <f>BE22</f>
        <v>518.20000000000005</v>
      </c>
      <c r="BF56" s="202">
        <f>BJ22</f>
        <v>490.95113274806022</v>
      </c>
      <c r="BM56" s="425" t="s">
        <v>597</v>
      </c>
      <c r="BN56" s="203">
        <f>BN22</f>
        <v>0.5791622575831703</v>
      </c>
      <c r="BO56" s="203">
        <f>BS22</f>
        <v>0.38960493642799587</v>
      </c>
    </row>
    <row r="57" spans="2:67" ht="30" x14ac:dyDescent="0.25">
      <c r="B57" s="373" t="s">
        <v>719</v>
      </c>
      <c r="C57" s="373"/>
      <c r="D57" s="373"/>
      <c r="K57" s="373" t="s">
        <v>719</v>
      </c>
      <c r="L57" s="373"/>
      <c r="M57" s="373"/>
      <c r="T57" s="373" t="s">
        <v>719</v>
      </c>
      <c r="U57" s="373"/>
      <c r="V57" s="373"/>
      <c r="AC57" s="374" t="s">
        <v>719</v>
      </c>
      <c r="AD57" s="373"/>
      <c r="AE57" s="373"/>
      <c r="AL57" s="374" t="s">
        <v>719</v>
      </c>
      <c r="AM57" s="373"/>
      <c r="AN57" s="373"/>
      <c r="AU57" s="374" t="s">
        <v>719</v>
      </c>
      <c r="AV57" s="373"/>
      <c r="AW57" s="373"/>
      <c r="BD57" s="374" t="s">
        <v>719</v>
      </c>
      <c r="BE57" s="373"/>
      <c r="BF57" s="373"/>
      <c r="BM57" s="374" t="s">
        <v>719</v>
      </c>
      <c r="BN57" s="373"/>
      <c r="BO57" s="373"/>
    </row>
    <row r="58" spans="2:67" x14ac:dyDescent="0.25">
      <c r="B58" s="206" t="s">
        <v>720</v>
      </c>
      <c r="C58" s="202">
        <f>C24</f>
        <v>261.03095479055395</v>
      </c>
      <c r="D58" s="202">
        <f>H24</f>
        <v>276.58226598274604</v>
      </c>
      <c r="K58" s="206" t="s">
        <v>720</v>
      </c>
      <c r="L58" s="203">
        <f>L24</f>
        <v>2.1857319389547651E-2</v>
      </c>
      <c r="M58" s="203">
        <f>Q24</f>
        <v>1.7255451541505821E-2</v>
      </c>
      <c r="T58" s="206" t="s">
        <v>720</v>
      </c>
      <c r="U58" s="203">
        <f>U24</f>
        <v>0.29726449999999999</v>
      </c>
      <c r="V58" s="203">
        <f>Z24</f>
        <v>0.26989244799009021</v>
      </c>
      <c r="AC58" s="206" t="s">
        <v>720</v>
      </c>
      <c r="AD58" s="203">
        <f>AD24</f>
        <v>0.27511904761904765</v>
      </c>
      <c r="AE58" s="203">
        <f>AI24</f>
        <v>0.17465274997965166</v>
      </c>
      <c r="AL58" s="206" t="s">
        <v>720</v>
      </c>
      <c r="AM58" s="203">
        <f>AM24</f>
        <v>3.6333847829880667E-2</v>
      </c>
      <c r="AN58" s="203">
        <f>AR24</f>
        <v>1.8512298914940332E-2</v>
      </c>
      <c r="AU58" s="206" t="s">
        <v>720</v>
      </c>
      <c r="AV58" s="202">
        <f>AV24</f>
        <v>239.28585880124223</v>
      </c>
      <c r="AW58" s="202">
        <f>BA24</f>
        <v>239.12275000958243</v>
      </c>
      <c r="BD58" s="206" t="s">
        <v>720</v>
      </c>
      <c r="BE58" s="202">
        <f>BE24</f>
        <v>1482.8571428571429</v>
      </c>
      <c r="BF58" s="202">
        <f>BJ24</f>
        <v>1127.4344683979175</v>
      </c>
      <c r="BM58" s="206" t="s">
        <v>720</v>
      </c>
      <c r="BN58" s="203">
        <f>BN24</f>
        <v>0.50114407140589967</v>
      </c>
      <c r="BO58" s="203">
        <f>BS24</f>
        <v>0.4789529597412599</v>
      </c>
    </row>
    <row r="59" spans="2:67" x14ac:dyDescent="0.25">
      <c r="B59" s="206" t="s">
        <v>721</v>
      </c>
      <c r="C59" s="202">
        <f>C25</f>
        <v>247.04261754384419</v>
      </c>
      <c r="D59" s="202">
        <f>H25</f>
        <v>156.90842668420058</v>
      </c>
      <c r="K59" s="206" t="s">
        <v>721</v>
      </c>
      <c r="L59" s="203">
        <f>L25</f>
        <v>9.9489920937024051E-2</v>
      </c>
      <c r="M59" s="203">
        <f>Q25</f>
        <v>7.7653786077303236E-2</v>
      </c>
      <c r="T59" s="206" t="s">
        <v>721</v>
      </c>
      <c r="U59" s="203">
        <f>U25</f>
        <v>0.25141106448692158</v>
      </c>
      <c r="V59" s="203">
        <f>Z25</f>
        <v>0.1833911079954508</v>
      </c>
      <c r="AC59" s="206" t="s">
        <v>721</v>
      </c>
      <c r="AD59" s="203">
        <f>AD25</f>
        <v>1.9327001256074459</v>
      </c>
      <c r="AE59" s="203">
        <f>AI25</f>
        <v>2.0201605716549067</v>
      </c>
      <c r="AL59" s="206" t="s">
        <v>721</v>
      </c>
      <c r="AM59" s="203">
        <f>AM25</f>
        <v>0.14420347058823529</v>
      </c>
      <c r="AN59" s="203">
        <f>AR25</f>
        <v>0.14420347058823529</v>
      </c>
      <c r="AU59" s="206" t="s">
        <v>721</v>
      </c>
      <c r="AV59" s="202">
        <f>AV25</f>
        <v>213.86744540375824</v>
      </c>
      <c r="AW59" s="202">
        <f>BA25</f>
        <v>220.9140982994187</v>
      </c>
      <c r="BD59" s="206" t="s">
        <v>721</v>
      </c>
      <c r="BE59" s="202">
        <f>BE25</f>
        <v>2582.7247616241302</v>
      </c>
      <c r="BF59" s="202">
        <f>BJ25</f>
        <v>2678.4291375876105</v>
      </c>
      <c r="BM59" s="206" t="s">
        <v>721</v>
      </c>
      <c r="BN59" s="203">
        <f>BN25</f>
        <v>0.74586469244285469</v>
      </c>
      <c r="BO59" s="203">
        <f>BS25</f>
        <v>0.95032193379998353</v>
      </c>
    </row>
    <row r="60" spans="2:67" x14ac:dyDescent="0.25">
      <c r="B60" s="206" t="s">
        <v>722</v>
      </c>
      <c r="C60" s="202">
        <f>C26</f>
        <v>350.35714285714278</v>
      </c>
      <c r="D60" s="202">
        <f>H26</f>
        <v>400.82154224953797</v>
      </c>
      <c r="K60" s="206" t="s">
        <v>722</v>
      </c>
      <c r="L60" s="203">
        <f>L26</f>
        <v>8.0657894736842109E-2</v>
      </c>
      <c r="M60" s="203">
        <f>Q26</f>
        <v>6.1591796770617366E-2</v>
      </c>
      <c r="T60" s="206" t="s">
        <v>722</v>
      </c>
      <c r="U60" s="203">
        <f>U26</f>
        <v>0.68600237051805535</v>
      </c>
      <c r="V60" s="203">
        <f>Z26</f>
        <v>0.60690639557495552</v>
      </c>
      <c r="AC60" s="206" t="s">
        <v>722</v>
      </c>
      <c r="AD60" s="203">
        <f>AD26</f>
        <v>0.82296650717703346</v>
      </c>
      <c r="AE60" s="203">
        <f>AI26</f>
        <v>0.75290243002258994</v>
      </c>
      <c r="AL60" s="206" t="s">
        <v>722</v>
      </c>
      <c r="AM60" s="203">
        <f>AM26</f>
        <v>1.340712426989807</v>
      </c>
      <c r="AN60" s="203">
        <f>AR26</f>
        <v>0.69925959883979449</v>
      </c>
      <c r="AU60" s="206" t="s">
        <v>722</v>
      </c>
      <c r="AV60" s="202">
        <f>AV26</f>
        <v>466.26765135529945</v>
      </c>
      <c r="AW60" s="202">
        <f>BA26</f>
        <v>378.70915549932164</v>
      </c>
      <c r="BD60" s="206" t="s">
        <v>722</v>
      </c>
      <c r="BE60" s="202">
        <f>BE26</f>
        <v>1781.818181818182</v>
      </c>
      <c r="BF60" s="202">
        <f>BJ26</f>
        <v>984.61092739725973</v>
      </c>
      <c r="BM60" s="206" t="s">
        <v>722</v>
      </c>
      <c r="BN60" s="203">
        <f>BN26</f>
        <v>1.832535885167464</v>
      </c>
      <c r="BO60" s="203">
        <f>BS26</f>
        <v>1.7013500060626776</v>
      </c>
    </row>
    <row r="61" spans="2:67" x14ac:dyDescent="0.25">
      <c r="B61" s="206" t="s">
        <v>723</v>
      </c>
      <c r="C61" s="202">
        <f>C27</f>
        <v>87.461244316931172</v>
      </c>
      <c r="D61" s="202">
        <f>H27</f>
        <v>75.354174530961473</v>
      </c>
      <c r="K61" s="206" t="s">
        <v>723</v>
      </c>
      <c r="L61" s="203">
        <f>L27</f>
        <v>1.4928784258192673E-2</v>
      </c>
      <c r="M61" s="203">
        <f>Q27</f>
        <v>1.4157635471086965E-2</v>
      </c>
      <c r="T61" s="206" t="s">
        <v>723</v>
      </c>
      <c r="U61" s="203">
        <f>U27</f>
        <v>0.52136840328265355</v>
      </c>
      <c r="V61" s="203">
        <f>Z27</f>
        <v>0.54620031738909847</v>
      </c>
      <c r="AC61" s="206" t="s">
        <v>723</v>
      </c>
      <c r="AD61" s="203">
        <f>AD27</f>
        <v>1.846845771728908</v>
      </c>
      <c r="AE61" s="203">
        <f>AI27</f>
        <v>1.6250745576543071</v>
      </c>
      <c r="AL61" s="206" t="s">
        <v>723</v>
      </c>
      <c r="AM61" s="203">
        <f>AM27</f>
        <v>9.1394616883116897E-2</v>
      </c>
      <c r="AN61" s="203">
        <f>AR27</f>
        <v>7.4821835349983157E-2</v>
      </c>
      <c r="AU61" s="206" t="s">
        <v>723</v>
      </c>
      <c r="AV61" s="202">
        <f>AV27</f>
        <v>598.59825652691143</v>
      </c>
      <c r="AW61" s="202">
        <f>BA27</f>
        <v>418.53926272689989</v>
      </c>
      <c r="BD61" s="206" t="s">
        <v>723</v>
      </c>
      <c r="BE61" s="202">
        <f>BE27</f>
        <v>5866.4210526315792</v>
      </c>
      <c r="BF61" s="202">
        <f>BJ27</f>
        <v>6029.4888956444174</v>
      </c>
      <c r="BM61" s="206" t="s">
        <v>723</v>
      </c>
      <c r="BN61" s="203">
        <f>BN27</f>
        <v>1.434350872483221</v>
      </c>
      <c r="BO61" s="203">
        <f>BS27</f>
        <v>1.3487102009014673</v>
      </c>
    </row>
    <row r="62" spans="2:67" x14ac:dyDescent="0.25">
      <c r="B62" s="373" t="s">
        <v>644</v>
      </c>
      <c r="C62" s="373"/>
      <c r="D62" s="373"/>
      <c r="K62" s="409" t="s">
        <v>644</v>
      </c>
      <c r="L62" s="373"/>
      <c r="M62" s="373"/>
      <c r="T62" s="409" t="s">
        <v>644</v>
      </c>
      <c r="U62" s="373"/>
      <c r="V62" s="373"/>
      <c r="AC62" s="409" t="s">
        <v>644</v>
      </c>
      <c r="AD62" s="373"/>
      <c r="AE62" s="373"/>
      <c r="AL62" s="409" t="s">
        <v>644</v>
      </c>
      <c r="AM62" s="373"/>
      <c r="AN62" s="373"/>
      <c r="AU62" s="409" t="s">
        <v>644</v>
      </c>
      <c r="AV62" s="373"/>
      <c r="AW62" s="373"/>
      <c r="BD62" s="409" t="s">
        <v>644</v>
      </c>
      <c r="BE62" s="373"/>
      <c r="BF62" s="373"/>
      <c r="BM62" s="293" t="s">
        <v>644</v>
      </c>
      <c r="BN62" s="373"/>
      <c r="BO62" s="373"/>
    </row>
    <row r="63" spans="2:67" x14ac:dyDescent="0.25">
      <c r="B63" s="206" t="s">
        <v>645</v>
      </c>
      <c r="C63" s="202">
        <f>C29</f>
        <v>132.465622476475</v>
      </c>
      <c r="D63" s="202">
        <f>H29</f>
        <v>93.455402460992175</v>
      </c>
      <c r="K63" s="412" t="s">
        <v>645</v>
      </c>
      <c r="L63" s="203">
        <f>L29</f>
        <v>2.1857319389547651E-2</v>
      </c>
      <c r="M63" s="203">
        <f>Q29</f>
        <v>1.8587579644245466E-2</v>
      </c>
      <c r="T63" s="412" t="s">
        <v>645</v>
      </c>
      <c r="U63" s="203">
        <f>U29</f>
        <v>0.5274942244224422</v>
      </c>
      <c r="V63" s="203">
        <f>Z29</f>
        <v>0.50910058153198756</v>
      </c>
      <c r="AC63" s="412" t="s">
        <v>645</v>
      </c>
      <c r="AD63" s="203">
        <f>AD29</f>
        <v>1.6775150232509577</v>
      </c>
      <c r="AE63" s="203">
        <f>AI29</f>
        <v>1.2682050206300455</v>
      </c>
      <c r="AL63" s="412" t="s">
        <v>645</v>
      </c>
      <c r="AM63" s="203">
        <f>AM29</f>
        <v>0.34741362139326759</v>
      </c>
      <c r="AN63" s="203">
        <f>AR29</f>
        <v>0.20770347748492701</v>
      </c>
      <c r="AU63" s="412" t="s">
        <v>645</v>
      </c>
      <c r="AV63" s="202">
        <f>AV29</f>
        <v>337.46556473829202</v>
      </c>
      <c r="AW63" s="202">
        <f>BA29</f>
        <v>271.71630521772698</v>
      </c>
      <c r="BD63" s="412" t="s">
        <v>645</v>
      </c>
      <c r="BE63" s="202">
        <f>BE29</f>
        <v>2582.7247616241302</v>
      </c>
      <c r="BF63" s="202">
        <f>BJ29</f>
        <v>2320.4492435811849</v>
      </c>
      <c r="BM63" s="425" t="s">
        <v>645</v>
      </c>
      <c r="BN63" s="203">
        <f>BN29</f>
        <v>1.197129437050968</v>
      </c>
      <c r="BO63" s="203">
        <f>BS29</f>
        <v>1.1895756181879988</v>
      </c>
    </row>
    <row r="64" spans="2:67" x14ac:dyDescent="0.25">
      <c r="B64" s="206" t="s">
        <v>42</v>
      </c>
      <c r="C64" s="202">
        <f>C30</f>
        <v>285.22750050110238</v>
      </c>
      <c r="D64" s="202">
        <f>H30</f>
        <v>240.56880647927713</v>
      </c>
      <c r="K64" s="412" t="s">
        <v>42</v>
      </c>
      <c r="L64" s="203">
        <f>L30</f>
        <v>0.10487849853156572</v>
      </c>
      <c r="M64" s="203">
        <f>Q30</f>
        <v>3.1752111139481093E-2</v>
      </c>
      <c r="T64" s="412" t="s">
        <v>42</v>
      </c>
      <c r="U64" s="203">
        <f>U30</f>
        <v>0.26501766784452302</v>
      </c>
      <c r="V64" s="203">
        <f>Z30</f>
        <v>0.15455596198954852</v>
      </c>
      <c r="AC64" s="412" t="s">
        <v>42</v>
      </c>
      <c r="AD64" s="203">
        <f>AD30</f>
        <v>0.48617511520737328</v>
      </c>
      <c r="AE64" s="203">
        <f>AI30</f>
        <v>0.48707640707608274</v>
      </c>
      <c r="AL64" s="412" t="s">
        <v>42</v>
      </c>
      <c r="AM64" s="203">
        <f>AM30</f>
        <v>3.6333847829880667E-2</v>
      </c>
      <c r="AN64" s="203">
        <f>AR30</f>
        <v>4.4627247193539832E-2</v>
      </c>
      <c r="AU64" s="412" t="s">
        <v>42</v>
      </c>
      <c r="AV64" s="202">
        <f>AV30</f>
        <v>194.39139415246055</v>
      </c>
      <c r="AW64" s="202">
        <f>BA30</f>
        <v>235.25294235582641</v>
      </c>
      <c r="BD64" s="412" t="s">
        <v>42</v>
      </c>
      <c r="BE64" s="202">
        <f>BE30</f>
        <v>1482.8571428571429</v>
      </c>
      <c r="BF64" s="202">
        <f>BJ30</f>
        <v>976.5725239665976</v>
      </c>
      <c r="BM64" s="425" t="s">
        <v>42</v>
      </c>
      <c r="BN64" s="203">
        <f>BN30</f>
        <v>0.96</v>
      </c>
      <c r="BO64" s="203">
        <f>BS30</f>
        <v>0.91767787609304985</v>
      </c>
    </row>
    <row r="65" spans="2:67" ht="15" customHeight="1" x14ac:dyDescent="0.25">
      <c r="B65" s="375" t="s">
        <v>646</v>
      </c>
      <c r="C65" s="373"/>
      <c r="D65" s="373"/>
      <c r="K65" s="414" t="s">
        <v>646</v>
      </c>
      <c r="L65" s="373"/>
      <c r="M65" s="373"/>
      <c r="T65" s="414" t="s">
        <v>646</v>
      </c>
      <c r="U65" s="373"/>
      <c r="V65" s="373"/>
      <c r="AC65" s="414" t="s">
        <v>646</v>
      </c>
      <c r="AD65" s="373"/>
      <c r="AE65" s="373"/>
      <c r="AL65" s="414" t="s">
        <v>646</v>
      </c>
      <c r="AM65" s="373"/>
      <c r="AN65" s="373"/>
      <c r="AU65" s="414" t="s">
        <v>646</v>
      </c>
      <c r="AV65" s="373"/>
      <c r="AW65" s="373"/>
      <c r="BD65" s="414" t="s">
        <v>646</v>
      </c>
      <c r="BE65" s="373"/>
      <c r="BF65" s="373"/>
      <c r="BM65" s="414" t="s">
        <v>646</v>
      </c>
      <c r="BN65" s="373"/>
      <c r="BO65" s="373"/>
    </row>
    <row r="66" spans="2:67" x14ac:dyDescent="0.25">
      <c r="B66" s="206" t="s">
        <v>647</v>
      </c>
      <c r="C66" s="202">
        <f>C32</f>
        <v>285.22750050110238</v>
      </c>
      <c r="D66" s="202">
        <f>H32</f>
        <v>248.00016887164691</v>
      </c>
      <c r="K66" s="412" t="s">
        <v>647</v>
      </c>
      <c r="L66" s="203">
        <f>L32</f>
        <v>2.5295999999999999E-2</v>
      </c>
      <c r="M66" s="203">
        <f>Q32</f>
        <v>2.0102962624800894E-2</v>
      </c>
      <c r="T66" s="412" t="s">
        <v>647</v>
      </c>
      <c r="U66" s="203">
        <f>U32</f>
        <v>0.81891687625434328</v>
      </c>
      <c r="V66" s="203">
        <f>Z32</f>
        <v>0.70459181377280466</v>
      </c>
      <c r="AC66" s="412" t="s">
        <v>647</v>
      </c>
      <c r="AD66" s="203">
        <f>AD32</f>
        <v>1.9212935826045361</v>
      </c>
      <c r="AE66" s="203">
        <f>AI32</f>
        <v>1.3200447411983578</v>
      </c>
      <c r="AL66" s="412" t="s">
        <v>647</v>
      </c>
      <c r="AM66" s="203">
        <f>AM32</f>
        <v>0.10208563993256134</v>
      </c>
      <c r="AN66" s="203">
        <f>AR32</f>
        <v>7.4373766549661421E-2</v>
      </c>
      <c r="AU66" s="412" t="s">
        <v>647</v>
      </c>
      <c r="AV66" s="202">
        <f>AV32</f>
        <v>337.46556473829202</v>
      </c>
      <c r="AW66" s="202">
        <f>BA32</f>
        <v>292.02061040714676</v>
      </c>
      <c r="BD66" s="412" t="s">
        <v>647</v>
      </c>
      <c r="BE66" s="202">
        <f>BE32</f>
        <v>1518.075432761626</v>
      </c>
      <c r="BF66" s="202">
        <f>BJ32</f>
        <v>1089.2881721427452</v>
      </c>
      <c r="BM66" s="425" t="s">
        <v>647</v>
      </c>
      <c r="BN66" s="203">
        <f>BN32</f>
        <v>1.0677128233333331</v>
      </c>
      <c r="BO66" s="203">
        <f>BS32</f>
        <v>1.0373108229885604</v>
      </c>
    </row>
    <row r="67" spans="2:67" x14ac:dyDescent="0.25">
      <c r="B67" s="206" t="s">
        <v>648</v>
      </c>
      <c r="C67" s="202">
        <f>C33</f>
        <v>189.99599231861066</v>
      </c>
      <c r="D67" s="202">
        <f>H33</f>
        <v>193.20709578774699</v>
      </c>
      <c r="K67" s="412" t="s">
        <v>648</v>
      </c>
      <c r="L67" s="203">
        <f>L33</f>
        <v>2.5295999999999999E-2</v>
      </c>
      <c r="M67" s="203">
        <f>Q33</f>
        <v>1.9804711722936529E-2</v>
      </c>
      <c r="T67" s="412" t="s">
        <v>648</v>
      </c>
      <c r="U67" s="203">
        <f>U33</f>
        <v>0.48221049077583339</v>
      </c>
      <c r="V67" s="203">
        <f>Z33</f>
        <v>0.47142979802855783</v>
      </c>
      <c r="AC67" s="412" t="s">
        <v>648</v>
      </c>
      <c r="AD67" s="203">
        <f>AD33</f>
        <v>1.5105740181268881</v>
      </c>
      <c r="AE67" s="203">
        <f>AI33</f>
        <v>1.1573244911209064</v>
      </c>
      <c r="AL67" s="412" t="s">
        <v>648</v>
      </c>
      <c r="AM67" s="203">
        <f>AM33</f>
        <v>0.14420347058823529</v>
      </c>
      <c r="AN67" s="203">
        <f>AR33</f>
        <v>0.13784480099681701</v>
      </c>
      <c r="AU67" s="412" t="s">
        <v>648</v>
      </c>
      <c r="AV67" s="202">
        <f>AV33</f>
        <v>296.68732782369148</v>
      </c>
      <c r="AW67" s="202">
        <f>BA33</f>
        <v>286.73454441779353</v>
      </c>
      <c r="BD67" s="412" t="s">
        <v>648</v>
      </c>
      <c r="BE67" s="202">
        <f>BE33</f>
        <v>2386.5026995573412</v>
      </c>
      <c r="BF67" s="202">
        <f>BJ33</f>
        <v>2026.1939595859899</v>
      </c>
      <c r="BM67" s="425" t="s">
        <v>648</v>
      </c>
      <c r="BN67" s="203">
        <f>BN33</f>
        <v>1.1640735593775156</v>
      </c>
      <c r="BO67" s="203">
        <f>BS33</f>
        <v>1.0965579695765688</v>
      </c>
    </row>
    <row r="68" spans="2:67" x14ac:dyDescent="0.25">
      <c r="B68" s="206" t="s">
        <v>649</v>
      </c>
      <c r="C68" s="202">
        <f>C34</f>
        <v>191.32203389830511</v>
      </c>
      <c r="D68" s="202">
        <f>H34</f>
        <v>172.50796991015258</v>
      </c>
      <c r="K68" s="412" t="s">
        <v>649</v>
      </c>
      <c r="L68" s="203">
        <f>L34</f>
        <v>2.5112285714285712E-2</v>
      </c>
      <c r="M68" s="203">
        <f>Q34</f>
        <v>1.7656744690355507E-2</v>
      </c>
      <c r="T68" s="412" t="s">
        <v>649</v>
      </c>
      <c r="U68" s="203">
        <f>U34</f>
        <v>0.28582992421567488</v>
      </c>
      <c r="V68" s="203">
        <f>Z34</f>
        <v>0.27556891442119158</v>
      </c>
      <c r="AC68" s="412" t="s">
        <v>649</v>
      </c>
      <c r="AD68" s="203">
        <f>AD34</f>
        <v>1.33125</v>
      </c>
      <c r="AE68" s="203">
        <f>AI34</f>
        <v>0.96437710193991266</v>
      </c>
      <c r="AL68" s="412" t="s">
        <v>649</v>
      </c>
      <c r="AM68" s="203">
        <f>AM34</f>
        <v>0.15241991711229946</v>
      </c>
      <c r="AN68" s="203">
        <f>AR34</f>
        <v>0.12749689733783112</v>
      </c>
      <c r="AU68" s="412" t="s">
        <v>649</v>
      </c>
      <c r="AV68" s="202">
        <f>AV34</f>
        <v>237.04545454545456</v>
      </c>
      <c r="AW68" s="202">
        <f>BA34</f>
        <v>237.13361423387428</v>
      </c>
      <c r="BD68" s="412" t="s">
        <v>649</v>
      </c>
      <c r="BE68" s="202">
        <f>BE34</f>
        <v>2120.75</v>
      </c>
      <c r="BF68" s="202">
        <f>BJ34</f>
        <v>1783.0076299921288</v>
      </c>
      <c r="BM68" s="425" t="s">
        <v>649</v>
      </c>
      <c r="BN68" s="203">
        <f>BN34</f>
        <v>0.96</v>
      </c>
      <c r="BO68" s="203">
        <f>BS34</f>
        <v>0.93143701757193909</v>
      </c>
    </row>
    <row r="72" spans="2:67" x14ac:dyDescent="0.25">
      <c r="B72" s="211" t="s">
        <v>707</v>
      </c>
      <c r="C72" s="533" t="s">
        <v>622</v>
      </c>
      <c r="D72" s="515"/>
      <c r="E72" s="533" t="s">
        <v>654</v>
      </c>
      <c r="F72" s="515"/>
    </row>
    <row r="73" spans="2:67" ht="43.15" customHeight="1" x14ac:dyDescent="0.25">
      <c r="B73" s="201" t="s">
        <v>627</v>
      </c>
      <c r="C73" s="201" t="s">
        <v>628</v>
      </c>
      <c r="D73" s="419" t="s">
        <v>698</v>
      </c>
      <c r="E73" s="201" t="s">
        <v>628</v>
      </c>
      <c r="F73" s="419" t="s">
        <v>698</v>
      </c>
      <c r="U73" t="s">
        <v>628</v>
      </c>
      <c r="V73" t="s">
        <v>724</v>
      </c>
      <c r="AD73" t="s">
        <v>628</v>
      </c>
      <c r="AE73" t="s">
        <v>724</v>
      </c>
      <c r="AV73" t="s">
        <v>628</v>
      </c>
      <c r="AW73" t="s">
        <v>724</v>
      </c>
      <c r="BE73" t="s">
        <v>628</v>
      </c>
      <c r="BF73" t="s">
        <v>724</v>
      </c>
    </row>
    <row r="74" spans="2:67" x14ac:dyDescent="0.25">
      <c r="B74" s="373" t="s">
        <v>644</v>
      </c>
      <c r="C74" s="435"/>
      <c r="D74" s="435"/>
      <c r="E74" s="435"/>
      <c r="F74" s="435"/>
      <c r="T74" t="s">
        <v>725</v>
      </c>
      <c r="U74" s="13">
        <v>0.2697065081379364</v>
      </c>
      <c r="V74" s="13">
        <v>0.1883853400912508</v>
      </c>
      <c r="AC74" t="s">
        <v>725</v>
      </c>
      <c r="AD74" s="13">
        <v>0.68604651162790697</v>
      </c>
      <c r="AE74" s="13">
        <v>0.79243985376346826</v>
      </c>
      <c r="AU74" t="s">
        <v>586</v>
      </c>
      <c r="AV74" s="130">
        <v>227.74559947095159</v>
      </c>
      <c r="AW74" s="130">
        <v>219.75291450667291</v>
      </c>
      <c r="BB74" s="537"/>
      <c r="BC74" s="537" t="s">
        <v>726</v>
      </c>
      <c r="BD74" t="s">
        <v>39</v>
      </c>
      <c r="BE74" s="130">
        <v>209.55307262569829</v>
      </c>
      <c r="BF74" s="130">
        <v>216.14040688917041</v>
      </c>
    </row>
    <row r="75" spans="2:67" x14ac:dyDescent="0.25">
      <c r="B75" s="206" t="s">
        <v>645</v>
      </c>
      <c r="C75" s="202">
        <f>C63</f>
        <v>132.465622476475</v>
      </c>
      <c r="D75" s="202">
        <f>D63</f>
        <v>93.455402460992175</v>
      </c>
      <c r="E75" s="203">
        <f>L63</f>
        <v>2.1857319389547651E-2</v>
      </c>
      <c r="F75" s="203">
        <f>M63</f>
        <v>1.8587579644245466E-2</v>
      </c>
      <c r="T75" t="s">
        <v>727</v>
      </c>
      <c r="U75" s="13">
        <v>0.31970482897384311</v>
      </c>
      <c r="V75" s="13">
        <v>0.27223122273315842</v>
      </c>
      <c r="AC75" t="s">
        <v>727</v>
      </c>
      <c r="AD75" s="13">
        <v>1.9327001256074461</v>
      </c>
      <c r="AE75" s="13">
        <v>1.4361326190379069</v>
      </c>
      <c r="AU75" t="s">
        <v>583</v>
      </c>
      <c r="AV75" s="130">
        <v>629.30083333333323</v>
      </c>
      <c r="AW75" s="130">
        <v>588.71523014841364</v>
      </c>
      <c r="BB75" s="538"/>
      <c r="BC75" s="538"/>
      <c r="BD75" t="s">
        <v>597</v>
      </c>
      <c r="BE75" s="130">
        <v>218.18181818181819</v>
      </c>
      <c r="BF75" s="130">
        <v>219.2864206010332</v>
      </c>
    </row>
    <row r="76" spans="2:67" x14ac:dyDescent="0.25">
      <c r="B76" s="206" t="s">
        <v>42</v>
      </c>
      <c r="C76" s="202">
        <f>C64</f>
        <v>285.22750050110238</v>
      </c>
      <c r="D76" s="202">
        <f>D64</f>
        <v>240.56880647927713</v>
      </c>
      <c r="E76" s="203">
        <f>L64</f>
        <v>0.10487849853156572</v>
      </c>
      <c r="F76" s="203">
        <f>M64</f>
        <v>3.1752111139481093E-2</v>
      </c>
      <c r="T76" t="s">
        <v>728</v>
      </c>
      <c r="U76" s="13">
        <v>0.52782178217821785</v>
      </c>
      <c r="V76" s="13">
        <v>0.48740605038359769</v>
      </c>
      <c r="AC76" t="s">
        <v>728</v>
      </c>
      <c r="AD76" s="13">
        <v>1.2038596491228071</v>
      </c>
      <c r="AE76" s="13">
        <v>0.97906527533860199</v>
      </c>
      <c r="AU76" t="s">
        <v>589</v>
      </c>
      <c r="AV76" s="130">
        <v>196.64</v>
      </c>
      <c r="AW76" s="130">
        <v>180.43696184074571</v>
      </c>
      <c r="BB76" s="538"/>
      <c r="BC76" s="538"/>
      <c r="BD76" t="s">
        <v>729</v>
      </c>
      <c r="BE76" s="130">
        <v>317.04961405231433</v>
      </c>
      <c r="BF76" s="130">
        <v>298.98988035933718</v>
      </c>
    </row>
    <row r="77" spans="2:67" x14ac:dyDescent="0.25">
      <c r="D77" t="s">
        <v>628</v>
      </c>
      <c r="E77" t="s">
        <v>724</v>
      </c>
      <c r="F77" t="s">
        <v>730</v>
      </c>
      <c r="T77" t="s">
        <v>49</v>
      </c>
      <c r="U77" s="13">
        <v>1.133113833333333</v>
      </c>
      <c r="V77" s="13">
        <v>0.64346491666666661</v>
      </c>
      <c r="AC77" t="s">
        <v>49</v>
      </c>
      <c r="AD77" s="13">
        <v>0.53767324166666675</v>
      </c>
      <c r="AE77" s="13">
        <v>0.53767324166666675</v>
      </c>
      <c r="BC77" s="537" t="s">
        <v>731</v>
      </c>
      <c r="BE77" t="s">
        <v>628</v>
      </c>
      <c r="BF77" t="s">
        <v>724</v>
      </c>
    </row>
    <row r="78" spans="2:67" x14ac:dyDescent="0.25">
      <c r="C78" t="s">
        <v>645</v>
      </c>
      <c r="D78">
        <v>132</v>
      </c>
      <c r="E78">
        <v>93</v>
      </c>
      <c r="F78">
        <f>D79/D78</f>
        <v>2.1590909090909092</v>
      </c>
      <c r="BC78" s="538"/>
      <c r="BD78" t="s">
        <v>39</v>
      </c>
      <c r="BE78" s="130">
        <v>2386.5026995573412</v>
      </c>
      <c r="BF78" s="130">
        <v>2283.937366824412</v>
      </c>
    </row>
    <row r="79" spans="2:67" x14ac:dyDescent="0.25">
      <c r="C79" t="s">
        <v>42</v>
      </c>
      <c r="D79">
        <v>285</v>
      </c>
      <c r="E79">
        <v>241</v>
      </c>
      <c r="F79">
        <f>E79/E78</f>
        <v>2.5913978494623655</v>
      </c>
      <c r="BC79" s="538"/>
      <c r="BD79" t="s">
        <v>597</v>
      </c>
      <c r="BE79" s="130">
        <v>2386.5026995573412</v>
      </c>
      <c r="BF79" s="130">
        <v>2170.0089765458042</v>
      </c>
    </row>
    <row r="80" spans="2:67" x14ac:dyDescent="0.25">
      <c r="D80" t="s">
        <v>628</v>
      </c>
      <c r="E80" t="s">
        <v>724</v>
      </c>
      <c r="BD80" t="s">
        <v>729</v>
      </c>
      <c r="BE80" s="130">
        <v>1007.907201839503</v>
      </c>
      <c r="BF80" s="130">
        <v>830.25888612600102</v>
      </c>
    </row>
    <row r="81" spans="2:49" x14ac:dyDescent="0.25">
      <c r="B81" t="s">
        <v>654</v>
      </c>
      <c r="C81" t="s">
        <v>645</v>
      </c>
      <c r="D81">
        <v>0.02</v>
      </c>
      <c r="E81">
        <v>0.02</v>
      </c>
    </row>
    <row r="82" spans="2:49" x14ac:dyDescent="0.25">
      <c r="C82" t="s">
        <v>42</v>
      </c>
      <c r="D82">
        <v>0.1</v>
      </c>
      <c r="E82">
        <v>0.03</v>
      </c>
    </row>
    <row r="95" spans="2:49" x14ac:dyDescent="0.25">
      <c r="U95" t="s">
        <v>628</v>
      </c>
      <c r="V95" t="s">
        <v>724</v>
      </c>
      <c r="AD95" t="s">
        <v>628</v>
      </c>
      <c r="AE95" t="s">
        <v>724</v>
      </c>
      <c r="AV95" t="s">
        <v>628</v>
      </c>
      <c r="AW95" t="s">
        <v>724</v>
      </c>
    </row>
    <row r="96" spans="2:49" x14ac:dyDescent="0.25">
      <c r="T96" t="s">
        <v>645</v>
      </c>
      <c r="U96" s="13">
        <v>0.5274942244224422</v>
      </c>
      <c r="V96" s="13">
        <v>0.50910058153198756</v>
      </c>
      <c r="AC96" t="s">
        <v>645</v>
      </c>
      <c r="AD96" s="13">
        <v>1.6775150232509579</v>
      </c>
      <c r="AE96" s="13">
        <v>1.2682050206300459</v>
      </c>
      <c r="AT96" s="539"/>
      <c r="AU96" t="s">
        <v>732</v>
      </c>
      <c r="AV96" s="130">
        <v>239.2858588012422</v>
      </c>
      <c r="AW96" s="130">
        <v>239.1227500095824</v>
      </c>
    </row>
    <row r="97" spans="3:49" x14ac:dyDescent="0.25">
      <c r="T97" t="s">
        <v>42</v>
      </c>
      <c r="U97" s="13">
        <v>0.26501766784452302</v>
      </c>
      <c r="V97" s="13">
        <v>0.15455596198954849</v>
      </c>
      <c r="AC97" t="s">
        <v>42</v>
      </c>
      <c r="AD97" s="13">
        <v>0.48617511520737328</v>
      </c>
      <c r="AE97" s="13">
        <v>0.48707640707608268</v>
      </c>
      <c r="AT97" s="538"/>
      <c r="AU97" t="s">
        <v>733</v>
      </c>
      <c r="AV97" s="130">
        <v>213.8674454037583</v>
      </c>
      <c r="AW97" s="130">
        <v>220.9140982994187</v>
      </c>
    </row>
    <row r="98" spans="3:49" x14ac:dyDescent="0.25">
      <c r="U98" s="13"/>
      <c r="V98" s="13"/>
      <c r="AD98" s="13"/>
      <c r="AE98" s="13"/>
      <c r="AT98" s="539"/>
      <c r="AU98" t="s">
        <v>734</v>
      </c>
      <c r="AV98" s="130">
        <v>466.26765135529939</v>
      </c>
      <c r="AW98" s="130">
        <v>378.7091554993217</v>
      </c>
    </row>
    <row r="99" spans="3:49" x14ac:dyDescent="0.25">
      <c r="U99" s="13"/>
      <c r="V99" s="13"/>
      <c r="AD99" s="13"/>
      <c r="AE99" s="13"/>
      <c r="AT99" s="538"/>
      <c r="AU99" t="s">
        <v>735</v>
      </c>
      <c r="AV99" s="130">
        <v>598.59825652691143</v>
      </c>
      <c r="AW99" s="130">
        <v>418.53926272690001</v>
      </c>
    </row>
    <row r="104" spans="3:49" x14ac:dyDescent="0.25">
      <c r="D104" t="s">
        <v>628</v>
      </c>
      <c r="E104" t="s">
        <v>724</v>
      </c>
    </row>
    <row r="105" spans="3:49" x14ac:dyDescent="0.25">
      <c r="C105" t="s">
        <v>586</v>
      </c>
      <c r="D105" s="130">
        <v>154.2860101504358</v>
      </c>
      <c r="E105" s="130">
        <v>159.72542083458259</v>
      </c>
    </row>
    <row r="106" spans="3:49" x14ac:dyDescent="0.25">
      <c r="C106" t="s">
        <v>583</v>
      </c>
      <c r="D106" s="130">
        <v>191.32203389830511</v>
      </c>
      <c r="E106" s="130">
        <v>176.8250663449092</v>
      </c>
    </row>
    <row r="107" spans="3:49" x14ac:dyDescent="0.25">
      <c r="C107" t="s">
        <v>589</v>
      </c>
      <c r="D107" s="130">
        <v>116.634423977346</v>
      </c>
      <c r="E107" s="130">
        <v>88.927485070643755</v>
      </c>
    </row>
    <row r="109" spans="3:49" x14ac:dyDescent="0.25">
      <c r="D109" t="s">
        <v>628</v>
      </c>
      <c r="E109" t="s">
        <v>724</v>
      </c>
    </row>
    <row r="110" spans="3:49" x14ac:dyDescent="0.25">
      <c r="C110" t="s">
        <v>586</v>
      </c>
      <c r="D110" s="13">
        <v>4.0204608987968862E-2</v>
      </c>
      <c r="E110" s="13">
        <v>2.6261486063480201E-2</v>
      </c>
    </row>
    <row r="111" spans="3:49" x14ac:dyDescent="0.25">
      <c r="C111" t="s">
        <v>583</v>
      </c>
      <c r="D111" s="13">
        <v>2.6493124495294999E-2</v>
      </c>
      <c r="E111" s="13">
        <v>2.3891690454265181E-2</v>
      </c>
    </row>
    <row r="112" spans="3:49" x14ac:dyDescent="0.25">
      <c r="C112" t="s">
        <v>589</v>
      </c>
      <c r="D112" s="13">
        <v>8.0074098435085287E-3</v>
      </c>
      <c r="E112" s="13">
        <v>5.3804514356055244E-3</v>
      </c>
    </row>
    <row r="114" spans="20:58" x14ac:dyDescent="0.25">
      <c r="BE114" t="s">
        <v>628</v>
      </c>
      <c r="BF114" t="s">
        <v>724</v>
      </c>
    </row>
    <row r="115" spans="20:58" x14ac:dyDescent="0.25">
      <c r="BD115" t="s">
        <v>586</v>
      </c>
      <c r="BE115" s="130">
        <v>2386.5026995573412</v>
      </c>
      <c r="BF115" s="130">
        <v>2357.619210315198</v>
      </c>
    </row>
    <row r="116" spans="20:58" x14ac:dyDescent="0.25">
      <c r="U116" t="s">
        <v>628</v>
      </c>
      <c r="V116" t="s">
        <v>724</v>
      </c>
      <c r="AD116" t="s">
        <v>628</v>
      </c>
      <c r="AE116" t="s">
        <v>724</v>
      </c>
      <c r="BD116" t="s">
        <v>583</v>
      </c>
      <c r="BE116" s="130">
        <v>3189.769846249128</v>
      </c>
      <c r="BF116" s="130">
        <v>2592.8889018296109</v>
      </c>
    </row>
    <row r="117" spans="20:58" x14ac:dyDescent="0.25">
      <c r="T117" t="s">
        <v>736</v>
      </c>
      <c r="U117" s="13">
        <v>0.43977591240875907</v>
      </c>
      <c r="V117" s="13">
        <v>0.42706102368504928</v>
      </c>
      <c r="AC117" t="s">
        <v>736</v>
      </c>
      <c r="AD117" s="13">
        <v>1.33125</v>
      </c>
      <c r="AE117" s="13">
        <v>1.0470640789475101</v>
      </c>
      <c r="BD117" t="s">
        <v>589</v>
      </c>
      <c r="BE117" s="130">
        <v>1411.670967132399</v>
      </c>
      <c r="BF117" s="130">
        <v>724.23056380779747</v>
      </c>
    </row>
    <row r="118" spans="20:58" x14ac:dyDescent="0.25">
      <c r="T118" t="s">
        <v>647</v>
      </c>
      <c r="U118" s="13">
        <v>0.81891687625434328</v>
      </c>
      <c r="V118" s="13">
        <v>0.70459181377280466</v>
      </c>
      <c r="AC118" t="s">
        <v>647</v>
      </c>
      <c r="AD118" s="13">
        <v>1.9212935826045361</v>
      </c>
      <c r="AE118" s="13">
        <v>1.320044741198358</v>
      </c>
    </row>
    <row r="119" spans="20:58" x14ac:dyDescent="0.25">
      <c r="T119" t="s">
        <v>648</v>
      </c>
      <c r="U119" s="13">
        <v>0.48221049077583339</v>
      </c>
      <c r="V119" s="13">
        <v>0.47142979802855778</v>
      </c>
      <c r="AC119" t="s">
        <v>648</v>
      </c>
      <c r="AD119" s="13">
        <v>1.5105740181268881</v>
      </c>
      <c r="AE119" s="13">
        <v>1.157324491120906</v>
      </c>
      <c r="BE119" t="s">
        <v>628</v>
      </c>
      <c r="BF119" t="s">
        <v>724</v>
      </c>
    </row>
    <row r="120" spans="20:58" x14ac:dyDescent="0.25">
      <c r="T120" t="s">
        <v>649</v>
      </c>
      <c r="U120" s="13">
        <v>0.28582992421567488</v>
      </c>
      <c r="V120" s="13">
        <v>0.27556891442119158</v>
      </c>
      <c r="AC120" t="s">
        <v>649</v>
      </c>
      <c r="AD120" s="13">
        <v>1.33125</v>
      </c>
      <c r="AE120" s="13">
        <v>0.96437710193991266</v>
      </c>
      <c r="BD120" t="s">
        <v>645</v>
      </c>
      <c r="BE120" s="130">
        <v>2582.7247616241302</v>
      </c>
      <c r="BF120" s="130">
        <v>2320.4492435811849</v>
      </c>
    </row>
    <row r="121" spans="20:58" x14ac:dyDescent="0.25">
      <c r="BD121" t="s">
        <v>42</v>
      </c>
      <c r="BE121" s="130">
        <v>1482.8571428571429</v>
      </c>
      <c r="BF121" s="130">
        <v>976.57252396659783</v>
      </c>
    </row>
    <row r="123" spans="20:58" x14ac:dyDescent="0.25">
      <c r="AV123" t="s">
        <v>628</v>
      </c>
      <c r="AW123" t="s">
        <v>724</v>
      </c>
    </row>
    <row r="124" spans="20:58" x14ac:dyDescent="0.25">
      <c r="AU124" t="s">
        <v>725</v>
      </c>
      <c r="AV124" s="130">
        <v>83.451118963486451</v>
      </c>
      <c r="AW124" s="130">
        <v>37.362166931668916</v>
      </c>
    </row>
    <row r="125" spans="20:58" x14ac:dyDescent="0.25">
      <c r="AU125" t="s">
        <v>727</v>
      </c>
      <c r="AV125" s="130">
        <v>635.90163934426232</v>
      </c>
      <c r="AW125" s="130">
        <v>517.55639485739061</v>
      </c>
    </row>
    <row r="126" spans="20:58" x14ac:dyDescent="0.25">
      <c r="AU126" t="s">
        <v>728</v>
      </c>
      <c r="AV126" s="130">
        <v>198.89429824764571</v>
      </c>
      <c r="AW126" s="130">
        <v>155.0288032138933</v>
      </c>
    </row>
    <row r="127" spans="20:58" x14ac:dyDescent="0.25">
      <c r="AU127" t="s">
        <v>49</v>
      </c>
      <c r="AV127" s="130">
        <v>565.18920068027205</v>
      </c>
      <c r="AW127" s="130">
        <v>565.18920068027205</v>
      </c>
    </row>
  </sheetData>
  <mergeCells count="22">
    <mergeCell ref="BC74:BC76"/>
    <mergeCell ref="C36:D36"/>
    <mergeCell ref="U2:AA2"/>
    <mergeCell ref="AT98:AT99"/>
    <mergeCell ref="AV2:BB2"/>
    <mergeCell ref="AV36:AW36"/>
    <mergeCell ref="BB74:BB76"/>
    <mergeCell ref="C72:D72"/>
    <mergeCell ref="E72:F72"/>
    <mergeCell ref="C2:I2"/>
    <mergeCell ref="AT96:AT97"/>
    <mergeCell ref="L36:M36"/>
    <mergeCell ref="BC77:BC79"/>
    <mergeCell ref="AD2:AJ2"/>
    <mergeCell ref="BE36:BF36"/>
    <mergeCell ref="BN2:BT2"/>
    <mergeCell ref="L2:R2"/>
    <mergeCell ref="AM36:AN36"/>
    <mergeCell ref="AM2:AS2"/>
    <mergeCell ref="AD36:AE36"/>
    <mergeCell ref="BE2:BK2"/>
    <mergeCell ref="BN36:BO3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A87CD"/>
  </sheetPr>
  <dimension ref="B2:BT75"/>
  <sheetViews>
    <sheetView zoomScale="70" zoomScaleNormal="70" workbookViewId="0">
      <selection activeCell="F30" sqref="F30"/>
    </sheetView>
  </sheetViews>
  <sheetFormatPr defaultRowHeight="15" x14ac:dyDescent="0.25"/>
  <cols>
    <col min="1" max="1" width="16.28515625" customWidth="1"/>
    <col min="2" max="2" width="31" customWidth="1"/>
    <col min="3" max="3" width="11.7109375" bestFit="1" customWidth="1"/>
    <col min="4" max="4" width="13.28515625" customWidth="1"/>
    <col min="5" max="5" width="13.140625" customWidth="1"/>
    <col min="6" max="6" width="13.7109375" customWidth="1"/>
    <col min="7" max="9" width="11.28515625" customWidth="1"/>
    <col min="10" max="10" width="5.7109375" customWidth="1"/>
    <col min="11" max="11" width="29.42578125" customWidth="1"/>
    <col min="12" max="13" width="12.85546875" customWidth="1"/>
    <col min="14" max="18" width="11.85546875" customWidth="1"/>
    <col min="19" max="19" width="5.7109375" customWidth="1"/>
    <col min="20" max="20" width="30.42578125" customWidth="1"/>
    <col min="21" max="21" width="11.5703125" bestFit="1" customWidth="1"/>
    <col min="22" max="22" width="13" customWidth="1"/>
    <col min="23" max="27" width="10.5703125" customWidth="1"/>
    <col min="28" max="28" width="4.28515625" customWidth="1"/>
    <col min="29" max="29" width="29.28515625" customWidth="1"/>
    <col min="30" max="30" width="11.5703125" bestFit="1" customWidth="1"/>
    <col min="31" max="31" width="12.7109375" customWidth="1"/>
    <col min="32" max="36" width="11.42578125" customWidth="1"/>
    <col min="37" max="37" width="4.7109375" customWidth="1"/>
    <col min="38" max="38" width="29.28515625" customWidth="1"/>
    <col min="39" max="39" width="11.28515625" customWidth="1"/>
    <col min="40" max="40" width="12.7109375" bestFit="1" customWidth="1"/>
    <col min="41" max="45" width="10.42578125" customWidth="1"/>
    <col min="46" max="46" width="4.5703125" customWidth="1"/>
    <col min="47" max="47" width="30.28515625" customWidth="1"/>
    <col min="48" max="48" width="11" customWidth="1"/>
    <col min="49" max="49" width="12.42578125" customWidth="1"/>
    <col min="50" max="54" width="10.7109375" customWidth="1"/>
    <col min="55" max="55" width="4" customWidth="1"/>
    <col min="56" max="56" width="29.5703125" customWidth="1"/>
    <col min="57" max="57" width="11" customWidth="1"/>
    <col min="58" max="58" width="12.42578125" customWidth="1"/>
    <col min="59" max="63" width="10.140625" customWidth="1"/>
    <col min="64" max="64" width="3.7109375" customWidth="1"/>
    <col min="65" max="65" width="29.7109375" customWidth="1"/>
    <col min="66" max="66" width="9.85546875" customWidth="1"/>
    <col min="67" max="67" width="13" customWidth="1"/>
    <col min="68" max="68" width="11.5703125" customWidth="1"/>
    <col min="71" max="71" width="10.5703125" customWidth="1"/>
  </cols>
  <sheetData>
    <row r="2" spans="2:72" ht="45.6" customHeight="1" x14ac:dyDescent="0.25">
      <c r="B2" s="418" t="s">
        <v>621</v>
      </c>
      <c r="C2" s="513" t="s">
        <v>622</v>
      </c>
      <c r="D2" s="514"/>
      <c r="E2" s="514"/>
      <c r="F2" s="514"/>
      <c r="G2" s="514"/>
      <c r="H2" s="514"/>
      <c r="I2" s="515"/>
      <c r="J2" s="415"/>
      <c r="K2" s="418" t="s">
        <v>621</v>
      </c>
      <c r="L2" s="513" t="s">
        <v>709</v>
      </c>
      <c r="M2" s="514"/>
      <c r="N2" s="514"/>
      <c r="O2" s="514"/>
      <c r="P2" s="514"/>
      <c r="Q2" s="514"/>
      <c r="R2" s="515"/>
      <c r="S2" s="415"/>
      <c r="T2" s="418" t="s">
        <v>621</v>
      </c>
      <c r="U2" s="513" t="s">
        <v>710</v>
      </c>
      <c r="V2" s="514"/>
      <c r="W2" s="514"/>
      <c r="X2" s="514"/>
      <c r="Y2" s="514"/>
      <c r="Z2" s="514"/>
      <c r="AA2" s="515"/>
      <c r="AB2" s="415"/>
      <c r="AC2" s="418" t="s">
        <v>621</v>
      </c>
      <c r="AD2" s="513" t="s">
        <v>711</v>
      </c>
      <c r="AE2" s="514"/>
      <c r="AF2" s="514"/>
      <c r="AG2" s="514"/>
      <c r="AH2" s="514"/>
      <c r="AI2" s="514"/>
      <c r="AJ2" s="515"/>
      <c r="AK2" s="415"/>
      <c r="AL2" s="418" t="s">
        <v>621</v>
      </c>
      <c r="AM2" s="513" t="s">
        <v>712</v>
      </c>
      <c r="AN2" s="514"/>
      <c r="AO2" s="514"/>
      <c r="AP2" s="514"/>
      <c r="AQ2" s="514"/>
      <c r="AR2" s="514"/>
      <c r="AS2" s="515"/>
      <c r="AT2" s="415"/>
      <c r="AU2" s="418" t="s">
        <v>621</v>
      </c>
      <c r="AV2" s="513" t="s">
        <v>31</v>
      </c>
      <c r="AW2" s="514"/>
      <c r="AX2" s="514"/>
      <c r="AY2" s="514"/>
      <c r="AZ2" s="514"/>
      <c r="BA2" s="514"/>
      <c r="BB2" s="515"/>
      <c r="BC2" s="415"/>
      <c r="BD2" s="418" t="s">
        <v>621</v>
      </c>
      <c r="BE2" s="513" t="s">
        <v>33</v>
      </c>
      <c r="BF2" s="514"/>
      <c r="BG2" s="514"/>
      <c r="BH2" s="514"/>
      <c r="BI2" s="514"/>
      <c r="BJ2" s="514"/>
      <c r="BK2" s="515"/>
      <c r="BL2" s="415"/>
      <c r="BM2" s="418" t="s">
        <v>621</v>
      </c>
      <c r="BN2" s="513" t="s">
        <v>713</v>
      </c>
      <c r="BO2" s="514"/>
      <c r="BP2" s="514"/>
      <c r="BQ2" s="514"/>
      <c r="BR2" s="514"/>
      <c r="BS2" s="514"/>
      <c r="BT2" s="515"/>
    </row>
    <row r="3" spans="2:72" ht="57.6" customHeight="1" x14ac:dyDescent="0.25">
      <c r="B3" s="201" t="s">
        <v>627</v>
      </c>
      <c r="C3" s="201" t="s">
        <v>628</v>
      </c>
      <c r="D3" s="201" t="s">
        <v>629</v>
      </c>
      <c r="E3" s="201" t="s">
        <v>630</v>
      </c>
      <c r="F3" s="201" t="s">
        <v>696</v>
      </c>
      <c r="G3" s="201" t="s">
        <v>697</v>
      </c>
      <c r="H3" s="419" t="s">
        <v>698</v>
      </c>
      <c r="I3" s="419" t="s">
        <v>699</v>
      </c>
      <c r="J3" s="416"/>
      <c r="K3" s="201" t="s">
        <v>627</v>
      </c>
      <c r="L3" s="201" t="s">
        <v>628</v>
      </c>
      <c r="M3" s="201" t="s">
        <v>629</v>
      </c>
      <c r="N3" s="201" t="s">
        <v>630</v>
      </c>
      <c r="O3" s="201" t="s">
        <v>696</v>
      </c>
      <c r="P3" s="201" t="s">
        <v>697</v>
      </c>
      <c r="Q3" s="419" t="s">
        <v>698</v>
      </c>
      <c r="R3" s="419" t="s">
        <v>699</v>
      </c>
      <c r="S3" s="416"/>
      <c r="T3" s="201" t="s">
        <v>627</v>
      </c>
      <c r="U3" s="201" t="s">
        <v>628</v>
      </c>
      <c r="V3" s="201" t="s">
        <v>629</v>
      </c>
      <c r="W3" s="201" t="s">
        <v>630</v>
      </c>
      <c r="X3" s="201" t="s">
        <v>696</v>
      </c>
      <c r="Y3" s="201" t="s">
        <v>697</v>
      </c>
      <c r="Z3" s="419" t="s">
        <v>698</v>
      </c>
      <c r="AA3" s="419" t="s">
        <v>699</v>
      </c>
      <c r="AB3" s="416"/>
      <c r="AC3" s="201" t="s">
        <v>627</v>
      </c>
      <c r="AD3" s="201" t="s">
        <v>628</v>
      </c>
      <c r="AE3" s="201" t="s">
        <v>629</v>
      </c>
      <c r="AF3" s="201" t="s">
        <v>630</v>
      </c>
      <c r="AG3" s="201" t="s">
        <v>696</v>
      </c>
      <c r="AH3" s="201" t="s">
        <v>697</v>
      </c>
      <c r="AI3" s="419" t="s">
        <v>698</v>
      </c>
      <c r="AJ3" s="419" t="s">
        <v>699</v>
      </c>
      <c r="AK3" s="416"/>
      <c r="AL3" s="201" t="s">
        <v>627</v>
      </c>
      <c r="AM3" s="201" t="s">
        <v>628</v>
      </c>
      <c r="AN3" s="201" t="s">
        <v>629</v>
      </c>
      <c r="AO3" s="201" t="s">
        <v>630</v>
      </c>
      <c r="AP3" s="201" t="s">
        <v>696</v>
      </c>
      <c r="AQ3" s="201" t="s">
        <v>697</v>
      </c>
      <c r="AR3" s="419" t="s">
        <v>698</v>
      </c>
      <c r="AS3" s="419" t="s">
        <v>699</v>
      </c>
      <c r="AT3" s="416"/>
      <c r="AU3" s="201" t="s">
        <v>627</v>
      </c>
      <c r="AV3" s="201" t="s">
        <v>628</v>
      </c>
      <c r="AW3" s="201" t="s">
        <v>629</v>
      </c>
      <c r="AX3" s="201" t="s">
        <v>630</v>
      </c>
      <c r="AY3" s="201" t="s">
        <v>696</v>
      </c>
      <c r="AZ3" s="201" t="s">
        <v>697</v>
      </c>
      <c r="BA3" s="419" t="s">
        <v>698</v>
      </c>
      <c r="BB3" s="419" t="s">
        <v>699</v>
      </c>
      <c r="BC3" s="416"/>
      <c r="BD3" s="201" t="s">
        <v>627</v>
      </c>
      <c r="BE3" s="201" t="s">
        <v>628</v>
      </c>
      <c r="BF3" s="201" t="s">
        <v>629</v>
      </c>
      <c r="BG3" s="201" t="s">
        <v>630</v>
      </c>
      <c r="BH3" s="201" t="s">
        <v>696</v>
      </c>
      <c r="BI3" s="201" t="s">
        <v>697</v>
      </c>
      <c r="BJ3" s="419" t="s">
        <v>698</v>
      </c>
      <c r="BK3" s="419" t="s">
        <v>699</v>
      </c>
      <c r="BL3" s="416"/>
      <c r="BM3" s="201" t="s">
        <v>627</v>
      </c>
      <c r="BN3" s="201" t="s">
        <v>628</v>
      </c>
      <c r="BO3" s="201" t="s">
        <v>629</v>
      </c>
      <c r="BP3" s="201" t="s">
        <v>630</v>
      </c>
      <c r="BQ3" s="201" t="s">
        <v>696</v>
      </c>
      <c r="BR3" s="201" t="s">
        <v>697</v>
      </c>
      <c r="BS3" s="419" t="s">
        <v>698</v>
      </c>
      <c r="BT3" s="419" t="s">
        <v>699</v>
      </c>
    </row>
    <row r="4" spans="2:72" ht="28.15" customHeight="1" x14ac:dyDescent="0.25">
      <c r="B4" s="372" t="s">
        <v>631</v>
      </c>
      <c r="C4" s="217">
        <f t="array" ref="C4">MEDIAN(_xlfn._xlws.FILTER(Table9[Income per beneficiary (USD)], Table9[Income per beneficiary (USD)]&gt;0))</f>
        <v>189.99599231861066</v>
      </c>
      <c r="D4" s="217">
        <f t="array" ref="D4">AVERAGE(_xlfn._xlws.FILTER(Table9[Income per beneficiary (USD)], Table9[Income per beneficiary (USD)]&gt;0))</f>
        <v>446.14076697653491</v>
      </c>
      <c r="E4" s="218">
        <f>COUNTIFS(Table9[Income per beneficiary (USD)],"&gt;0")</f>
        <v>44</v>
      </c>
      <c r="F4" s="333">
        <f t="array" ref="F4">_xlfn.LET(
_xlpm.data,_xlfn._xlws.FILTER(Table9[Income per beneficiary (USD)],Table9[Income per beneficiary (USD)]&gt;0),
_xlpm.med,MEDIAN(_xlpm.data),
_xlpm.mad,MEDIAN(ABS(_xlpm.data-_xlpm.med)),
IF(_xlpm.mad=0,"N/A",
SUMPRODUCT(--(ABS(_xlpm.data-_xlpm.med)&gt;2.5*_xlpm.mad))/COUNT(_xlpm.data)
)
)</f>
        <v>0.20454545454545456</v>
      </c>
      <c r="G4" s="334">
        <f t="array" ref="G4">_xlfn.LET(
_xlpm.data,_xlfn._xlws.FILTER(Table9[Income per beneficiary (USD)],Table9[Income per beneficiary (USD)]&gt;0),
_xlpm.med,MEDIAN(_xlpm.data),
_xlpm.mad,MEDIAN(ABS(_xlpm.data-_xlpm.med)),
IF(_xlpm.mad=0,"N/A",
SUMPRODUCT(--(ABS(_xlpm.data-_xlpm.med)&gt;2.5*_xlpm.mad))
)
)</f>
        <v>9</v>
      </c>
      <c r="H4" s="336">
        <f t="array" ref="H4">_xlfn.LET(
_xlpm.data,_xlfn._xlws.FILTER(Table9[Income per beneficiary (USD)],Table9[Income per beneficiary (USD)]&gt;0),
_xlpm.med,MEDIAN(_xlpm.data),
_xlpm.mad,MEDIAN(ABS(_xlpm.data-_xlpm.med)),
IF(_xlpm.mad=0,"N/A",AVERAGE(_xlfn._xlws.FILTER(_xlpm.data,ABS(_xlpm.data-_xlpm.med)&lt;=2.5*_xlpm.mad)))
)</f>
        <v>193.20709578774699</v>
      </c>
      <c r="I4" s="336">
        <f>E4-G4</f>
        <v>35</v>
      </c>
      <c r="J4" s="408"/>
      <c r="K4" s="372" t="s">
        <v>631</v>
      </c>
      <c r="L4" s="335">
        <f t="array" ref="L4">MEDIAN(_xlfn._xlws.FILTER(Table9[Normalised Income Impact Ratio], Table9[Normalised Income Impact Ratio]&gt;0))</f>
        <v>2.5295999999999999E-2</v>
      </c>
      <c r="M4" s="335">
        <f t="array" ref="M4">AVERAGE(_xlfn._xlws.FILTER(Table9[Normalised Income Impact Ratio], Table9[Normalised Income Impact Ratio]&gt;0))</f>
        <v>7.5719240859744436E-2</v>
      </c>
      <c r="N4" s="336">
        <f>COUNTIFS(Table9[Normalised Income Impact Ratio],"&gt;0")</f>
        <v>43</v>
      </c>
      <c r="O4" s="333">
        <f t="array" ref="O4">_xlfn.LET(
_xlpm.data,_xlfn._xlws.FILTER(
Table9[Normalised Income Impact Ratio],
ISNUMBER(Table9[Normalised Income Impact Ratio])*
(Table9[Normalised Income Impact Ratio]&gt;0)
),
_xlpm.med,MEDIAN(_xlpm.data),
_xlpm.mad,MEDIAN(ABS(_xlpm.data-_xlpm.med)),
SUMPRODUCT(--(ABS(_xlpm.data-_xlpm.med)&gt;2.5*_xlpm.mad))/COUNT(_xlpm.data)
)</f>
        <v>0.30232558139534882</v>
      </c>
      <c r="P4" s="336">
        <f t="array" ref="P4">_xlfn.LET(
_xlpm.data,_xlfn._xlws.FILTER(
Table9[Normalised Income Impact Ratio],
ISNUMBER(Table9[Normalised Income Impact Ratio])*
(Table9[Normalised Income Impact Ratio]&gt;0)
),
_xlpm.med,MEDIAN(_xlpm.data),
_xlpm.mad,MEDIAN(ABS(_xlpm.data-_xlpm.med)),
SUMPRODUCT(--(ABS(_xlpm.data-_xlpm.med)&gt;2.5*_xlpm.mad))
)</f>
        <v>13</v>
      </c>
      <c r="Q4" s="335">
        <f t="array" ref="Q4">_xlfn.LET(
_xlpm.data,_xlfn._xlws.FILTER(
Table9[Normalised Income Impact Ratio],
ISNUMBER(Table9[Normalised Income Impact Ratio])*
(Table9[Normalised Income Impact Ratio]&gt;0)
),
_xlpm.med,MEDIAN(_xlpm.data),
_xlpm.mad,MEDIAN(ABS(_xlpm.data-_xlpm.med)),
AVERAGE(_xlfn._xlws.FILTER(_xlpm.data,ABS(_xlpm.data-_xlpm.med)&lt;=2.5*_xlpm.mad))
)</f>
        <v>1.9804711722936529E-2</v>
      </c>
      <c r="R4" s="336">
        <f>N4-P4</f>
        <v>30</v>
      </c>
      <c r="S4" s="408"/>
      <c r="T4" s="372" t="s">
        <v>631</v>
      </c>
      <c r="U4" s="219">
        <f t="array" ref="U4">MEDIAN(_xlfn._xlws.FILTER(Table9[Private Sector Investment (USD) / Project cost ], Table9[Private Sector Investment (USD) / Project cost ]&gt;0))</f>
        <v>0.43977591240875907</v>
      </c>
      <c r="V4" s="219">
        <f t="array" ref="V4">AVERAGE(_xlfn._xlws.FILTER(Table9[Private Sector Investment (USD) / Project cost ], Table9[Private Sector Investment (USD) / Project cost ]&gt;0))</f>
        <v>1.5074048678161964</v>
      </c>
      <c r="W4" s="218">
        <f>COUNTIFS(Table9[Private Sector Investment (USD) / Project cost ],"&gt;0")</f>
        <v>57</v>
      </c>
      <c r="X4" s="333">
        <f t="array" ref="X4">_xlfn.LET(
_xlpm.data,_xlfn._xlws.FILTER(
Table9[Private Sector Investment (USD) / Project cost ],
ISNUMBER(Table9[Private Sector Investment (USD) / Project cost ])*
(Table9[Private Sector Investment (USD) / Project cost ]&gt;0)
),
_xlpm.med,MEDIAN(_xlpm.data),
_xlpm.mad,MEDIAN(ABS(_xlpm.data-_xlpm.med)),
SUMPRODUCT(--(ABS(_xlpm.data-_xlpm.med)&gt;2.5*_xlpm.mad))/COUNT(_xlpm.data)
)</f>
        <v>0.19298245614035087</v>
      </c>
      <c r="Y4" s="218">
        <f t="array" ref="Y4">_xlfn.LET(
_xlpm.data,_xlfn._xlws.FILTER(
Table9[Private Sector Investment (USD) / Project cost ],
ISNUMBER(Table9[Private Sector Investment (USD) / Project cost ])*
(Table9[Private Sector Investment (USD) / Project cost ]&gt;0)
),
_xlpm.med,MEDIAN(_xlpm.data),
_xlpm.mad,MEDIAN(ABS(_xlpm.data-_xlpm.med)),
SUMPRODUCT(--(ABS(_xlpm.data-_xlpm.med)&gt;2.5*_xlpm.mad))
)</f>
        <v>11</v>
      </c>
      <c r="Z4" s="219">
        <f t="array" ref="Z4">_xlfn.LET(
_xlpm.data,_xlfn._xlws.FILTER(
Table9[Private Sector Investment (USD) / Project cost ],
ISNUMBER(Table9[Private Sector Investment (USD) / Project cost ])*
(Table9[Private Sector Investment (USD) / Project cost ]&gt;0)
),
_xlpm.med,MEDIAN(_xlpm.data),
_xlpm.mad,MEDIAN(ABS(_xlpm.data-_xlpm.med)),
AVERAGE(_xlfn._xlws.FILTER(_xlpm.data,ABS(_xlpm.data-_xlpm.med)&lt;=2.5*_xlpm.mad))
)</f>
        <v>0.42706102368504933</v>
      </c>
      <c r="AA4" s="218">
        <f>W4-Y4</f>
        <v>46</v>
      </c>
      <c r="AB4" s="194"/>
      <c r="AC4" s="372" t="s">
        <v>631</v>
      </c>
      <c r="AD4" s="219">
        <f t="array" ref="AD4">MEDIAN(_xlfn._xlws.FILTER(Table9[Private Sector Revenues Generated (USD) / Project cost],Table9[Private Sector Revenues Generated (USD) / Project cost]&gt;0))</f>
        <v>1.33125</v>
      </c>
      <c r="AE4" s="219">
        <f t="array" ref="AE4">AVERAGE(_xlfn._xlws.FILTER(Table9[Private Sector Revenues Generated (USD) / Project cost],Table9[Private Sector Revenues Generated (USD) / Project cost] &gt;0))</f>
        <v>2.91600401937513</v>
      </c>
      <c r="AF4" s="218">
        <f>COUNTIFS(Table9[Private Sector Revenues Generated (USD) / Project cost],"&gt;0")</f>
        <v>47</v>
      </c>
      <c r="AG4" s="333">
        <f t="array" ref="AG4">_xlfn.LET(_xlpm.data,_xlfn._xlws.FILTER(Table9[Private Sector Revenues Generated (USD) / Project cost],ISNUMBER(Table9[Private Sector Revenues Generated (USD) / Project cost])*(Table9[Private Sector Revenues Generated (USD) / Project cost]&gt;0)),_xlpm.med,MEDIAN(_xlpm.data),_xlpm.mad,MEDIAN(ABS(_xlpm.data-_xlpm.med)),SUMPRODUCT(--(ABS(_xlpm.data-_xlpm.med)&gt;2.5*_xlpm.mad))/COUNT(_xlpm.data))</f>
        <v>0.1702127659574468</v>
      </c>
      <c r="AH4" s="218">
        <f t="array" ref="AH4">_xlfn.LET(_xlpm.data,_xlfn._xlws.FILTER(Table9[Private Sector Revenues Generated (USD) / Project cost],ISNUMBER(Table9[Private Sector Revenues Generated (USD) / Project cost])*(Table9[Private Sector Revenues Generated (USD) / Project cost]&gt;0)),_xlpm.med,MEDIAN(_xlpm.data),_xlpm.mad,MEDIAN(ABS(_xlpm.data-_xlpm.med)),SUMPRODUCT(--(ABS(_xlpm.data-_xlpm.med)&gt;2.5*_xlpm.mad)))</f>
        <v>8</v>
      </c>
      <c r="AI4" s="219">
        <f t="array" ref="AI4">_xlfn.LET(_xlpm.data,_xlfn._xlws.FILTER(Table9[Private Sector Revenues Generated (USD) / Project cost],ISNUMBER(Table9[Private Sector Revenues Generated (USD) / Project cost])*(Table9[Private Sector Revenues Generated (USD) / Project cost]&gt;0)),_xlpm.med,MEDIAN(_xlpm.data),_xlpm.mad,MEDIAN(ABS(_xlpm.data-_xlpm.med)),AVERAGE(_xlfn._xlws.FILTER(_xlpm.data,ABS(_xlpm.data-_xlpm.med)&lt;=2.5*_xlpm.mad)))</f>
        <v>1.0470640789475101</v>
      </c>
      <c r="AJ4" s="218">
        <f>AF4-AH4</f>
        <v>39</v>
      </c>
      <c r="AK4" s="194"/>
      <c r="AL4" s="372" t="s">
        <v>631</v>
      </c>
      <c r="AM4" s="219">
        <f t="array" ref="AM4">MEDIAN(_xlfn._xlws.FILTER(Table9[Export Revenue Generated (USD) /Project Cost],Table9[Export Revenue Generated (USD) /Project Cost]&gt;0))</f>
        <v>0.12824730379810756</v>
      </c>
      <c r="AN4" s="219">
        <f t="array" ref="AN4">AVERAGE(_xlfn._xlws.FILTER(Table9[Export Revenue Generated (USD) /Project Cost],Table9[Export Revenue Generated (USD) /Project Cost] &gt;0))</f>
        <v>7.0871542427435754</v>
      </c>
      <c r="AO4" s="218">
        <f>COUNTIFS(Table9[Export Revenue Generated (USD) /Project Cost],"&gt;0")</f>
        <v>14</v>
      </c>
      <c r="AP4" s="333">
        <f t="array" ref="AP4">_xlfn.LET(
_xlpm.data,_xlfn._xlws.FILTER(
Table9[Export Revenue Generated (USD) /Project Cost],
ISNUMBER(Table9[Export Revenue Generated (USD) /Project Cost])*
(Table9[Export Revenue Generated (USD) /Project Cost]&gt;0)
),
_xlpm.med,MEDIAN(_xlpm.data),
_xlpm.mad,MEDIAN(ABS(_xlpm.data-_xlpm.med)),
SUMPRODUCT(--(ABS(_xlpm.data-_xlpm.med)&gt;2.5*_xlpm.mad))/COUNT(_xlpm.data)
)</f>
        <v>0.2857142857142857</v>
      </c>
      <c r="AQ4" s="218">
        <f t="array" ref="AQ4">_xlfn.LET(
_xlpm.data,_xlfn._xlws.FILTER(
Table9[Export Revenue Generated (USD) /Project Cost],
ISNUMBER(Table9[Export Revenue Generated (USD) /Project Cost])*
(Table9[Export Revenue Generated (USD) /Project Cost]&gt;0)
),
_xlpm.med,MEDIAN(_xlpm.data),
_xlpm.mad,MEDIAN(ABS(_xlpm.data-_xlpm.med)),
SUMPRODUCT(--(ABS(_xlpm.data-_xlpm.med)&gt;2.5*_xlpm.mad))
)</f>
        <v>4</v>
      </c>
      <c r="AR4" s="219">
        <f t="array" ref="AR4">_xlfn.LET(
_xlpm.data,_xlfn._xlws.FILTER(
Table9[Export Revenue Generated (USD) /Project Cost],
ISNUMBER(Table9[Export Revenue Generated (USD) /Project Cost])*
(Table9[Export Revenue Generated (USD) /Project Cost]&gt;0)
),
_xlpm.med,MEDIAN(_xlpm.data),
_xlpm.mad,MEDIAN(ABS(_xlpm.data-_xlpm.med)),
AVERAGE(_xlfn._xlws.FILTER(_xlpm.data,ABS(_xlpm.data-_xlpm.med)&lt;=2.5*_xlpm.mad))
)</f>
        <v>0.1029357100877261</v>
      </c>
      <c r="AS4" s="218">
        <f>AO4-AQ4</f>
        <v>10</v>
      </c>
      <c r="AT4" s="194"/>
      <c r="AU4" s="372" t="s">
        <v>631</v>
      </c>
      <c r="AV4" s="217">
        <f t="array" ref="AV4">MEDIAN(_xlfn._xlws.FILTER(Table9[Job created per $Mn], Table9[Job created per $Mn]&gt;0))</f>
        <v>279.67741935483872</v>
      </c>
      <c r="AW4" s="217">
        <f t="array" ref="AW4">AVERAGE(_xlfn._xlws.FILTER(Table9[Job created per $Mn], Table9[Job created per $Mn]&gt;0))</f>
        <v>924.7619645300764</v>
      </c>
      <c r="AX4" s="218">
        <f>COUNTIFS(Table9[Job created per $Mn],"&gt;0")</f>
        <v>41</v>
      </c>
      <c r="AY4" s="333">
        <f t="array" ref="AY4">_xlfn.LET(
_xlpm.data,_xlfn._xlws.FILTER(Table9[Job created per $Mn],Table9[Job created per $Mn]&gt;0),
_xlpm.med,MEDIAN(_xlpm.data),
_xlpm.mad,MEDIAN(ABS(_xlpm.data-_xlpm.med)),
IF(_xlpm.mad=0,"N/A",
SUMPRODUCT(--(ABS(_xlpm.data-_xlpm.med)&gt;2.5*_xlpm.mad))/COUNT(_xlpm.data)
)
)</f>
        <v>0.21951219512195122</v>
      </c>
      <c r="AZ4" s="334">
        <f t="array" ref="AZ4">_xlfn.LET(
_xlpm.data,_xlfn._xlws.FILTER(Table9[Job created per $Mn],Table9[Job created per $Mn]&gt;0),
_xlpm.med,MEDIAN(_xlpm.data),
_xlpm.mad,MEDIAN(ABS(_xlpm.data-_xlpm.med)),
IF(_xlpm.mad=0,"N/A",
SUMPRODUCT(--(ABS(_xlpm.data-_xlpm.med)&gt;2.5*_xlpm.mad))
)
)</f>
        <v>9</v>
      </c>
      <c r="BA4" s="217">
        <f t="array" ref="BA4">_xlfn.LET(
_xlpm.data,_xlfn._xlws.FILTER(Table9[Job created per $Mn],Table9[Job created per $Mn]&gt;0),
_xlpm.med,MEDIAN(_xlpm.data),
_xlpm.mad,MEDIAN(ABS(_xlpm.data-_xlpm.med)),
IF(_xlpm.mad=0,"N/A",AVERAGE(_xlfn._xlws.FILTER(_xlpm.data,ABS(_xlpm.data-_xlpm.med)&lt;=2.5*_xlpm.mad)))
)</f>
        <v>278.25100874351381</v>
      </c>
      <c r="BB4" s="217">
        <f>AX4-AZ4</f>
        <v>32</v>
      </c>
      <c r="BC4" s="423"/>
      <c r="BD4" s="372" t="s">
        <v>631</v>
      </c>
      <c r="BE4" s="217">
        <f t="array" ref="BE4">MEDIAN(_xlfn._xlws.FILTER(Table9[Job improved per $Mn], Table9[Job improved per $Mn]&gt;0))</f>
        <v>2120.75</v>
      </c>
      <c r="BF4" s="217">
        <f t="array" ref="BF4">AVERAGE(_xlfn._xlws.FILTER(Table9[Job improved per $Mn], Table9[Job improved per $Mn]&gt;0))</f>
        <v>5632.5087480889388</v>
      </c>
      <c r="BG4" s="218">
        <f>COUNTIFS(Table9[Job improved per $Mn],"&gt;0")</f>
        <v>65</v>
      </c>
      <c r="BH4" s="333">
        <f t="array" ref="BH4">_xlfn.LET(
_xlpm.data,
_xlfn._xlws.FILTER(
Table9[Job improved per $Mn],
ISNUMBER(Table9[Job improved per $Mn])*
(Table9[Job improved per $Mn]&gt;0)
),
_xlpm.med,
MEDIAN(_xlpm.data),
_xlpm.mad,
MEDIAN(ABS(_xlpm.data-_xlpm.med)),
SUMPRODUCT(--(ABS(_xlpm.data-_xlpm.med)&gt;2.5*_xlpm.mad))/COUNT(_xlpm.data)
)</f>
        <v>0.26153846153846155</v>
      </c>
      <c r="BI4" s="218">
        <f t="array" ref="BI4">_xlfn.LET(
_xlpm.data,
_xlfn._xlws.FILTER(
Table9[Job improved per $Mn],
ISNUMBER(Table9[Job improved per $Mn])*
(Table9[Job improved per $Mn]&gt;0)
),
_xlpm.med,
MEDIAN(_xlpm.data),
_xlpm.mad,
MEDIAN(ABS(_xlpm.data-_xlpm.med)),
SUMPRODUCT(--(ABS(_xlpm.data-_xlpm.med)&gt;2.5*_xlpm.mad))
)</f>
        <v>17</v>
      </c>
      <c r="BJ4" s="217">
        <f t="array" ref="BJ4">_xlfn.LET(
_xlpm.data,
_xlfn._xlws.FILTER(
Table9[Job improved per $Mn],
ISNUMBER(Table9[Job improved per $Mn])*
(Table9[Job improved per $Mn]&gt;0)
),
_xlpm.med,
MEDIAN(_xlpm.data),
_xlpm.mad,
MEDIAN(ABS(_xlpm.data-_xlpm.med)),
AVERAGE(
_xlfn._xlws.FILTER(
_xlpm.data,
ABS(_xlpm.data-_xlpm.med)&lt;=2.5*_xlpm.mad
)
)
)</f>
        <v>1922.269923714186</v>
      </c>
      <c r="BK4" s="218">
        <f>BG4-BI4</f>
        <v>48</v>
      </c>
      <c r="BL4" s="194"/>
      <c r="BM4" s="372" t="s">
        <v>631</v>
      </c>
      <c r="BN4" s="219">
        <f t="array" ref="BN4">MEDIAN(_xlfn._xlws.FILTER(Table9[Beneficiary Income (USD) / Project Cost],Table9[Beneficiary Income (USD) / Project Cost]&gt;0))</f>
        <v>1.1640735593775156</v>
      </c>
      <c r="BO4" s="219">
        <f t="array" ref="BO4">AVERAGE(_xlfn._xlws.FILTER(Table9[Beneficiary Income (USD) / Project Cost],Table9[Beneficiary Income (USD) / Project Cost]&gt;0))</f>
        <v>1.5762862058440392</v>
      </c>
      <c r="BP4" s="218">
        <f>COUNTIFS(Table9[Beneficiary Income (USD) / Project Cost],"&gt;0")</f>
        <v>44</v>
      </c>
      <c r="BQ4" s="333">
        <f t="array" ref="BQ4">_xlfn.LET(
_xlpm.data,
_xlfn._xlws.FILTER(
Table9[Beneficiary Income (USD) / Project Cost],
ISNUMBER(Table9[Beneficiary Income (USD) / Project Cost])*
(Table9[Beneficiary Income (USD) / Project Cost]&gt;0)
),
_xlpm.med,
MEDIAN(_xlpm.data),
_xlpm.mad,
MEDIAN(ABS(_xlpm.data-_xlpm.med)),
SUMPRODUCT(--(ABS(_xlpm.data-_xlpm.med)&gt;2.5*_xlpm.mad))/COUNT(_xlpm.data)
)</f>
        <v>0.13636363636363635</v>
      </c>
      <c r="BR4" s="218">
        <f t="array" ref="BR4">_xlfn.LET(
_xlpm.data,
_xlfn._xlws.FILTER(
Table9[Beneficiary Income (USD) / Project Cost],
ISNUMBER(Table9[Beneficiary Income (USD) / Project Cost])*
(Table9[Beneficiary Income (USD) / Project Cost]&gt;0)
),
_xlpm.med,
MEDIAN(_xlpm.data),
_xlpm.mad,
MEDIAN(ABS(_xlpm.data-_xlpm.med)),
SUMPRODUCT(--(ABS(_xlpm.data-_xlpm.med)&gt;2.5*_xlpm.mad))
)</f>
        <v>6</v>
      </c>
      <c r="BS4" s="219">
        <f t="array" ref="BS4">_xlfn.LET(
_xlpm.data,
_xlfn._xlws.FILTER(
Table9[Beneficiary Income (USD) / Project Cost],
ISNUMBER(Table9[Beneficiary Income (USD) / Project Cost])*
(Table9[Beneficiary Income (USD) / Project Cost]&gt;0)
),
_xlpm.med,
MEDIAN(_xlpm.data),
_xlpm.mad,
MEDIAN(ABS(_xlpm.data-_xlpm.med)),
AVERAGE(
_xlfn._xlws.FILTER(
_xlpm.data,
ABS(_xlpm.data-_xlpm.med)&lt;=2.5*_xlpm.mad
)
)
)</f>
        <v>1.0965579695765688</v>
      </c>
      <c r="BT4" s="218">
        <f>BP4-BR4</f>
        <v>38</v>
      </c>
    </row>
    <row r="5" spans="2:72" x14ac:dyDescent="0.25">
      <c r="B5" s="373" t="s">
        <v>700</v>
      </c>
      <c r="C5" s="373"/>
      <c r="D5" s="373"/>
      <c r="E5" s="373"/>
      <c r="F5" s="373"/>
      <c r="G5" s="373"/>
      <c r="H5" s="373"/>
      <c r="I5" s="373"/>
      <c r="J5" s="417"/>
      <c r="K5" s="373" t="s">
        <v>700</v>
      </c>
      <c r="L5" s="373"/>
      <c r="M5" s="373"/>
      <c r="N5" s="373"/>
      <c r="O5" s="420"/>
      <c r="P5" s="373"/>
      <c r="Q5" s="373"/>
      <c r="R5" s="373"/>
      <c r="S5" s="417"/>
      <c r="T5" s="373" t="s">
        <v>700</v>
      </c>
      <c r="U5" s="373"/>
      <c r="V5" s="373"/>
      <c r="W5" s="373"/>
      <c r="X5" s="373"/>
      <c r="Y5" s="373"/>
      <c r="Z5" s="373"/>
      <c r="AA5" s="373"/>
      <c r="AB5" s="417"/>
      <c r="AC5" s="373" t="s">
        <v>700</v>
      </c>
      <c r="AD5" s="373"/>
      <c r="AE5" s="373"/>
      <c r="AF5" s="373"/>
      <c r="AG5" s="373"/>
      <c r="AH5" s="373"/>
      <c r="AI5" s="373"/>
      <c r="AJ5" s="373"/>
      <c r="AK5" s="417"/>
      <c r="AL5" s="373" t="s">
        <v>700</v>
      </c>
      <c r="AM5" s="373"/>
      <c r="AN5" s="373"/>
      <c r="AO5" s="373"/>
      <c r="AP5" s="373"/>
      <c r="AQ5" s="373"/>
      <c r="AR5" s="373"/>
      <c r="AS5" s="373"/>
      <c r="AT5" s="417"/>
      <c r="AU5" s="373" t="s">
        <v>700</v>
      </c>
      <c r="AV5" s="373"/>
      <c r="AW5" s="373"/>
      <c r="AX5" s="373"/>
      <c r="AY5" s="373"/>
      <c r="AZ5" s="373"/>
      <c r="BA5" s="373"/>
      <c r="BB5" s="373"/>
      <c r="BC5" s="417"/>
      <c r="BD5" s="373" t="s">
        <v>700</v>
      </c>
      <c r="BE5" s="373"/>
      <c r="BF5" s="373"/>
      <c r="BG5" s="373"/>
      <c r="BH5" s="373"/>
      <c r="BI5" s="373"/>
      <c r="BJ5" s="373"/>
      <c r="BK5" s="373"/>
      <c r="BL5" s="417"/>
      <c r="BM5" s="373" t="s">
        <v>700</v>
      </c>
      <c r="BN5" s="373"/>
      <c r="BO5" s="373"/>
      <c r="BP5" s="373"/>
      <c r="BQ5" s="420"/>
      <c r="BR5" s="373"/>
      <c r="BS5" s="373"/>
      <c r="BT5" s="373"/>
    </row>
    <row r="6" spans="2:72" x14ac:dyDescent="0.25">
      <c r="B6" s="206" t="s">
        <v>714</v>
      </c>
      <c r="C6" s="202" cm="1">
        <f t="array" ref="C6">MEDIAN(_xlfn._xlws.FILTER(Table9[Income per beneficiary (USD)],(Table9[Income per beneficiary (USD)]&gt;0)*(Table9[Sector]="Agriculture")))</f>
        <v>125.03383604055691</v>
      </c>
      <c r="D6" s="202">
        <f t="array" ref="D6">AVERAGE(_xlfn._xlws.FILTER(Table9[Income per beneficiary (USD)],(Table9[Income per beneficiary (USD)]&gt;0)*(Table9[Sector]="Agriculture")))</f>
        <v>282.55024083333819</v>
      </c>
      <c r="E6" s="15">
        <f>COUNTIFS(Table9[Income per beneficiary (USD)],"&gt;0",Table9[Sector],"Agriculture")</f>
        <v>34</v>
      </c>
      <c r="F6" s="195">
        <f t="array" ref="F6">_xlfn.LET(
_xlpm.data,_xlfn._xlws.FILTER(
Table9[Income per beneficiary (USD)],
(Table9[Income per beneficiary (USD)]&gt;0)*
(Table9[Sector]="Agriculture")
),
_xlpm.med,MEDIAN(_xlpm.data),
_xlpm.mad,MEDIAN(ABS(_xlpm.data-_xlpm.med)),
SUMPRODUCT(--(ABS(_xlpm.data-_xlpm.med)&gt;2.5*_xlpm.mad))/COUNT(_xlpm.data)
)</f>
        <v>0.35294117647058826</v>
      </c>
      <c r="G6" s="345">
        <f t="array" ref="G6">_xlfn.LET(
_xlpm.data,_xlfn._xlws.FILTER(
Table9[Income per beneficiary (USD)],
(Table9[Income per beneficiary (USD)]&gt;0)*
(Table9[Sector]="Agriculture")
),
_xlpm.med,MEDIAN(_xlpm.data),
_xlpm.mad,MEDIAN(ABS(_xlpm.data-_xlpm.med)),
SUMPRODUCT(--(ABS(_xlpm.data-_xlpm.med)&gt;2.5*_xlpm.mad))
)</f>
        <v>12</v>
      </c>
      <c r="H6" s="202">
        <f t="array" ref="H6">_xlfn.LET(
_xlpm.data,_xlfn._xlws.FILTER(
Table9[Income per beneficiary (USD)],
(Table9[Income per beneficiary (USD)]&gt;0)*
(Table9[Sector]="Agriculture")
),
_xlpm.med,MEDIAN(_xlpm.data),
_xlpm.mad,MEDIAN(ABS(_xlpm.data-_xlpm.med)),
AVERAGE(_xlfn._xlws.FILTER(_xlpm.data,ABS(_xlpm.data-_xlpm.med)&lt;=2.5*_xlpm.mad))
)</f>
        <v>101.12335105001353</v>
      </c>
      <c r="I6" s="202">
        <f>E6-G6</f>
        <v>22</v>
      </c>
      <c r="J6" s="130"/>
      <c r="K6" s="206" t="s">
        <v>714</v>
      </c>
      <c r="L6" s="203" cm="1">
        <f t="array" ref="L6">MEDIAN(
_xlfn._xlws.FILTER(
Table9[Normalised Income Impact Ratio],
(Table9[Normalised Income Impact Ratio]&gt;0)*
(Table9[Sector]="Agriculture")
)
)</f>
        <v>2.4128012820512822E-2</v>
      </c>
      <c r="M6" s="203">
        <f t="array" ref="M6">AVERAGE(
_xlfn._xlws.FILTER(
Table9[Normalised Income Impact Ratio],
(Table9[Normalised Income Impact Ratio]&gt;0)*
(Table9[Sector]="Agriculture")
)
)</f>
        <v>6.6620341573174577E-2</v>
      </c>
      <c r="N6" s="202">
        <f>COUNTIFS(
Table9[Normalised Income Impact Ratio],"&gt;0",
Table9[Sector],"Agriculture"
)</f>
        <v>33</v>
      </c>
      <c r="O6" s="195">
        <f t="array" ref="O6">_xlfn.LET(
_xlpm.data,_xlfn._xlws.FILTER(
Table9[Normalised Income Impact Ratio],
ISNUMBER(Table9[Normalised Income Impact Ratio])*
(Table9[Normalised Income Impact Ratio]&gt;0)*
(Table9[Sector]="Agriculture")
),
_xlpm.med,MEDIAN(_xlpm.data),
_xlpm.mad,MEDIAN(ABS(_xlpm.data-_xlpm.med)),
SUMPRODUCT(--(ABS(_xlpm.data-_xlpm.med)&gt;2.5*_xlpm.mad))/COUNT(_xlpm.data)
)</f>
        <v>0.27272727272727271</v>
      </c>
      <c r="P6" s="202">
        <f t="array" ref="P6">_xlfn.LET(
_xlpm.data,_xlfn._xlws.FILTER(
Table9[Normalised Income Impact Ratio],
ISNUMBER(Table9[Normalised Income Impact Ratio])*
(Table9[Normalised Income Impact Ratio]&gt;0)*
(Table9[Sector]="Agriculture")
),
_xlpm.med,MEDIAN(_xlpm.data),
_xlpm.mad,MEDIAN(ABS(_xlpm.data-_xlpm.med)),
SUMPRODUCT(--(ABS(_xlpm.data-_xlpm.med)&gt;2.5*_xlpm.mad))
)</f>
        <v>9</v>
      </c>
      <c r="Q6" s="203">
        <f t="array" ref="Q6">_xlfn.LET(
_xlpm.data,_xlfn._xlws.FILTER(
Table9[Normalised Income Impact Ratio],
ISNUMBER(Table9[Normalised Income Impact Ratio])*
(Table9[Normalised Income Impact Ratio]&gt;0)*
(Table9[Sector]="Agriculture")
),
_xlpm.med,MEDIAN(_xlpm.data),
_xlpm.mad,MEDIAN(ABS(_xlpm.data-_xlpm.med)),
AVERAGE(_xlfn._xlws.FILTER(_xlpm.data,ABS(_xlpm.data-_xlpm.med)&lt;=2.5*_xlpm.mad))
)</f>
        <v>1.7921764853599875E-2</v>
      </c>
      <c r="R6" s="202">
        <f>N6-P6</f>
        <v>24</v>
      </c>
      <c r="S6" s="130"/>
      <c r="T6" s="206" t="s">
        <v>714</v>
      </c>
      <c r="U6" s="203">
        <f t="array" ref="U6">MEDIAN(
_xlfn._xlws.FILTER(
Table9[Private Sector Investment (USD) / Project cost ],
ISNUMBER(Table9[Private Sector Investment (USD) / Project cost ])*
(Table9[Private Sector Investment (USD) / Project cost ]&gt;0)*
(Table9[Sector]="Agriculture")
)
)</f>
        <v>0.30848466448692158</v>
      </c>
      <c r="V6" s="203">
        <f t="array" ref="V6">AVERAGE(
_xlfn._xlws.FILTER(
Table9[Private Sector Investment (USD) / Project cost ],
ISNUMBER(Table9[Private Sector Investment (USD) / Project cost ])*
(Table9[Private Sector Investment (USD) / Project cost ]&gt;0)*
(Table9[Sector]="Agriculture")
)
)</f>
        <v>0.89839690131901806</v>
      </c>
      <c r="W6" s="15">
        <f>COUNTIFS(
Table9[Private Sector Investment (USD) / Project cost ],"&gt;0",
Table9[Sector],"Agriculture"
)</f>
        <v>44</v>
      </c>
      <c r="X6" s="195">
        <f t="array" ref="X6">_xlfn.LET(
_xlpm.data,_xlfn._xlws.FILTER(
Table9[Private Sector Investment (USD) / Project cost ],
ISNUMBER(Table9[Private Sector Investment (USD) / Project cost ])*
(Table9[Private Sector Investment (USD) / Project cost ]&gt;0)*
(Table9[Sector]="Agriculture")
),
_xlpm.med,MEDIAN(_xlpm.data),
_xlpm.mad,MEDIAN(ABS(_xlpm.data-_xlpm.med)),
SUMPRODUCT(--(ABS(_xlpm.data-_xlpm.med)&gt;2.5*_xlpm.mad))/COUNT(_xlpm.data)
)</f>
        <v>0.29545454545454547</v>
      </c>
      <c r="Y6" s="15">
        <f t="array" ref="Y6">_xlfn.LET(
_xlpm.data,_xlfn._xlws.FILTER(
Table9[Private Sector Investment (USD) / Project cost ],
ISNUMBER(Table9[Private Sector Investment (USD) / Project cost ])*
(Table9[Private Sector Investment (USD) / Project cost ]&gt;0)*
(Table9[Sector]="Agriculture")
),
_xlpm.med,MEDIAN(_xlpm.data),
_xlpm.mad,MEDIAN(ABS(_xlpm.data-_xlpm.med)),
SUMPRODUCT(--(ABS(_xlpm.data-_xlpm.med)&gt;2.5*_xlpm.mad))
)</f>
        <v>13</v>
      </c>
      <c r="Z6" s="203">
        <f t="array" ref="Z6">_xlfn.LET(
_xlpm.data,_xlfn._xlws.FILTER(
Table9[Private Sector Investment (USD) / Project cost ],
ISNUMBER(Table9[Private Sector Investment (USD) / Project cost ])*
(Table9[Private Sector Investment (USD) / Project cost ]&gt;0)*
(Table9[Sector]="Agriculture")
),
_xlpm.med,MEDIAN(_xlpm.data),
_xlpm.mad,MEDIAN(ABS(_xlpm.data-_xlpm.med)),
AVERAGE(_xlfn._xlws.FILTER(_xlpm.data,ABS(_xlpm.data-_xlpm.med)&lt;=2.5*_xlpm.mad))
)</f>
        <v>0.2483186867653196</v>
      </c>
      <c r="AA6" s="15">
        <f>W6-Y6</f>
        <v>31</v>
      </c>
      <c r="AC6" s="206" t="s">
        <v>714</v>
      </c>
      <c r="AD6" s="203">
        <f t="array" ref="AD6">MEDIAN(
_xlfn._xlws.FILTER(
Table9[Private Sector Revenues Generated (USD) / Project cost],
ISNUMBER(Table9[Private Sector Revenues Generated (USD) / Project cost])*
(Table9[Private Sector Revenues Generated (USD) / Project cost]&gt;0)*
(Table9[Sector]="Agriculture")
)
)</f>
        <v>1.33125</v>
      </c>
      <c r="AE6" s="203">
        <f t="array" ref="AE6">AVERAGE(
_xlfn._xlws.FILTER(
Table9[Private Sector Revenues Generated (USD) / Project cost],
ISNUMBER(Table9[Private Sector Revenues Generated (USD) / Project cost])*
(Table9[Private Sector Revenues Generated (USD) / Project cost]&gt;0)*
(Table9[Sector]="Agriculture")
)
)</f>
        <v>2.9498192735519142</v>
      </c>
      <c r="AF6" s="15">
        <f>COUNTIFS(
Table9[Private Sector Revenues Generated (USD) / Project cost],"&gt;0",
Table9[Sector],"Agriculture"
)</f>
        <v>35</v>
      </c>
      <c r="AG6" s="195">
        <f t="array" ref="AG6">_xlfn.LET(
_xlpm.data,_xlfn._xlws.FILTER(
Table9[Private Sector Revenues Generated (USD) / Project cost],
ISNUMBER(Table9[Private Sector Revenues Generated (USD) / Project cost])*
(Table9[Private Sector Revenues Generated (USD) / Project cost]&gt;0)*
(Table9[Sector]="Agriculture")
),
_xlpm.med,MEDIAN(_xlpm.data),
_xlpm.mad,MEDIAN(ABS(_xlpm.data-_xlpm.med)),
SUMPRODUCT(--(ABS(_xlpm.data-_xlpm.med)&gt;2.5*_xlpm.mad))/COUNT(_xlpm.data)
)</f>
        <v>0.17142857142857143</v>
      </c>
      <c r="AH6" s="15">
        <f t="array" ref="AH6">_xlfn.LET(
_xlpm.data,_xlfn._xlws.FILTER(
Table9[Private Sector Revenues Generated (USD) / Project cost],
ISNUMBER(Table9[Private Sector Revenues Generated (USD) / Project cost])*
(Table9[Private Sector Revenues Generated (USD) / Project cost]&gt;0)*
(Table9[Sector]="Agriculture")
),
_xlpm.med,MEDIAN(_xlpm.data),
_xlpm.mad,MEDIAN(ABS(_xlpm.data-_xlpm.med)),
SUMPRODUCT(--(ABS(_xlpm.data-_xlpm.med)&gt;2.5*_xlpm.mad))
)</f>
        <v>6</v>
      </c>
      <c r="AI6" s="203">
        <f t="array" ref="AI6">_xlfn.LET(
_xlpm.data,_xlfn._xlws.FILTER(
Table9[Private Sector Revenues Generated (USD) / Project cost],
ISNUMBER(Table9[Private Sector Revenues Generated (USD) / Project cost])*
(Table9[Private Sector Revenues Generated (USD) / Project cost]&gt;0)*
(Table9[Sector]="Agriculture")
),
_xlpm.med,MEDIAN(_xlpm.data),
_xlpm.mad,MEDIAN(ABS(_xlpm.data-_xlpm.med)),
AVERAGE(_xlfn._xlws.FILTER(_xlpm.data,ABS(_xlpm.data-_xlpm.med)&lt;=2.5*_xlpm.mad))
)</f>
        <v>0.99383734268372981</v>
      </c>
      <c r="AJ6" s="15">
        <f>AF6-AH6</f>
        <v>29</v>
      </c>
      <c r="AL6" s="206" t="s">
        <v>714</v>
      </c>
      <c r="AM6" s="203">
        <f t="array" ref="AM6">MEDIAN(
_xlfn._xlws.FILTER(
Table9[Export Revenue Generated (USD) /Project Cost],
ISNUMBER(Table9[Export Revenue Generated (USD) /Project Cost])*
(Table9[Export Revenue Generated (USD) /Project Cost]&gt;0)*
(Table9[Sector]="Agriculture")
)
)</f>
        <v>0.10208563993256134</v>
      </c>
      <c r="AN6" s="203">
        <f t="array" ref="AN6">AVERAGE(
_xlfn._xlws.FILTER(
Table9[Export Revenue Generated (USD) /Project Cost],
ISNUMBER(Table9[Export Revenue Generated (USD) /Project Cost])*
(Table9[Export Revenue Generated (USD) /Project Cost]&gt;0)*
(Table9[Sector]="Agriculture")
)
)</f>
        <v>1.4136142423389002</v>
      </c>
      <c r="AO6" s="15">
        <f>COUNTIFS(
Table9[Export Revenue Generated (USD) /Project Cost],"&gt;0",
Table9[Sector],"Agriculture"
)</f>
        <v>12</v>
      </c>
      <c r="AP6" s="195">
        <f t="array" ref="AP6">_xlfn.LET(
_xlpm.data,_xlfn._xlws.FILTER(
Table9[Export Revenue Generated (USD) /Project Cost],
ISNUMBER(Table9[Export Revenue Generated (USD) /Project Cost])*
(Table9[Export Revenue Generated (USD) /Project Cost]&gt;0)*
(Table9[Sector]="Agriculture")
),
_xlpm.med,MEDIAN(_xlpm.data),
_xlpm.mad,MEDIAN(ABS(_xlpm.data-_xlpm.med)),
SUMPRODUCT(--(ABS(_xlpm.data-_xlpm.med)&gt;2.5*_xlpm.mad))/COUNT(_xlpm.data)
)</f>
        <v>0.25</v>
      </c>
      <c r="AQ6" s="15">
        <f t="array" ref="AQ6">_xlfn.LET(
_xlpm.data,_xlfn._xlws.FILTER(
Table9[Export Revenue Generated (USD) /Project Cost],
ISNUMBER(Table9[Export Revenue Generated (USD) /Project Cost])*
(Table9[Export Revenue Generated (USD) /Project Cost]&gt;0)*
(Table9[Sector]="Agriculture")
),
_xlpm.med,MEDIAN(_xlpm.data),
_xlpm.mad,MEDIAN(ABS(_xlpm.data-_xlpm.med)),
SUMPRODUCT(--(ABS(_xlpm.data-_xlpm.med)&gt;2.5*_xlpm.mad))
)</f>
        <v>3</v>
      </c>
      <c r="AR6" s="203">
        <f t="array" ref="AR6">_xlfn.LET(
_xlpm.data,_xlfn._xlws.FILTER(
Table9[Export Revenue Generated (USD) /Project Cost],
ISNUMBER(Table9[Export Revenue Generated (USD) /Project Cost])*
(Table9[Export Revenue Generated (USD) /Project Cost]&gt;0)*
(Table9[Sector]="Agriculture")
),
_xlpm.med,MEDIAN(_xlpm.data),
_xlpm.mad,MEDIAN(ABS(_xlpm.data-_xlpm.med)),
AVERAGE(_xlfn._xlws.FILTER(_xlpm.data,ABS(_xlpm.data-_xlpm.med)&lt;=2.5*_xlpm.mad))
)</f>
        <v>7.5771497720443726E-2</v>
      </c>
      <c r="AS6" s="15">
        <f>AO6-AQ6</f>
        <v>9</v>
      </c>
      <c r="AU6" s="206" t="s">
        <v>714</v>
      </c>
      <c r="AV6" s="202">
        <f t="array" ref="AV6">MEDIAN(_xlfn._xlws.FILTER(Table9[Job created per $Mn],ISNUMBER(Table9[Job created per $Mn])*(Table9[Job created per $Mn]&gt;0)*(Table9[Sector]="Agriculture")))</f>
        <v>209.55307262569829</v>
      </c>
      <c r="AW6" s="202">
        <f t="array" ref="AW6">AVERAGE(_xlfn._xlws.FILTER(Table9[Job created per $Mn],ISNUMBER(Table9[Job created per $Mn])*(Table9[Job created per $Mn]&gt;0)*(Table9[Sector]="Agriculture")))</f>
        <v>697.59712992626226</v>
      </c>
      <c r="AX6" s="15">
        <f>COUNTIFS(Table9[Job created per $Mn],"&gt;0",Table9[Sector],"Agriculture")</f>
        <v>25</v>
      </c>
      <c r="AY6" s="195">
        <f t="array" ref="AY6">_xlfn.LET(_xlpm.data,_xlfn._xlws.FILTER(Table9[Job created per $Mn],ISNUMBER(Table9[Job created per $Mn])*(Table9[Job created per $Mn]&gt;0)*(Table9[Sector]="Agriculture")),_xlpm.med,MEDIAN(_xlpm.data),_xlpm.mad,MEDIAN(ABS(_xlpm.data-_xlpm.med)),SUMPRODUCT(--(ABS(_xlpm.data-_xlpm.med)&gt;2.5*_xlpm.mad))/COUNT(_xlpm.data))</f>
        <v>0.24</v>
      </c>
      <c r="AZ6" s="15">
        <f t="array" ref="AZ6">_xlfn.LET(_xlpm.data,_xlfn._xlws.FILTER(Table9[Job created per $Mn],ISNUMBER(Table9[Job created per $Mn])*(Table9[Job created per $Mn]&gt;0)*(Table9[Sector]="Agriculture")),_xlpm.med,MEDIAN(_xlpm.data),_xlpm.mad,MEDIAN(ABS(_xlpm.data-_xlpm.med)),SUMPRODUCT(--(ABS(_xlpm.data-_xlpm.med)&gt;2.5*_xlpm.mad)))</f>
        <v>6</v>
      </c>
      <c r="BA6" s="202">
        <f t="array" ref="BA6">_xlfn.LET(_xlpm.data,_xlfn._xlws.FILTER(Table9[Job created per $Mn],ISNUMBER(Table9[Job created per $Mn])*(Table9[Job created per $Mn]&gt;0)*(Table9[Sector]="Agriculture")),_xlpm.med,MEDIAN(_xlpm.data),_xlpm.mad,MEDIAN(ABS(_xlpm.data-_xlpm.med)),AVERAGE(_xlfn._xlws.FILTER(_xlpm.data,ABS(_xlpm.data-_xlpm.med)&lt;=2.5*_xlpm.mad)))</f>
        <v>216.14040688917038</v>
      </c>
      <c r="BB6" s="15">
        <f>AX6-AZ6</f>
        <v>19</v>
      </c>
      <c r="BD6" s="206" t="s">
        <v>714</v>
      </c>
      <c r="BE6" s="202">
        <f t="array" ref="BE6">MEDIAN(
_xlfn._xlws.FILTER(
Table9[Job improved per $Mn],
ISNUMBER(Table9[Job improved per $Mn])*
(Table9[Job improved per $Mn]&gt;0)*
(Table9[Sector]="Agriculture")
)
)</f>
        <v>2386.5026995573412</v>
      </c>
      <c r="BF6" s="202">
        <f t="array" ref="BF6">AVERAGE(
_xlfn._xlws.FILTER(
Table9[Job improved per $Mn],
ISNUMBER(Table9[Job improved per $Mn])*
(Table9[Job improved per $Mn]&gt;0)*
(Table9[Sector]="Agriculture")
)
)</f>
        <v>5322.7985019991056</v>
      </c>
      <c r="BG6" s="15">
        <f>COUNTIFS(
Table9[Job improved per $Mn],"&gt;0",
Table9[Sector],"Agriculture"
)</f>
        <v>51</v>
      </c>
      <c r="BH6" s="195">
        <f t="array" ref="BH6">_xlfn.LET(
_xlpm.data,
_xlfn._xlws.FILTER(
Table9[Job improved per $Mn],
ISNUMBER(Table9[Job improved per $Mn])*
(Table9[Job improved per $Mn]&gt;0)*
(Table9[Sector]="Agriculture")
),
_xlpm.med,
MEDIAN(_xlpm.data),
_xlpm.mad,
MEDIAN(ABS(_xlpm.data-_xlpm.med)),
SUMPRODUCT(--(ABS(_xlpm.data-_xlpm.med)&gt;2.5*_xlpm.mad))/COUNT(_xlpm.data)
)</f>
        <v>0.25490196078431371</v>
      </c>
      <c r="BI6" s="15">
        <f t="array" ref="BI6">_xlfn.LET(
_xlpm.data,
_xlfn._xlws.FILTER(
Table9[Job improved per $Mn],
ISNUMBER(Table9[Job improved per $Mn])*
(Table9[Job improved per $Mn]&gt;0)*
(Table9[Sector]="Agriculture")
),
_xlpm.med,
MEDIAN(_xlpm.data),
_xlpm.mad,
MEDIAN(ABS(_xlpm.data-_xlpm.med)),
SUMPRODUCT(--(ABS(_xlpm.data-_xlpm.med)&gt;2.5*_xlpm.mad))
)</f>
        <v>13</v>
      </c>
      <c r="BJ6" s="202">
        <f t="array" ref="BJ6">_xlfn.LET(
_xlpm.data,
_xlfn._xlws.FILTER(
Table9[Job improved per $Mn],
ISNUMBER(Table9[Job improved per $Mn])*
(Table9[Job improved per $Mn]&gt;0)*
(Table9[Sector]="Agriculture")
),
_xlpm.med,
MEDIAN(_xlpm.data),
_xlpm.mad,
MEDIAN(ABS(_xlpm.data-_xlpm.med)),
AVERAGE(
_xlfn._xlws.FILTER(
_xlpm.data,
ABS(_xlpm.data-_xlpm.med)&lt;=2.5*_xlpm.mad
)
)
)</f>
        <v>2283.937366824412</v>
      </c>
      <c r="BK6" s="15">
        <f>BG6-BI6</f>
        <v>38</v>
      </c>
      <c r="BM6" s="206" t="s">
        <v>714</v>
      </c>
      <c r="BN6" s="203">
        <f t="array" ref="BN6">MEDIAN(
_xlfn._xlws.FILTER(
Table9[Beneficiary Income (USD) / Project Cost],
ISNUMBER(Table9[Beneficiary Income (USD) / Project Cost])*
(Table9[Beneficiary Income (USD) / Project Cost]&gt;0)*
(Table9[Sector]="Agriculture")
)
)</f>
        <v>1.0993652525186981</v>
      </c>
      <c r="BO6" s="203">
        <f t="array" ref="BO6">AVERAGE(
_xlfn._xlws.FILTER(
Table9[Beneficiary Income (USD) / Project Cost],
ISNUMBER(Table9[Beneficiary Income (USD) / Project Cost])*
(Table9[Beneficiary Income (USD) / Project Cost]&gt;0)*
(Table9[Sector]="Agriculture")
)
)</f>
        <v>1.6321211016511274</v>
      </c>
      <c r="BP6" s="15">
        <f>COUNTIFS(
Table9[Beneficiary Income (USD) / Project Cost],"&gt;0",
Table9[Sector],"Agriculture"
)</f>
        <v>34</v>
      </c>
      <c r="BQ6" s="195">
        <f t="array" ref="BQ6">_xlfn.LET(
_xlpm.data,
_xlfn._xlws.FILTER(
Table9[Beneficiary Income (USD) / Project Cost],
ISNUMBER(Table9[Beneficiary Income (USD) / Project Cost])*
(Table9[Beneficiary Income (USD) / Project Cost]&gt;0)*
(Table9[Sector]="Agriculture")
),
_xlpm.med,
MEDIAN(_xlpm.data),
_xlpm.mad,
MEDIAN(ABS(_xlpm.data-_xlpm.med)),
SUMPRODUCT(--(ABS(_xlpm.data-_xlpm.med)&gt;2.5*_xlpm.mad))/COUNT(_xlpm.data)
)</f>
        <v>0.20588235294117646</v>
      </c>
      <c r="BR6" s="15">
        <f t="array" ref="BR6">_xlfn.LET(
_xlpm.data,
_xlfn._xlws.FILTER(
Table9[Beneficiary Income (USD) / Project Cost],
ISNUMBER(Table9[Beneficiary Income (USD) / Project Cost])*
(Table9[Beneficiary Income (USD) / Project Cost]&gt;0)*
(Table9[Sector]="Agriculture")
),
_xlpm.med,
MEDIAN(_xlpm.data),
_xlpm.mad,
MEDIAN(ABS(_xlpm.data-_xlpm.med)),
SUMPRODUCT(--(ABS(_xlpm.data-_xlpm.med)&gt;2.5*_xlpm.mad))
)</f>
        <v>7</v>
      </c>
      <c r="BS6" s="203">
        <f t="array" ref="BS6">_xlfn.LET(
_xlpm.data,
_xlfn._xlws.FILTER(
Table9[Beneficiary Income (USD) / Project Cost],
ISNUMBER(Table9[Beneficiary Income (USD) / Project Cost])*
(Table9[Beneficiary Income (USD) / Project Cost]&gt;0)*
(Table9[Sector]="Agriculture")
),
_xlpm.med,
MEDIAN(_xlpm.data),
_xlpm.mad,
MEDIAN(ABS(_xlpm.data-_xlpm.med)),
AVERAGE(
_xlfn._xlws.FILTER(
_xlpm.data,
ABS(_xlpm.data-_xlpm.med)&lt;=2.5*_xlpm.mad
)
)
)</f>
        <v>0.92410585800417921</v>
      </c>
      <c r="BT6" s="15">
        <f>BP6-BR6</f>
        <v>27</v>
      </c>
    </row>
    <row r="7" spans="2:72" x14ac:dyDescent="0.25">
      <c r="B7" s="206" t="s">
        <v>715</v>
      </c>
      <c r="C7" s="202" cm="1">
        <f t="array" ref="C7">MEDIAN(_xlfn._xlws.FILTER(Table9[Income per beneficiary (USD)],(Table9[Income per beneficiary (USD)]&gt;0)*(ISNUMBER(SEARCH("Mixed",Table9[Sector])))))</f>
        <v>508.48724598018771</v>
      </c>
      <c r="D7" s="202" cm="1">
        <f t="array" ref="D7">AVERAGE(
_xlfn._xlws.FILTER(
Table9[Income per beneficiary (USD)],
(Table9[Income per beneficiary (USD)]&gt;0)*
(ISNUMBER(SEARCH("Mixed",Table9[Sector])))
)
)</f>
        <v>1002.8472682264835</v>
      </c>
      <c r="E7" s="15">
        <f>COUNTIFS(Table9[Income per beneficiary (USD)],"&gt;0",Table9[Sector],"*Mixed*")</f>
        <v>8</v>
      </c>
      <c r="F7" s="195" cm="1">
        <f t="array" ref="F7">_xlfn.LET(
_xlpm.data,_xlfn._xlws.FILTER(
Table9[Income per beneficiary (USD)],
(Table9[Income per beneficiary (USD)]&gt;0)*
ISNUMBER(SEARCH("Mixed",Table9[Sector]))
),
_xlpm.med,MEDIAN(_xlpm.data),
_xlpm.mad,MEDIAN(ABS(_xlpm.data-_xlpm.med)),
SUMPRODUCT(--(ABS(_xlpm.data-_xlpm.med)&gt;2.5*_xlpm.mad))/COUNT(_xlpm.data)
)</f>
        <v>0.25</v>
      </c>
      <c r="G7" s="345" cm="1">
        <f t="array" ref="G7">_xlfn.LET(
_xlpm.data,_xlfn._xlws.FILTER(
Table9[Income per beneficiary (USD)],
(Table9[Income per beneficiary (USD)]&gt;0)*
ISNUMBER(SEARCH("Mixed",Table9[Sector]))
),
_xlpm.med,MEDIAN(_xlpm.data),
_xlpm.mad,MEDIAN(ABS(_xlpm.data-_xlpm.med)),
SUMPRODUCT(--(ABS(_xlpm.data-_xlpm.med)&gt;2.5*_xlpm.mad))
)</f>
        <v>2</v>
      </c>
      <c r="H7" s="202" cm="1">
        <f t="array" ref="H7">_xlfn.LET(
_xlpm.data,_xlfn._xlws.FILTER(
Table9[Income per beneficiary (USD)],
(Table9[Income per beneficiary (USD)]&gt;0)*
ISNUMBER(SEARCH("Mixed",Table9[Sector]))
),
_xlpm.med,MEDIAN(_xlpm.data),
_xlpm.mad,MEDIAN(ABS(_xlpm.data-_xlpm.med)),
AVERAGE(_xlfn._xlws.FILTER(_xlpm.data,ABS(_xlpm.data-_xlpm.med)&lt;=2.5*_xlpm.mad))
)</f>
        <v>341.37323398598392</v>
      </c>
      <c r="I7" s="202">
        <f>E7-G7</f>
        <v>6</v>
      </c>
      <c r="J7" s="130"/>
      <c r="K7" s="206" t="s">
        <v>715</v>
      </c>
      <c r="L7" s="203" cm="1">
        <f t="array" ref="L7">MEDIAN(
_xlfn._xlws.FILTER(
Table9[Normalised Income Impact Ratio],
ISNUMBER(Table9[Normalised Income Impact Ratio])*
(Table9[Normalised Income Impact Ratio]&gt;0)*
ISNUMBER(SEARCH("Mixed",Table9[Sector]))
)
)</f>
        <v>4.3549867665947851E-2</v>
      </c>
      <c r="M7" s="203" cm="1">
        <f t="array" ref="M7">AVERAGE(
_xlfn._xlws.FILTER(
Table9[Normalised Income Impact Ratio],
ISNUMBER(Table9[Normalised Income Impact Ratio])*
(Table9[Normalised Income Impact Ratio]&gt;0)*
ISNUMBER(SEARCH("Mixed",Table9[Sector]))
)
)</f>
        <v>0.11515187739485454</v>
      </c>
      <c r="N7" s="202" cm="1">
        <f t="array" ref="N7">COUNT(
_xlfn._xlws.FILTER(
Table9[Normalised Income Impact Ratio],
ISNUMBER(Table9[Normalised Income Impact Ratio])*
(Table9[Normalised Income Impact Ratio]&gt;0)*
ISNUMBER(SEARCH("Mixed",Table9[Sector]))
)
)</f>
        <v>8</v>
      </c>
      <c r="O7" s="195" cm="1">
        <f t="array" ref="O7">_xlfn.LET(
_xlpm.data,_xlfn._xlws.FILTER(
Table9[Normalised Income Impact Ratio],
ISNUMBER(Table9[Normalised Income Impact Ratio])*
(Table9[Normalised Income Impact Ratio]&gt;0)*
ISNUMBER(SEARCH("Mixed",Table9[Sector]))
),
_xlpm.med,MEDIAN(_xlpm.data),
_xlpm.mad,MEDIAN(ABS(_xlpm.data-_xlpm.med)),
SUMPRODUCT(--(ABS(_xlpm.data-_xlpm.med)&gt;2.5*_xlpm.mad))/COUNT(_xlpm.data)
)</f>
        <v>0.125</v>
      </c>
      <c r="P7" s="202" cm="1">
        <f t="array" ref="P7">_xlfn.LET(
_xlpm.data,_xlfn._xlws.FILTER(
Table9[Normalised Income Impact Ratio],
ISNUMBER(Table9[Normalised Income Impact Ratio])*
(Table9[Normalised Income Impact Ratio]&gt;0)*
ISNUMBER(SEARCH("Mixed",Table9[Sector]))
),
_xlpm.med,MEDIAN(_xlpm.data),
_xlpm.mad,MEDIAN(ABS(_xlpm.data-_xlpm.med)),
SUMPRODUCT(--(ABS(_xlpm.data-_xlpm.med)&gt;2.5*_xlpm.mad))
)</f>
        <v>1</v>
      </c>
      <c r="Q7" s="203" cm="1">
        <f t="array" ref="Q7">_xlfn.LET(
_xlpm.data,_xlfn._xlws.FILTER(
Table9[Normalised Income Impact Ratio],
ISNUMBER(Table9[Normalised Income Impact Ratio])*
(Table9[Normalised Income Impact Ratio]&gt;0)*
ISNUMBER(SEARCH("Mixed",Table9[Sector]))
),
_xlpm.med,MEDIAN(_xlpm.data),
_xlpm.mad,MEDIAN(ABS(_xlpm.data-_xlpm.med)),
AVERAGE(_xlfn._xlws.FILTER(_xlpm.data,ABS(_xlpm.data-_xlpm.med)&lt;=2.5*_xlpm.mad))
)</f>
        <v>4.6110373426690297E-2</v>
      </c>
      <c r="R7" s="202">
        <f>N7-P7</f>
        <v>7</v>
      </c>
      <c r="S7" s="130"/>
      <c r="T7" s="206" t="s">
        <v>715</v>
      </c>
      <c r="U7" s="203" cm="1">
        <f t="array" ref="U7">MEDIAN(
_xlfn._xlws.FILTER(
Table9[Private Sector Investment (USD) / Project cost ],
ISNUMBER(Table9[Private Sector Investment (USD) / Project cost ])*
(Table9[Private Sector Investment (USD) / Project cost ]&gt;0)*
ISNUMBER(SEARCH("Mixed",Table9[Sector]))
)
)</f>
        <v>0.70857276000000002</v>
      </c>
      <c r="V7" s="203" cm="1">
        <f t="array" ref="V7">AVERAGE(
_xlfn._xlws.FILTER(
Table9[Private Sector Investment (USD) / Project cost ],
ISNUMBER(Table9[Private Sector Investment (USD) / Project cost ])*
(Table9[Private Sector Investment (USD) / Project cost ]&gt;0)*
ISNUMBER(SEARCH("Mixed",Table9[Sector]))
)
)</f>
        <v>4.8040055077154245</v>
      </c>
      <c r="W7" s="15" cm="1">
        <f t="array" ref="W7">COUNT(
_xlfn._xlws.FILTER(
Table9[Private Sector Investment (USD) / Project cost ],
ISNUMBER(Table9[Private Sector Investment (USD) / Project cost ])*
(Table9[Private Sector Investment (USD) / Project cost ]&gt;0)*
ISNUMBER(SEARCH("Mixed",Table9[Sector]))
)
)</f>
        <v>9</v>
      </c>
      <c r="X7" s="195" cm="1">
        <f t="array" ref="X7">_xlfn.LET(
_xlpm.data,_xlfn._xlws.FILTER(
Table9[Private Sector Investment (USD) / Project cost ],
ISNUMBER(Table9[Private Sector Investment (USD) / Project cost ])*
(Table9[Private Sector Investment (USD) / Project cost ]&gt;0)*
ISNUMBER(SEARCH("Mixed",Table9[Sector]))
),
_xlpm.med,MEDIAN(_xlpm.data),
_xlpm.mad,MEDIAN(ABS(_xlpm.data-_xlpm.med)),
SUMPRODUCT(--(ABS(_xlpm.data-_xlpm.med)&gt;2.5*_xlpm.mad))/COUNT(_xlpm.data)
)</f>
        <v>0.33333333333333331</v>
      </c>
      <c r="Y7" s="15" cm="1">
        <f t="array" ref="Y7">_xlfn.LET(
_xlpm.data,_xlfn._xlws.FILTER(
Table9[Private Sector Investment (USD) / Project cost ],
ISNUMBER(Table9[Private Sector Investment (USD) / Project cost ])*
(Table9[Private Sector Investment (USD) / Project cost ]&gt;0)*
ISNUMBER(SEARCH("Mixed",Table9[Sector]))
),
_xlpm.med,MEDIAN(_xlpm.data),
_xlpm.mad,MEDIAN(ABS(_xlpm.data-_xlpm.med)),
SUMPRODUCT(--(ABS(_xlpm.data-_xlpm.med)&gt;2.5*_xlpm.mad))
)</f>
        <v>3</v>
      </c>
      <c r="Z7" s="203" cm="1">
        <f t="array" ref="Z7">_xlfn.LET(
_xlpm.data,_xlfn._xlws.FILTER(
Table9[Private Sector Investment (USD) / Project cost ],
ISNUMBER(Table9[Private Sector Investment (USD) / Project cost ])*
(Table9[Private Sector Investment (USD) / Project cost ]&gt;0)*
ISNUMBER(SEARCH("Mixed",Table9[Sector]))
),
_xlpm.med,MEDIAN(_xlpm.data),
_xlpm.mad,MEDIAN(ABS(_xlpm.data-_xlpm.med)),
AVERAGE(_xlfn._xlws.FILTER(_xlpm.data,ABS(_xlpm.data-_xlpm.med)&lt;=2.5*_xlpm.mad))
)</f>
        <v>0.46263606622796732</v>
      </c>
      <c r="AA7" s="15">
        <f>W7-Y7</f>
        <v>6</v>
      </c>
      <c r="AC7" s="206" t="s">
        <v>715</v>
      </c>
      <c r="AD7" s="203" cm="1">
        <f t="array" ref="AD7">MEDIAN(
_xlfn._xlws.FILTER(
Table9[Private Sector Revenues Generated (USD) / Project cost],
ISNUMBER(Table9[Private Sector Revenues Generated (USD) / Project cost])*
(Table9[Private Sector Revenues Generated (USD) / Project cost]&gt;0)*
ISNUMBER(SEARCH("Mixed",Table9[Sector]))
)
)</f>
        <v>1.7337664800000001</v>
      </c>
      <c r="AE7" s="203" cm="1">
        <f t="array" ref="AE7">AVERAGE(
_xlfn._xlws.FILTER(
Table9[Private Sector Revenues Generated (USD) / Project cost],
ISNUMBER(Table9[Private Sector Revenues Generated (USD) / Project cost])*
(Table9[Private Sector Revenues Generated (USD) / Project cost]&gt;0)*
ISNUMBER(SEARCH("Mixed",Table9[Sector]))
)
)</f>
        <v>3.4241074109655938</v>
      </c>
      <c r="AF7" s="15" cm="1">
        <f t="array" ref="AF7">COUNT(
_xlfn._xlws.FILTER(
Table9[Private Sector Revenues Generated (USD) / Project cost],
ISNUMBER(Table9[Private Sector Revenues Generated (USD) / Project cost])*
(Table9[Private Sector Revenues Generated (USD) / Project cost]&gt;0)*
ISNUMBER(SEARCH("Mixed",Table9[Sector]))
)
)</f>
        <v>9</v>
      </c>
      <c r="AG7" s="195" cm="1">
        <f t="array" ref="AG7">_xlfn.LET(
_xlpm.data,_xlfn._xlws.FILTER(
Table9[Private Sector Revenues Generated (USD) / Project cost],
ISNUMBER(Table9[Private Sector Revenues Generated (USD) / Project cost])*
(Table9[Private Sector Revenues Generated (USD) / Project cost]&gt;0)*
ISNUMBER(SEARCH("Mixed",Table9[Sector]))
),
_xlpm.med,MEDIAN(_xlpm.data),
_xlpm.mad,MEDIAN(ABS(_xlpm.data-_xlpm.med)),
SUMPRODUCT(--(ABS(_xlpm.data-_xlpm.med)&gt;2.5*_xlpm.mad))/COUNT(_xlpm.data)
)</f>
        <v>0.22222222222222221</v>
      </c>
      <c r="AH7" s="15" cm="1">
        <f t="array" ref="AH7">_xlfn.LET(
_xlpm.data,_xlfn._xlws.FILTER(
Table9[Private Sector Revenues Generated (USD) / Project cost],
ISNUMBER(Table9[Private Sector Revenues Generated (USD) / Project cost])*
(Table9[Private Sector Revenues Generated (USD) / Project cost]&gt;0)*
ISNUMBER(SEARCH("Mixed",Table9[Sector]))
),
_xlpm.med,MEDIAN(_xlpm.data),
_xlpm.mad,MEDIAN(ABS(_xlpm.data-_xlpm.med)),
SUMPRODUCT(--(ABS(_xlpm.data-_xlpm.med)&gt;2.5*_xlpm.mad))
)</f>
        <v>2</v>
      </c>
      <c r="AI7" s="203" cm="1">
        <f t="array" ref="AI7">_xlfn.LET(
_xlpm.data,_xlfn._xlws.FILTER(
Table9[Private Sector Revenues Generated (USD) / Project cost],
ISNUMBER(Table9[Private Sector Revenues Generated (USD) / Project cost])*
(Table9[Private Sector Revenues Generated (USD) / Project cost]&gt;0)*
ISNUMBER(SEARCH("Mixed",Table9[Sector]))
),
_xlpm.med,MEDIAN(_xlpm.data),
_xlpm.mad,MEDIAN(ABS(_xlpm.data-_xlpm.med)),
AVERAGE(_xlfn._xlws.FILTER(_xlpm.data,ABS(_xlpm.data-_xlpm.med)&lt;=2.5*_xlpm.mad))
)</f>
        <v>1.2889526433572809</v>
      </c>
      <c r="AJ7" s="15">
        <f>AF7-AH7</f>
        <v>7</v>
      </c>
      <c r="AL7" s="206" t="s">
        <v>715</v>
      </c>
      <c r="AM7" s="203" cm="1">
        <f t="array" ref="AM7">MEDIAN(
_xlfn._xlws.FILTER(
Table9[Export Revenue Generated (USD) /Project Cost],
ISNUMBER(Table9[Export Revenue Generated (USD) /Project Cost])*
(Table9[Export Revenue Generated (USD) /Project Cost]&gt;0)*
ISNUMBER(SEARCH("Agriculture",Table9[Sector]))
)
)</f>
        <v>0.1122911370079798</v>
      </c>
      <c r="AN7" s="203" cm="1">
        <f t="array" ref="AN7">AVERAGE(_xlfn._xlws.FILTER(Table9[Export Revenue Generated (USD) /Project Cost],ISNUMBER(Table9[Export Revenue Generated (USD) /Project Cost])*(Table9[Export Revenue Generated (USD) /Project Cost]&gt;0)*ISNUMBER(SEARCH("Mixed",Table9[Sector]))))</f>
        <v>2.52078849034325</v>
      </c>
      <c r="AO7" s="15" cm="1">
        <f t="array" ref="AO7">COUNT(_xlfn._xlws.FILTER(Table9[Export Revenue Generated (USD) /Project Cost],ISNUMBER(Table9[Export Revenue Generated (USD) /Project Cost])*(Table9[Export Revenue Generated (USD) /Project Cost]&gt;0)*ISNUMBER(SEARCH("Mixed",Table9[Sector]))))</f>
        <v>1</v>
      </c>
      <c r="AP7" s="195" cm="1">
        <f t="array" ref="AP7">_xlfn.LET(_xlpm.data,_xlfn._xlws.FILTER(Table9[Export Revenue Generated (USD) /Project Cost],ISNUMBER(Table9[Export Revenue Generated (USD) /Project Cost])*(Table9[Export Revenue Generated (USD) /Project Cost]&gt;0)*ISNUMBER(SEARCH("Mixed",Table9[Sector]))),_xlpm.med,MEDIAN(_xlpm.data),_xlpm.mad,MEDIAN(ABS(_xlpm.data-_xlpm.med)),SUMPRODUCT(--(ABS(_xlpm.data-_xlpm.med)&gt;2.5*_xlpm.mad))/COUNT(_xlpm.data))</f>
        <v>0</v>
      </c>
      <c r="AQ7" s="15" cm="1">
        <f t="array" ref="AQ7">_xlfn.LET(_xlpm.data,_xlfn._xlws.FILTER(Table9[Export Revenue Generated (USD) /Project Cost],ISNUMBER(Table9[Export Revenue Generated (USD) /Project Cost])*(Table9[Export Revenue Generated (USD) /Project Cost]&gt;0)*ISNUMBER(SEARCH("Mixed",Table9[Sector]))),_xlpm.med,MEDIAN(_xlpm.data),_xlpm.mad,MEDIAN(ABS(_xlpm.data-_xlpm.med)),SUMPRODUCT(--(ABS(_xlpm.data-_xlpm.med)&gt;2.5*_xlpm.mad)))</f>
        <v>0</v>
      </c>
      <c r="AR7" s="203" cm="1">
        <f t="array" ref="AR7">_xlfn.LET(_xlpm.data,_xlfn._xlws.FILTER(Table9[Export Revenue Generated (USD) /Project Cost],ISNUMBER(Table9[Export Revenue Generated (USD) /Project Cost])*(Table9[Export Revenue Generated (USD) /Project Cost]&gt;0)*ISNUMBER(SEARCH("Mixed",Table9[Sector]))),_xlpm.med,MEDIAN(_xlpm.data),_xlpm.mad,MEDIAN(ABS(_xlpm.data-_xlpm.med)),AVERAGE(_xlfn._xlws.FILTER(_xlpm.data,ABS(_xlpm.data-_xlpm.med)&lt;=2.5*_xlpm.mad)))</f>
        <v>2.52078849034325</v>
      </c>
      <c r="AS7" s="15">
        <f>AO7-AQ7</f>
        <v>1</v>
      </c>
      <c r="AU7" s="206" t="s">
        <v>715</v>
      </c>
      <c r="AV7" s="202" cm="1">
        <f t="array" ref="AV7">MEDIAN(_xlfn._xlws.FILTER(Table9[Job created per $Mn],ISNUMBER(Table9[Job created per $Mn])*(Table9[Job created per $Mn]&gt;0)*ISNUMBER(SEARCH("Mixed",Table9[Sector]))))</f>
        <v>598.59825652691143</v>
      </c>
      <c r="AW7" s="202" cm="1">
        <f t="array" ref="AW7">AVERAGE(_xlfn._xlws.FILTER(Table9[Job created per $Mn],ISNUMBER(Table9[Job created per $Mn])*(Table9[Job created per $Mn]&gt;0)*ISNUMBER(SEARCH("Mixed",Table9[Sector]))))</f>
        <v>784.52564615584561</v>
      </c>
      <c r="AX7" s="15" cm="1">
        <f t="array" ref="AX7">COUNT(_xlfn._xlws.FILTER(Table9[Job created per $Mn],ISNUMBER(Table9[Job created per $Mn])*(Table9[Job created per $Mn]&gt;0)*ISNUMBER(SEARCH("Mixed",Table9[Sector]))))</f>
        <v>11</v>
      </c>
      <c r="AY7" s="195" cm="1">
        <f t="array" ref="AY7">_xlfn.LET(_xlpm.data,_xlfn._xlws.FILTER(Table9[Job created per $Mn],ISNUMBER(Table9[Job created per $Mn])*(Table9[Job created per $Mn]&gt;0)*ISNUMBER(SEARCH("Mixed",Table9[Sector]))),_xlpm.med,MEDIAN(_xlpm.data),_xlpm.mad,MEDIAN(ABS(_xlpm.data-_xlpm.med)),SUMPRODUCT(--(ABS(_xlpm.data-_xlpm.med)&gt;2.5*_xlpm.mad))/COUNT(_xlpm.data))</f>
        <v>0.18181818181818182</v>
      </c>
      <c r="AZ7" s="15" cm="1">
        <f t="array" ref="AZ7">_xlfn.LET(_xlpm.data,_xlfn._xlws.FILTER(Table9[Job created per $Mn],ISNUMBER(Table9[Job created per $Mn])*(Table9[Job created per $Mn]&gt;0)*ISNUMBER(SEARCH("Mixed",Table9[Sector]))),_xlpm.med,MEDIAN(_xlpm.data),_xlpm.mad,MEDIAN(ABS(_xlpm.data-_xlpm.med)),SUMPRODUCT(--(ABS(_xlpm.data-_xlpm.med)&gt;2.5*_xlpm.mad)))</f>
        <v>2</v>
      </c>
      <c r="BA7" s="202" cm="1">
        <f t="array" ref="BA7">_xlfn.LET(_xlpm.data,_xlfn._xlws.FILTER(Table9[Job created per $Mn],ISNUMBER(Table9[Job created per $Mn])*(Table9[Job created per $Mn]&gt;0)*ISNUMBER(SEARCH("Mixed",Table9[Sector]))),_xlpm.med,MEDIAN(_xlpm.data),_xlpm.mad,MEDIAN(ABS(_xlpm.data-_xlpm.med)),AVERAGE(_xlfn._xlws.FILTER(_xlpm.data,ABS(_xlpm.data-_xlpm.med)&lt;=2.5*_xlpm.mad)))</f>
        <v>480.20004127764838</v>
      </c>
      <c r="BB7" s="15">
        <f>AX7-AZ7</f>
        <v>9</v>
      </c>
      <c r="BD7" s="206" t="s">
        <v>715</v>
      </c>
      <c r="BE7" s="202" cm="1">
        <f t="array" ref="BE7">MEDIAN(_xlfn._xlws.FILTER(Table9[Job improved per $Mn],ISNUMBER(Table9[Job improved per $Mn])*(Table9[Job improved per $Mn]&gt;0)*ISNUMBER(SEARCH("Mixed",Table9[Sector]))))</f>
        <v>820.24489795918362</v>
      </c>
      <c r="BF7" s="202" cm="1">
        <f t="array" ref="BF7">AVERAGE(_xlfn._xlws.FILTER(Table9[Job improved per $Mn],ISNUMBER(Table9[Job improved per $Mn])*(Table9[Job improved per $Mn]&gt;0)*ISNUMBER(SEARCH("Mixed",Table9[Sector]))))</f>
        <v>9679.5929539797198</v>
      </c>
      <c r="BG7" s="15" cm="1">
        <f t="array" ref="BG7">COUNT(_xlfn._xlws.FILTER(Table9[Job improved per $Mn],ISNUMBER(Table9[Job improved per $Mn])*(Table9[Job improved per $Mn]&gt;0)*ISNUMBER(SEARCH("Mixed",Table9[Sector]))))</f>
        <v>9</v>
      </c>
      <c r="BH7" s="195" cm="1">
        <f t="array" ref="BH7">_xlfn.LET(_xlpm.data,_xlfn._xlws.FILTER(Table9[Job improved per $Mn],ISNUMBER(Table9[Job improved per $Mn])*(Table9[Job improved per $Mn]&gt;0)*ISNUMBER(SEARCH("Mixed",Table9[Sector]))),_xlpm.med,MEDIAN(_xlpm.data),_xlpm.mad,MEDIAN(ABS(_xlpm.data-_xlpm.med)),SUMPRODUCT(--(ABS(_xlpm.data-_xlpm.med)&gt;2.5*_xlpm.mad))/COUNT(_xlpm.data))</f>
        <v>0.44444444444444442</v>
      </c>
      <c r="BI7" s="15" cm="1">
        <f t="array" ref="BI7">_xlfn.LET(_xlpm.data,_xlfn._xlws.FILTER(Table9[Job improved per $Mn],ISNUMBER(Table9[Job improved per $Mn])*(Table9[Job improved per $Mn]&gt;0)*ISNUMBER(SEARCH("Mixed",Table9[Sector]))),_xlpm.med,MEDIAN(_xlpm.data),_xlpm.mad,MEDIAN(ABS(_xlpm.data-_xlpm.med)),SUMPRODUCT(--(ABS(_xlpm.data-_xlpm.med)&gt;2.5*_xlpm.mad)))</f>
        <v>4</v>
      </c>
      <c r="BJ7" s="202" cm="1">
        <f t="array" ref="BJ7">_xlfn.LET(_xlpm.data,_xlfn._xlws.FILTER(Table9[Job improved per $Mn],ISNUMBER(Table9[Job improved per $Mn])*(Table9[Job improved per $Mn]&gt;0)*ISNUMBER(SEARCH("Mixed",Table9[Sector]))),_xlpm.med,MEDIAN(_xlpm.data),_xlpm.mad,MEDIAN(ABS(_xlpm.data-_xlpm.med)),AVERAGE(_xlfn._xlws.FILTER(_xlpm.data,ABS(_xlpm.data-_xlpm.med)&lt;=2.5*_xlpm.mad)))</f>
        <v>402.91174603497973</v>
      </c>
      <c r="BK7" s="15">
        <f>BG7-BI7</f>
        <v>5</v>
      </c>
      <c r="BM7" s="206" t="s">
        <v>715</v>
      </c>
      <c r="BN7" s="203" cm="1">
        <f t="array" ref="BN7">MEDIAN(_xlfn._xlws.FILTER(Table9[Beneficiary Income (USD) / Project Cost],ISNUMBER(Table9[Beneficiary Income (USD) / Project Cost])*(Table9[Beneficiary Income (USD) / Project Cost]&gt;0)*ISNUMBER(SEARCH("Mixed",Table9[Sector]))))</f>
        <v>1.6198021143968986</v>
      </c>
      <c r="BO7" s="203" cm="1">
        <f t="array" ref="BO7">AVERAGE(_xlfn._xlws.FILTER(Table9[Beneficiary Income (USD) / Project Cost],ISNUMBER(Table9[Beneficiary Income (USD) / Project Cost])*(Table9[Beneficiary Income (USD) / Project Cost]&gt;0)*ISNUMBER(SEARCH("Mixed",Table9[Sector]))))</f>
        <v>1.464488734227164</v>
      </c>
      <c r="BP7" s="15" cm="1">
        <f t="array" ref="BP7">COUNT(_xlfn._xlws.FILTER(Table9[Beneficiary Income (USD) / Project Cost],ISNUMBER(Table9[Beneficiary Income (USD) / Project Cost])*(Table9[Beneficiary Income (USD) / Project Cost]&gt;0)*ISNUMBER(SEARCH("Mixed",Table9[Sector]))))</f>
        <v>8</v>
      </c>
      <c r="BQ7" s="195" cm="1">
        <f t="array" ref="BQ7">_xlfn.LET(_xlpm.data,_xlfn._xlws.FILTER(Table9[Beneficiary Income (USD) / Project Cost],ISNUMBER(Table9[Beneficiary Income (USD) / Project Cost])*(Table9[Beneficiary Income (USD) / Project Cost]&gt;0)*ISNUMBER(SEARCH("Mixed",Table9[Sector]))),_xlpm.med,MEDIAN(_xlpm.data),_xlpm.mad,MEDIAN(ABS(_xlpm.data-_xlpm.med)),SUMPRODUCT(--(ABS(_xlpm.data-_xlpm.med)&gt;2.5*_xlpm.mad))/COUNT(_xlpm.data))</f>
        <v>0</v>
      </c>
      <c r="BR7" s="15" cm="1">
        <f t="array" ref="BR7">_xlfn.LET(_xlpm.data,_xlfn._xlws.FILTER(Table9[Beneficiary Income (USD) / Project Cost],ISNUMBER(Table9[Beneficiary Income (USD) / Project Cost])*(Table9[Beneficiary Income (USD) / Project Cost]&gt;0)*ISNUMBER(SEARCH("Mixed",Table9[Sector]))),_xlpm.med,MEDIAN(_xlpm.data),_xlpm.mad,MEDIAN(ABS(_xlpm.data-_xlpm.med)),SUMPRODUCT(--(ABS(_xlpm.data-_xlpm.med)&gt;2.5*_xlpm.mad)))</f>
        <v>0</v>
      </c>
      <c r="BS7" s="203" cm="1">
        <f t="array" ref="BS7">_xlfn.LET(_xlpm.data,_xlfn._xlws.FILTER(Table9[Beneficiary Income (USD) / Project Cost],ISNUMBER(Table9[Beneficiary Income (USD) / Project Cost])*(Table9[Beneficiary Income (USD) / Project Cost]&gt;0)*ISNUMBER(SEARCH("Mixed",Table9[Sector]))),_xlpm.med,MEDIAN(_xlpm.data),_xlpm.mad,MEDIAN(ABS(_xlpm.data-_xlpm.med)),AVERAGE(_xlfn._xlws.FILTER(_xlpm.data,ABS(_xlpm.data-_xlpm.med)&lt;=2.5*_xlpm.mad)))</f>
        <v>1.464488734227164</v>
      </c>
      <c r="BT7" s="15">
        <f>BP7-BR7</f>
        <v>8</v>
      </c>
    </row>
    <row r="8" spans="2:72" x14ac:dyDescent="0.25">
      <c r="B8" s="206" t="s">
        <v>634</v>
      </c>
      <c r="C8" s="202" cm="1">
        <f t="array" ref="C8">MEDIAN(
_xlfn._xlws.FILTER(
Table9[Income per beneficiary (USD)],
(Table9[Income per beneficiary (USD)]&gt;0)*
NOT(ISNUMBER(SEARCH("Agriculture",Table9[Sector])))*
NOT(ISNUMBER(SEARCH("Mixed",Table9[Sector])))
)
)</f>
        <v>1000.3537064110849</v>
      </c>
      <c r="D8" s="202" cm="1">
        <f t="array" ref="D8">AVERAGE(
_xlfn._xlws.FILTER(
Table9[Income per beneficiary (USD)],
(Table9[Income per beneficiary (USD)]&gt;0)*
NOT(ISNUMBER(SEARCH("Agriculture",Table9[Sector])))*
NOT(ISNUMBER(SEARCH("Mixed",Table9[Sector])))
)
)</f>
        <v>1000.3537064110848</v>
      </c>
      <c r="E8" s="15">
        <f>COUNTIFS(Table9[Income per beneficiary (USD)],"&gt;0",Table9[Sector],"&lt;&gt;*Agriculture*",Table9[Sector],"&lt;&gt;*Mixed*")</f>
        <v>2</v>
      </c>
      <c r="F8" s="195" cm="1">
        <f t="array" ref="F8">_xlfn.LET(
_xlpm.data,_xlfn._xlws.FILTER(
Table9[Income per beneficiary (USD)],
(Table9[Income per beneficiary (USD)]&gt;0)*
NOT(ISNUMBER(SEARCH("Agriculture",Table9[Sector])))*
NOT(ISNUMBER(SEARCH("Mixed",Table9[Sector])))
),
_xlpm.med,MEDIAN(_xlpm.data),
_xlpm.mad,MEDIAN(ABS(_xlpm.data-_xlpm.med)),
SUMPRODUCT(--(ABS(_xlpm.data-_xlpm.med)&gt;2.5*_xlpm.mad))/COUNT(_xlpm.data)
)</f>
        <v>0</v>
      </c>
      <c r="G8" s="345" cm="1">
        <f t="array" ref="G8">_xlfn.LET(
_xlpm.data,_xlfn._xlws.FILTER(
Table9[Income per beneficiary (USD)],
(Table9[Income per beneficiary (USD)]&gt;0)*
NOT(ISNUMBER(SEARCH("Agriculture",Table9[Sector])))*
NOT(ISNUMBER(SEARCH("Mixed",Table9[Sector])))
),
_xlpm.med,MEDIAN(_xlpm.data),
_xlpm.mad,MEDIAN(ABS(_xlpm.data-_xlpm.med)),
SUMPRODUCT(--(ABS(_xlpm.data-_xlpm.med)&gt;2.5*_xlpm.mad))
)</f>
        <v>0</v>
      </c>
      <c r="H8" s="202" cm="1">
        <f t="array" ref="H8">_xlfn.LET(
_xlpm.data,_xlfn._xlws.FILTER(
Table9[Income per beneficiary (USD)],
(Table9[Income per beneficiary (USD)]&gt;0)*
NOT(ISNUMBER(SEARCH("Agriculture",Table9[Sector])))*
NOT(ISNUMBER(SEARCH("Mixed",Table9[Sector])))
),
_xlpm.med,MEDIAN(_xlpm.data),
_xlpm.mad,MEDIAN(ABS(_xlpm.data-_xlpm.med)),
AVERAGE(_xlfn._xlws.FILTER(_xlpm.data,ABS(_xlpm.data-_xlpm.med)&lt;=2.5*_xlpm.mad))
)</f>
        <v>1000.3537064110848</v>
      </c>
      <c r="I8" s="202">
        <f>E8-G8</f>
        <v>2</v>
      </c>
      <c r="J8" s="130"/>
      <c r="K8" s="206" t="s">
        <v>634</v>
      </c>
      <c r="L8" s="203" cm="1">
        <f t="array" ref="L8">MEDIAN(
_xlfn._xlws.FILTER(
Table9[Normalised Income Impact Ratio],
ISNUMBER(Table9[Normalised Income Impact Ratio])*
(Table9[Normalised Income Impact Ratio]&gt;0)*
NOT(ISNUMBER(SEARCH("Agriculture",Table9[Sector])))*
NOT(ISNUMBER(SEARCH("Mixed",Table9[Sector])))
)
)</f>
        <v>6.8120532947706508E-2</v>
      </c>
      <c r="M8" s="203" cm="1">
        <f t="array" ref="M8">AVERAGE(
_xlfn._xlws.FILTER(
Table9[Normalised Income Impact Ratio],
ISNUMBER(Table9[Normalised Income Impact Ratio])*
(Table9[Normalised Income Impact Ratio]&gt;0)*
NOT(ISNUMBER(SEARCH("Agriculture",Table9[Sector])))*
NOT(ISNUMBER(SEARCH("Mixed",Table9[Sector])))
)
)</f>
        <v>6.8120532947706508E-2</v>
      </c>
      <c r="N8" s="202" cm="1">
        <f t="array" ref="N8">COUNT(
_xlfn._xlws.FILTER(
Table9[Normalised Income Impact Ratio],
ISNUMBER(Table9[Normalised Income Impact Ratio])*
(Table9[Normalised Income Impact Ratio]&gt;0)*
NOT(ISNUMBER(SEARCH("Agriculture",Table9[Sector])))*
NOT(ISNUMBER(SEARCH("Mixed",Table9[Sector])))
)
)</f>
        <v>2</v>
      </c>
      <c r="O8" s="195" cm="1">
        <f t="array" ref="O8">_xlfn.LET(
_xlpm.data,_xlfn._xlws.FILTER(
Table9[Normalised Income Impact Ratio],
ISNUMBER(Table9[Normalised Income Impact Ratio])*
(Table9[Normalised Income Impact Ratio]&gt;0)*
NOT(ISNUMBER(SEARCH("Agriculture",Table9[Sector])))*
NOT(ISNUMBER(SEARCH("Mixed",Table9[Sector])))
),
_xlpm.med,MEDIAN(_xlpm.data),
_xlpm.mad,MEDIAN(ABS(_xlpm.data-_xlpm.med)),
SUMPRODUCT(--(ABS(_xlpm.data-_xlpm.med)&gt;2.5*_xlpm.mad))/COUNT(_xlpm.data)
)</f>
        <v>0</v>
      </c>
      <c r="P8" s="202" cm="1">
        <f t="array" ref="P8">_xlfn.LET(
_xlpm.data,_xlfn._xlws.FILTER(
Table9[Normalised Income Impact Ratio],
ISNUMBER(Table9[Normalised Income Impact Ratio])*
(Table9[Normalised Income Impact Ratio]&gt;0)*
NOT(ISNUMBER(SEARCH("Agriculture",Table9[Sector])))*
NOT(ISNUMBER(SEARCH("Mixed",Table9[Sector])))
),
_xlpm.med,MEDIAN(_xlpm.data),
_xlpm.mad,MEDIAN(ABS(_xlpm.data-_xlpm.med)),
SUMPRODUCT(--(ABS(_xlpm.data-_xlpm.med)&gt;2.5*_xlpm.mad))
)</f>
        <v>0</v>
      </c>
      <c r="Q8" s="203" cm="1">
        <f t="array" ref="Q8">_xlfn.LET(
_xlpm.data,_xlfn._xlws.FILTER(
Table9[Normalised Income Impact Ratio],
ISNUMBER(Table9[Normalised Income Impact Ratio])*
(Table9[Normalised Income Impact Ratio]&gt;0)*
NOT(ISNUMBER(SEARCH("Agriculture",Table9[Sector])))*
NOT(ISNUMBER(SEARCH("Mixed",Table9[Sector])))
),
_xlpm.med,MEDIAN(_xlpm.data),
_xlpm.mad,MEDIAN(ABS(_xlpm.data-_xlpm.med)),
AVERAGE(_xlfn._xlws.FILTER(_xlpm.data,ABS(_xlpm.data-_xlpm.med)&lt;=2.5*_xlpm.mad))
)</f>
        <v>6.8120532947706508E-2</v>
      </c>
      <c r="R8" s="202">
        <f>N8-P8</f>
        <v>2</v>
      </c>
      <c r="S8" s="130"/>
      <c r="T8" s="206" t="s">
        <v>634</v>
      </c>
      <c r="U8" s="203" cm="1">
        <f t="array" ref="U8">MEDIAN(
_xlfn._xlws.FILTER(
Table9[Private Sector Investment (USD) / Project cost ],
ISNUMBER(Table9[Private Sector Investment (USD) / Project cost ])*
(Table9[Private Sector Investment (USD) / Project cost ]&gt;0)*
NOT(ISNUMBER(SEARCH("Agriculture",Table9[Sector])))*
NOT(ISNUMBER(SEARCH("Mixed",Table9[Sector])))
)
)</f>
        <v>0.84191089108910888</v>
      </c>
      <c r="V8" s="203" cm="1">
        <f t="array" ref="V8">AVERAGE(
_xlfn._xlws.FILTER(
Table9[Private Sector Investment (USD) / Project cost ],
ISNUMBER(Table9[Private Sector Investment (USD) / Project cost ])*
(Table9[Private Sector Investment (USD) / Project cost ]&gt;0)*
NOT(ISNUMBER(SEARCH("Agriculture",Table9[Sector])))*
NOT(ISNUMBER(SEARCH("Mixed",Table9[Sector])))
)
)</f>
        <v>0.78914105951189617</v>
      </c>
      <c r="W8" s="15" cm="1">
        <f t="array" ref="W8">COUNT(
_xlfn._xlws.FILTER(
Table9[Private Sector Investment (USD) / Project cost ],
ISNUMBER(Table9[Private Sector Investment (USD) / Project cost ])*
(Table9[Private Sector Investment (USD) / Project cost ]&gt;0)*
NOT(ISNUMBER(SEARCH("Agriculture",Table9[Sector])))*
NOT(ISNUMBER(SEARCH("Mixed",Table9[Sector])))
)
)</f>
        <v>4</v>
      </c>
      <c r="X8" s="195" cm="1">
        <f t="array" ref="X8">_xlfn.LET(
_xlpm.data,_xlfn._xlws.FILTER(
Table9[Private Sector Investment (USD) / Project cost ],
ISNUMBER(Table9[Private Sector Investment (USD) / Project cost ])*
(Table9[Private Sector Investment (USD) / Project cost ]&gt;0)*
NOT(ISNUMBER(SEARCH("Agriculture",Table9[Sector])))*
NOT(ISNUMBER(SEARCH("Mixed",Table9[Sector])))
),
_xlpm.med,MEDIAN(_xlpm.data),
_xlpm.mad,MEDIAN(ABS(_xlpm.data-_xlpm.med)),
SUMPRODUCT(--(ABS(_xlpm.data-_xlpm.med)&gt;2.5*_xlpm.mad))/COUNT(_xlpm.data)
)</f>
        <v>0</v>
      </c>
      <c r="Y8" s="15" cm="1">
        <f t="array" ref="Y8">_xlfn.LET(
_xlpm.data,_xlfn._xlws.FILTER(
Table9[Private Sector Investment (USD) / Project cost ],
ISNUMBER(Table9[Private Sector Investment (USD) / Project cost ])*
(Table9[Private Sector Investment (USD) / Project cost ]&gt;0)*
NOT(ISNUMBER(SEARCH("Agriculture",Table9[Sector])))*
NOT(ISNUMBER(SEARCH("Mixed",Table9[Sector])))
),
_xlpm.med,MEDIAN(_xlpm.data),
_xlpm.mad,MEDIAN(ABS(_xlpm.data-_xlpm.med)),
SUMPRODUCT(--(ABS(_xlpm.data-_xlpm.med)&gt;2.5*_xlpm.mad))
)</f>
        <v>0</v>
      </c>
      <c r="Z8" s="203" cm="1">
        <f t="array" ref="Z8">_xlfn.LET(
_xlpm.data,_xlfn._xlws.FILTER(
Table9[Private Sector Investment (USD) / Project cost ],
ISNUMBER(Table9[Private Sector Investment (USD) / Project cost ])*
(Table9[Private Sector Investment (USD) / Project cost ]&gt;0)*
NOT(ISNUMBER(SEARCH("Agriculture",Table9[Sector])))*
NOT(ISNUMBER(SEARCH("Mixed",Table9[Sector])))
),
_xlpm.med,MEDIAN(_xlpm.data),
_xlpm.mad,MEDIAN(ABS(_xlpm.data-_xlpm.med)),
AVERAGE(_xlfn._xlws.FILTER(_xlpm.data,ABS(_xlpm.data-_xlpm.med)&lt;=2.5*_xlpm.mad))
)</f>
        <v>0.78914105951189617</v>
      </c>
      <c r="AA8" s="15">
        <f>W8-Y8</f>
        <v>4</v>
      </c>
      <c r="AC8" s="206" t="s">
        <v>634</v>
      </c>
      <c r="AD8" s="203" cm="1">
        <f t="array" ref="AD8">MEDIAN(
_xlfn._xlws.FILTER(
Table9[Private Sector Revenues Generated (USD) / Project cost],
ISNUMBER(Table9[Private Sector Revenues Generated (USD) / Project cost])*
(Table9[Private Sector Revenues Generated (USD) / Project cost]&gt;0)*
NOT(ISNUMBER(SEARCH("Agriculture",Table9[Sector])))*
NOT(ISNUMBER(SEARCH("Mixed",Table9[Sector])))
)
)</f>
        <v>0.36717139999999998</v>
      </c>
      <c r="AE8" s="203" cm="1">
        <f t="array" ref="AE8">AVERAGE(
_xlfn._xlws.FILTER(
Table9[Private Sector Revenues Generated (USD) / Project cost],
ISNUMBER(Table9[Private Sector Revenues Generated (USD) / Project cost])*
(Table9[Private Sector Revenues Generated (USD) / Project cost]&gt;0)*
NOT(ISNUMBER(SEARCH("Agriculture",Table9[Sector])))*
NOT(ISNUMBER(SEARCH("Mixed",Table9[Sector])))
)
)</f>
        <v>0.99718254587458743</v>
      </c>
      <c r="AF8" s="15" cm="1">
        <f t="array" ref="AF8">COUNT(
_xlfn._xlws.FILTER(
Table9[Private Sector Revenues Generated (USD) / Project cost],
ISNUMBER(Table9[Private Sector Revenues Generated (USD) / Project cost])*
(Table9[Private Sector Revenues Generated (USD) / Project cost]&gt;0)*
NOT(ISNUMBER(SEARCH("Agriculture",Table9[Sector])))*
NOT(ISNUMBER(SEARCH("Mixed",Table9[Sector])))
)
)</f>
        <v>3</v>
      </c>
      <c r="AG8" s="195" cm="1">
        <f t="array" ref="AG8">_xlfn.LET(
_xlpm.data,_xlfn._xlws.FILTER(
Table9[Private Sector Revenues Generated (USD) / Project cost],
ISNUMBER(Table9[Private Sector Revenues Generated (USD) / Project cost])*
(Table9[Private Sector Revenues Generated (USD) / Project cost]&gt;0)*
NOT(ISNUMBER(SEARCH("Agriculture",Table9[Sector])))*
NOT(ISNUMBER(SEARCH("Mixed",Table9[Sector])))
),
_xlpm.med,MEDIAN(_xlpm.data),
_xlpm.mad,MEDIAN(ABS(_xlpm.data-_xlpm.med)),
SUMPRODUCT(--(ABS(_xlpm.data-_xlpm.med)&gt;2.5*_xlpm.mad))/COUNT(_xlpm.data)
)</f>
        <v>0.33333333333333331</v>
      </c>
      <c r="AH8" s="15" cm="1">
        <f t="array" ref="AH8">_xlfn.LET(
_xlpm.data,_xlfn._xlws.FILTER(
Table9[Private Sector Revenues Generated (USD) / Project cost],
ISNUMBER(Table9[Private Sector Revenues Generated (USD) / Project cost])*
(Table9[Private Sector Revenues Generated (USD) / Project cost]&gt;0)*
NOT(ISNUMBER(SEARCH("Agriculture",Table9[Sector])))*
NOT(ISNUMBER(SEARCH("Mixed",Table9[Sector])))
),
_xlpm.med,MEDIAN(_xlpm.data),
_xlpm.mad,MEDIAN(ABS(_xlpm.data-_xlpm.med)),
SUMPRODUCT(--(ABS(_xlpm.data-_xlpm.med)&gt;2.5*_xlpm.mad))
)</f>
        <v>1</v>
      </c>
      <c r="AI8" s="203" cm="1">
        <f t="array" ref="AI8">_xlfn.LET(
_xlpm.data,_xlfn._xlws.FILTER(
Table9[Private Sector Revenues Generated (USD) / Project cost],
ISNUMBER(Table9[Private Sector Revenues Generated (USD) / Project cost])*
(Table9[Private Sector Revenues Generated (USD) / Project cost]&gt;0)*
NOT(ISNUMBER(SEARCH("Agriculture",Table9[Sector])))*
NOT(ISNUMBER(SEARCH("Mixed",Table9[Sector])))
),
_xlpm.med,MEDIAN(_xlpm.data),
_xlpm.mad,MEDIAN(ABS(_xlpm.data-_xlpm.med)),
AVERAGE(_xlfn._xlws.FILTER(_xlpm.data,ABS(_xlpm.data-_xlpm.med)&lt;=2.5*_xlpm.mad))
)</f>
        <v>0.18977381881188118</v>
      </c>
      <c r="AJ8" s="15">
        <f>AF8-AH8</f>
        <v>2</v>
      </c>
      <c r="AL8" s="206" t="s">
        <v>634</v>
      </c>
      <c r="AM8" s="198" cm="1">
        <f t="array" ref="AM8">MEDIAN(_xlfn._xlws.FILTER(Table9[Export Revenue Generated (USD) /Project Cost],ISNUMBER(Table9[Export Revenue Generated (USD) /Project Cost])*(Table9[Export Revenue Generated (USD) /Project Cost]&gt;0)*NOT(ISNUMBER(SEARCH("Agriculture",Table9[Sector])))*NOT(ISNUMBER(SEARCH("Mixed",Table9[Sector])))))</f>
        <v>79.736000000000004</v>
      </c>
      <c r="AN8" s="198" cm="1">
        <f t="array" ref="AN8">AVERAGE(_xlfn._xlws.FILTER(Table9[Export Revenue Generated (USD) /Project Cost],ISNUMBER(Table9[Export Revenue Generated (USD) /Project Cost])*(Table9[Export Revenue Generated (USD) /Project Cost]&gt;0)*NOT(ISNUMBER(SEARCH("Agriculture",Table9[Sector])))*NOT(ISNUMBER(SEARCH("Mixed",Table9[Sector])))))</f>
        <v>79.736000000000004</v>
      </c>
      <c r="AO8" s="15" cm="1">
        <f t="array" ref="AO8">COUNT(_xlfn._xlws.FILTER(Table9[Export Revenue Generated (USD) /Project Cost],ISNUMBER(Table9[Export Revenue Generated (USD) /Project Cost])*(Table9[Export Revenue Generated (USD) /Project Cost]&gt;0)*NOT(ISNUMBER(SEARCH("Agriculture",Table9[Sector])))*NOT(ISNUMBER(SEARCH("Mixed",Table9[Sector])))))</f>
        <v>1</v>
      </c>
      <c r="AP8" s="195" cm="1">
        <f t="array" ref="AP8">_xlfn.LET(_xlpm.data,_xlfn._xlws.FILTER(Table9[Export Revenue Generated (USD) /Project Cost],ISNUMBER(Table9[Export Revenue Generated (USD) /Project Cost])*(Table9[Export Revenue Generated (USD) /Project Cost]&gt;0)*NOT(ISNUMBER(SEARCH("Agriculture",Table9[Sector])))*NOT(ISNUMBER(SEARCH("Mixed",Table9[Sector])))),_xlpm.med,MEDIAN(_xlpm.data),_xlpm.mad,MEDIAN(ABS(_xlpm.data-_xlpm.med)),SUMPRODUCT(--(ABS(_xlpm.data-_xlpm.med)&gt;2.5*_xlpm.mad))/COUNT(_xlpm.data))</f>
        <v>0</v>
      </c>
      <c r="AQ8" s="15" cm="1">
        <f t="array" ref="AQ8">_xlfn.LET(_xlpm.data,_xlfn._xlws.FILTER(Table9[Export Revenue Generated (USD) /Project Cost],ISNUMBER(Table9[Export Revenue Generated (USD) /Project Cost])*(Table9[Export Revenue Generated (USD) /Project Cost]&gt;0)*NOT(ISNUMBER(SEARCH("Agriculture",Table9[Sector])))*NOT(ISNUMBER(SEARCH("Mixed",Table9[Sector])))),_xlpm.med,MEDIAN(_xlpm.data),_xlpm.mad,MEDIAN(ABS(_xlpm.data-_xlpm.med)),SUMPRODUCT(--(ABS(_xlpm.data-_xlpm.med)&gt;2.5*_xlpm.mad)))</f>
        <v>0</v>
      </c>
      <c r="AR8" s="203" cm="1">
        <f t="array" ref="AR8">_xlfn.LET(_xlpm.data,_xlfn._xlws.FILTER(Table9[Export Revenue Generated (USD) /Project Cost],ISNUMBER(Table9[Export Revenue Generated (USD) /Project Cost])*(Table9[Export Revenue Generated (USD) /Project Cost]&gt;0)*NOT(ISNUMBER(SEARCH("Agriculture",Table9[Sector])))*NOT(ISNUMBER(SEARCH("Mixed",Table9[Sector])))),_xlpm.med,MEDIAN(_xlpm.data),_xlpm.mad,MEDIAN(ABS(_xlpm.data-_xlpm.med)),AVERAGE(_xlfn._xlws.FILTER(_xlpm.data,ABS(_xlpm.data-_xlpm.med)&lt;=2.5*_xlpm.mad)))</f>
        <v>79.736000000000004</v>
      </c>
      <c r="AS8" s="15">
        <f>AO8-AQ8</f>
        <v>1</v>
      </c>
      <c r="AU8" s="206" t="s">
        <v>634</v>
      </c>
      <c r="AV8" s="202" cm="1">
        <f t="array" ref="AV8">MEDIAN(_xlfn._xlws.FILTER(Table9[Job created per $Mn],ISNUMBER(Table9[Job created per $Mn])*(Table9[Job created per $Mn]&gt;0)*NOT(ISNUMBER(SEARCH("Agriculture",Table9[Sector])))*NOT(ISNUMBER(SEARCH("Mixed",Table9[Sector])))))</f>
        <v>296.63366336633658</v>
      </c>
      <c r="AW8" s="202" cm="1">
        <f t="array" ref="AW8">AVERAGE(_xlfn._xlws.FILTER(Table9[Job created per $Mn],ISNUMBER(Table9[Job created per $Mn])*(Table9[Job created per $Mn]&gt;0)*NOT(ISNUMBER(SEARCH("Agriculture",Table9[Sector])))*NOT(ISNUMBER(SEARCH("Mixed",Table9[Sector])))))</f>
        <v>2369.106037972454</v>
      </c>
      <c r="AX8" s="15" cm="1">
        <f t="array" ref="AX8">COUNT(_xlfn._xlws.FILTER(Table9[Job created per $Mn],ISNUMBER(Table9[Job created per $Mn])*(Table9[Job created per $Mn]&gt;0)*NOT(ISNUMBER(SEARCH("Agriculture",Table9[Sector])))*NOT(ISNUMBER(SEARCH("Mixed",Table9[Sector])))))</f>
        <v>5</v>
      </c>
      <c r="AY8" s="195" cm="1">
        <f t="array" ref="AY8">_xlfn.LET(_xlpm.data,_xlfn._xlws.FILTER(Table9[Job created per $Mn],ISNUMBER(Table9[Job created per $Mn])*(Table9[Job created per $Mn]&gt;0)*NOT(ISNUMBER(SEARCH("Agriculture",Table9[Sector])))*NOT(ISNUMBER(SEARCH("Mixed",Table9[Sector])))),_xlpm.med,MEDIAN(_xlpm.data),_xlpm.mad,MEDIAN(ABS(_xlpm.data-_xlpm.med)),SUMPRODUCT(--(ABS(_xlpm.data-_xlpm.med)&gt;2.5*_xlpm.mad))/COUNT(_xlpm.data))</f>
        <v>0.4</v>
      </c>
      <c r="AZ8" s="15" cm="1">
        <f t="array" ref="AZ8">_xlfn.LET(_xlpm.data,_xlfn._xlws.FILTER(Table9[Job created per $Mn],ISNUMBER(Table9[Job created per $Mn])*(Table9[Job created per $Mn]&gt;0)*NOT(ISNUMBER(SEARCH("Agriculture",Table9[Sector])))*NOT(ISNUMBER(SEARCH("Mixed",Table9[Sector])))),_xlpm.med,MEDIAN(_xlpm.data),_xlpm.mad,MEDIAN(ABS(_xlpm.data-_xlpm.med)),SUMPRODUCT(--(ABS(_xlpm.data-_xlpm.med)&gt;2.5*_xlpm.mad)))</f>
        <v>2</v>
      </c>
      <c r="BA8" s="202" cm="1">
        <f t="array" ref="BA8">_xlfn.LET(_xlpm.data,_xlfn._xlws.FILTER(Table9[Job created per $Mn],ISNUMBER(Table9[Job created per $Mn])*(Table9[Job created per $Mn]&gt;0)*NOT(ISNUMBER(SEARCH("Agriculture",Table9[Sector])))*NOT(ISNUMBER(SEARCH("Mixed",Table9[Sector])))),_xlpm.med,MEDIAN(_xlpm.data),_xlpm.mad,MEDIAN(ABS(_xlpm.data-_xlpm.med)),AVERAGE(_xlfn._xlws.FILTER(_xlpm.data,ABS(_xlpm.data-_xlpm.med)&lt;=2.5*_xlpm.mad)))</f>
        <v>276.91307603487616</v>
      </c>
      <c r="BB8" s="15">
        <f>AX8-AZ8</f>
        <v>3</v>
      </c>
      <c r="BD8" s="206" t="s">
        <v>634</v>
      </c>
      <c r="BE8" s="202" cm="1">
        <f t="array" ref="BE8">MEDIAN(_xlfn._xlws.FILTER(Table9[Job improved per $Mn],ISNUMBER(Table9[Job improved per $Mn])*(Table9[Job improved per $Mn]&gt;0)*NOT(ISNUMBER(SEARCH("Agriculture",Table9[Sector])))*NOT(ISNUMBER(SEARCH("Mixed",Table9[Sector])))))</f>
        <v>1195.569505719822</v>
      </c>
      <c r="BF8" s="202" cm="1">
        <f t="array" ref="BF8">AVERAGE(_xlfn._xlws.FILTER(Table9[Job improved per $Mn],ISNUMBER(Table9[Job improved per $Mn])*(Table9[Job improved per $Mn]&gt;0)*NOT(ISNUMBER(SEARCH("Agriculture",Table9[Sector])))*NOT(ISNUMBER(SEARCH("Mixed",Table9[Sector])))))</f>
        <v>1506.8016876018262</v>
      </c>
      <c r="BG8" s="15" cm="1">
        <f t="array" ref="BG8">COUNT(_xlfn._xlws.FILTER(Table9[Job improved per $Mn],ISNUMBER(Table9[Job improved per $Mn])*(Table9[Job improved per $Mn]&gt;0)*NOT(ISNUMBER(SEARCH("Agriculture",Table9[Sector])))*NOT(ISNUMBER(SEARCH("Mixed",Table9[Sector])))))</f>
        <v>5</v>
      </c>
      <c r="BH8" s="195" cm="1">
        <f t="array" ref="BH8">_xlfn.LET(_xlpm.data,_xlfn._xlws.FILTER(Table9[Job improved per $Mn],ISNUMBER(Table9[Job improved per $Mn])*(Table9[Job improved per $Mn]&gt;0)*NOT(ISNUMBER(SEARCH("Agriculture",Table9[Sector])))*NOT(ISNUMBER(SEARCH("Mixed",Table9[Sector])))),_xlpm.med,MEDIAN(_xlpm.data),_xlpm.mad,MEDIAN(ABS(_xlpm.data-_xlpm.med)),SUMPRODUCT(--(ABS(_xlpm.data-_xlpm.med)&gt;2.5*_xlpm.mad))/COUNT(_xlpm.data))</f>
        <v>0.2</v>
      </c>
      <c r="BI8" s="15" cm="1">
        <f t="array" ref="BI8">_xlfn.LET(_xlpm.data,_xlfn._xlws.FILTER(Table9[Job improved per $Mn],ISNUMBER(Table9[Job improved per $Mn])*(Table9[Job improved per $Mn]&gt;0)*NOT(ISNUMBER(SEARCH("Agriculture",Table9[Sector])))*NOT(ISNUMBER(SEARCH("Mixed",Table9[Sector])))),_xlpm.med,MEDIAN(_xlpm.data),_xlpm.mad,MEDIAN(ABS(_xlpm.data-_xlpm.med)),SUMPRODUCT(--(ABS(_xlpm.data-_xlpm.med)&gt;2.5*_xlpm.mad)))</f>
        <v>1</v>
      </c>
      <c r="BJ8" s="202" cm="1">
        <f t="array" ref="BJ8">_xlfn.LET(_xlpm.data,_xlfn._xlws.FILTER(Table9[Job improved per $Mn],ISNUMBER(Table9[Job improved per $Mn])*(Table9[Job improved per $Mn]&gt;0)*NOT(ISNUMBER(SEARCH("Agriculture",Table9[Sector])))*NOT(ISNUMBER(SEARCH("Mixed",Table9[Sector])))),_xlpm.med,MEDIAN(_xlpm.data),_xlpm.mad,MEDIAN(ABS(_xlpm.data-_xlpm.med)),AVERAGE(_xlfn._xlws.FILTER(_xlpm.data,ABS(_xlpm.data-_xlpm.med)&lt;=2.5*_xlpm.mad)))</f>
        <v>923.6686847750758</v>
      </c>
      <c r="BK8" s="15">
        <f>BG8-BI8</f>
        <v>4</v>
      </c>
      <c r="BM8" s="206" t="s">
        <v>634</v>
      </c>
      <c r="BN8" s="203" cm="1">
        <f t="array" ref="BN8">MEDIAN(_xlfn._xlws.FILTER(Table9[Beneficiary Income (USD) / Project Cost],ISNUMBER(Table9[Beneficiary Income (USD) / Project Cost])*(Table9[Beneficiary Income (USD) / Project Cost]&gt;0)*NOT(ISNUMBER(SEARCH("Agriculture",Table9[Sector])))*NOT(ISNUMBER(SEARCH("Mixed",Table9[Sector])))))</f>
        <v>1.0742828635910415</v>
      </c>
      <c r="BO8" s="203" cm="1">
        <f t="array" ref="BO8">AVERAGE(_xlfn._xlws.FILTER(Table9[Beneficiary Income (USD) / Project Cost],ISNUMBER(Table9[Beneficiary Income (USD) / Project Cost])*(Table9[Beneficiary Income (USD) / Project Cost]&gt;0)*NOT(ISNUMBER(SEARCH("Agriculture",Table9[Sector])))*NOT(ISNUMBER(SEARCH("Mixed",Table9[Sector])))))</f>
        <v>1.0742828635910415</v>
      </c>
      <c r="BP8" s="15" cm="1">
        <f t="array" ref="BP8">COUNT(_xlfn._xlws.FILTER(Table9[Beneficiary Income (USD) / Project Cost],ISNUMBER(Table9[Beneficiary Income (USD) / Project Cost])*(Table9[Beneficiary Income (USD) / Project Cost]&gt;0)*NOT(ISNUMBER(SEARCH("Agriculture",Table9[Sector])))*NOT(ISNUMBER(SEARCH("Mixed",Table9[Sector])))))</f>
        <v>2</v>
      </c>
      <c r="BQ8" s="195" cm="1">
        <f t="array" ref="BQ8">_xlfn.LET(_xlpm.data,_xlfn._xlws.FILTER(Table9[Beneficiary Income (USD) / Project Cost],ISNUMBER(Table9[Beneficiary Income (USD) / Project Cost])*(Table9[Beneficiary Income (USD) / Project Cost]&gt;0)*NOT(ISNUMBER(SEARCH("Agriculture",Table9[Sector])))*NOT(ISNUMBER(SEARCH("Mixed",Table9[Sector])))),_xlpm.med,MEDIAN(_xlpm.data),_xlpm.mad,MEDIAN(ABS(_xlpm.data-_xlpm.med)),SUMPRODUCT(--(ABS(_xlpm.data-_xlpm.med)&gt;2.5*_xlpm.mad))/COUNT(_xlpm.data))</f>
        <v>0</v>
      </c>
      <c r="BR8" s="15" cm="1">
        <f t="array" ref="BR8">_xlfn.LET(_xlpm.data,_xlfn._xlws.FILTER(Table9[Beneficiary Income (USD) / Project Cost],ISNUMBER(Table9[Beneficiary Income (USD) / Project Cost])*(Table9[Beneficiary Income (USD) / Project Cost]&gt;0)*NOT(ISNUMBER(SEARCH("Agriculture",Table9[Sector])))*NOT(ISNUMBER(SEARCH("Mixed",Table9[Sector])))),_xlpm.med,MEDIAN(_xlpm.data),_xlpm.mad,MEDIAN(ABS(_xlpm.data-_xlpm.med)),SUMPRODUCT(--(ABS(_xlpm.data-_xlpm.med)&gt;2.5*_xlpm.mad)))</f>
        <v>0</v>
      </c>
      <c r="BS8" s="203" cm="1">
        <f t="array" ref="BS8">_xlfn.LET(_xlpm.data,_xlfn._xlws.FILTER(Table9[Beneficiary Income (USD) / Project Cost],ISNUMBER(Table9[Beneficiary Income (USD) / Project Cost])*(Table9[Beneficiary Income (USD) / Project Cost]&gt;0)*NOT(ISNUMBER(SEARCH("Agriculture",Table9[Sector])))*NOT(ISNUMBER(SEARCH("Mixed",Table9[Sector])))),_xlpm.med,MEDIAN(_xlpm.data),_xlpm.mad,MEDIAN(ABS(_xlpm.data-_xlpm.med)),AVERAGE(_xlfn._xlws.FILTER(_xlpm.data,ABS(_xlpm.data-_xlpm.med)&lt;=2.5*_xlpm.mad)))</f>
        <v>1.0742828635910415</v>
      </c>
      <c r="BT8" s="15">
        <f>BP8-BR8</f>
        <v>2</v>
      </c>
    </row>
    <row r="9" spans="2:72" x14ac:dyDescent="0.25">
      <c r="B9" s="373" t="s">
        <v>635</v>
      </c>
      <c r="C9" s="373"/>
      <c r="D9" s="373"/>
      <c r="E9" s="373"/>
      <c r="F9" s="373"/>
      <c r="G9" s="373"/>
      <c r="H9" s="373"/>
      <c r="I9" s="373"/>
      <c r="J9" s="417"/>
      <c r="K9" s="373" t="s">
        <v>635</v>
      </c>
      <c r="L9" s="373"/>
      <c r="M9" s="373"/>
      <c r="N9" s="373"/>
      <c r="O9" s="420"/>
      <c r="P9" s="373"/>
      <c r="Q9" s="373"/>
      <c r="R9" s="373"/>
      <c r="S9" s="417"/>
      <c r="T9" s="373" t="s">
        <v>635</v>
      </c>
      <c r="U9" s="373"/>
      <c r="V9" s="373"/>
      <c r="W9" s="373"/>
      <c r="X9" s="373"/>
      <c r="Y9" s="373"/>
      <c r="Z9" s="373"/>
      <c r="AA9" s="373"/>
      <c r="AB9" s="417"/>
      <c r="AC9" s="373" t="s">
        <v>635</v>
      </c>
      <c r="AD9" s="373"/>
      <c r="AE9" s="373"/>
      <c r="AF9" s="373"/>
      <c r="AG9" s="373"/>
      <c r="AH9" s="373"/>
      <c r="AI9" s="373"/>
      <c r="AJ9" s="373"/>
      <c r="AK9" s="417"/>
      <c r="AL9" s="373" t="s">
        <v>635</v>
      </c>
      <c r="AM9" s="373"/>
      <c r="AN9" s="373"/>
      <c r="AO9" s="373"/>
      <c r="AP9" s="373"/>
      <c r="AQ9" s="373"/>
      <c r="AR9" s="373"/>
      <c r="AS9" s="373"/>
      <c r="AT9" s="417"/>
      <c r="AU9" s="373" t="s">
        <v>635</v>
      </c>
      <c r="AV9" s="373"/>
      <c r="AW9" s="373"/>
      <c r="AX9" s="373"/>
      <c r="AY9" s="373"/>
      <c r="AZ9" s="373"/>
      <c r="BA9" s="373"/>
      <c r="BB9" s="373"/>
      <c r="BC9" s="417"/>
      <c r="BD9" s="373" t="s">
        <v>635</v>
      </c>
      <c r="BE9" s="373"/>
      <c r="BF9" s="373"/>
      <c r="BG9" s="373"/>
      <c r="BH9" s="420"/>
      <c r="BI9" s="373"/>
      <c r="BJ9" s="373"/>
      <c r="BK9" s="373"/>
      <c r="BL9" s="417"/>
      <c r="BM9" s="373" t="s">
        <v>635</v>
      </c>
      <c r="BN9" s="373"/>
      <c r="BO9" s="373"/>
      <c r="BP9" s="373"/>
      <c r="BQ9" s="420"/>
      <c r="BR9" s="373"/>
      <c r="BS9" s="373"/>
      <c r="BT9" s="373"/>
    </row>
    <row r="10" spans="2:72" x14ac:dyDescent="0.25">
      <c r="B10" s="206" t="s">
        <v>716</v>
      </c>
      <c r="C10" s="344">
        <f t="array" ref="C10">MEDIAN(_xlfn._xlws.FILTER(Table9[Income per beneficiary (USD)],(Table9[Income per beneficiary (USD)]&gt;0)*(Table9[Programme Length]&gt;=9)))</f>
        <v>188.66995073891621</v>
      </c>
      <c r="D10" s="344">
        <f t="array" ref="D10">AVERAGE(_xlfn._xlws.FILTER(Table9[Income per beneficiary (USD)],(Table9[Income per beneficiary (USD)]&gt;0)*(Table9[Programme Length]&gt;=9)))</f>
        <v>437.42477921476103</v>
      </c>
      <c r="E10" s="261">
        <f>COUNTIFS(Table9[Income per beneficiary (USD)],"&gt;0",Table9[Programme Length],"&gt;=9")</f>
        <v>9</v>
      </c>
      <c r="F10" s="343">
        <f t="array" ref="F10">_xlfn.LET(
_xlpm.data,_xlfn._xlws.FILTER(
Table9[Income per beneficiary (USD)],
(Table9[Income per beneficiary (USD)]&gt;0)*
(Table9[Programme Length]&gt;=9)
),
_xlpm.med,MEDIAN(_xlpm.data),
_xlpm.mad,MEDIAN(ABS(_xlpm.data-_xlpm.med)),
SUMPRODUCT(--(ABS(_xlpm.data-_xlpm.med)&gt;2.5*_xlpm.mad))/COUNT(_xlpm.data)
)</f>
        <v>0.22222222222222221</v>
      </c>
      <c r="G10" s="346">
        <f t="array" ref="G10">_xlfn.LET(
_xlpm.data,_xlfn._xlws.FILTER(
Table9[Income per beneficiary (USD)],
(Table9[Income per beneficiary (USD)]&gt;0)*
(Table9[Programme Length]&gt;=9)
),
_xlpm.med,MEDIAN(_xlpm.data),
_xlpm.mad,MEDIAN(ABS(_xlpm.data-_xlpm.med)),
SUMPRODUCT(--(ABS(_xlpm.data-_xlpm.med)&gt;2.5*_xlpm.mad))
)</f>
        <v>2</v>
      </c>
      <c r="H10" s="344">
        <f t="array" ref="H10">_xlfn.LET(
_xlpm.data,_xlfn._xlws.FILTER(
Table9[Income per beneficiary (USD)],
(Table9[Income per beneficiary (USD)]&gt;0)*
(Table9[Programme Length]&gt;=9)
),
_xlpm.med,MEDIAN(_xlpm.data),
_xlpm.mad,MEDIAN(ABS(_xlpm.data-_xlpm.med)),
AVERAGE(_xlfn._xlws.FILTER(_xlpm.data,ABS(_xlpm.data-_xlpm.med)&lt;=2.5*_xlpm.mad))
)</f>
        <v>197.98268201646579</v>
      </c>
      <c r="I10" s="202">
        <f>E10-G10</f>
        <v>7</v>
      </c>
      <c r="J10" s="130"/>
      <c r="K10" s="206" t="s">
        <v>716</v>
      </c>
      <c r="L10" s="371">
        <f t="array" ref="L10">MEDIAN(
_xlfn._xlws.FILTER(
Table9[Normalised Income Impact Ratio],
ISNUMBER(Table9[Normalised Income Impact Ratio])*
(Table9[Normalised Income Impact Ratio]&gt;0)*
(Table9[Programme Length]&gt;=9)
)
)</f>
        <v>2.6493124495294999E-2</v>
      </c>
      <c r="M10" s="371">
        <f t="array" ref="M10">AVERAGE(
_xlfn._xlws.FILTER(
Table9[Normalised Income Impact Ratio],
ISNUMBER(Table9[Normalised Income Impact Ratio])*
(Table9[Normalised Income Impact Ratio]&gt;0)*
(Table9[Programme Length]&gt;=9)
)
)</f>
        <v>0.1053341945378003</v>
      </c>
      <c r="N10" s="344">
        <f>COUNTIFS(
Table9[Normalised Income Impact Ratio],"&gt;0",
Table9[Programme Length],"&gt;=9"
)</f>
        <v>9</v>
      </c>
      <c r="O10" s="343">
        <f t="array" ref="O10">_xlfn.LET(
_xlpm.data,_xlfn._xlws.FILTER(
Table9[Normalised Income Impact Ratio],
ISNUMBER(Table9[Normalised Income Impact Ratio])*
(Table9[Normalised Income Impact Ratio]&gt;0)*
(Table9[Programme Length]&gt;=9)
),
_xlpm.med,MEDIAN(_xlpm.data),
_xlpm.mad,MEDIAN(ABS(_xlpm.data-_xlpm.med)),
SUMPRODUCT(--(ABS(_xlpm.data-_xlpm.med)&gt;2.5*_xlpm.mad))/COUNT(_xlpm.data)
)</f>
        <v>0.33333333333333331</v>
      </c>
      <c r="P10" s="344">
        <f t="array" ref="P10">_xlfn.LET(
_xlpm.data,_xlfn._xlws.FILTER(
Table9[Normalised Income Impact Ratio],
ISNUMBER(Table9[Normalised Income Impact Ratio])*
(Table9[Normalised Income Impact Ratio]&gt;0)*
(Table9[Programme Length]&gt;=9)
),
_xlpm.med,MEDIAN(_xlpm.data),
_xlpm.mad,MEDIAN(ABS(_xlpm.data-_xlpm.med)),
SUMPRODUCT(--(ABS(_xlpm.data-_xlpm.med)&gt;2.5*_xlpm.mad))
)</f>
        <v>3</v>
      </c>
      <c r="Q10" s="371">
        <f t="array" ref="Q10">_xlfn.LET(
_xlpm.data,_xlfn._xlws.FILTER(
Table9[Normalised Income Impact Ratio],
ISNUMBER(Table9[Normalised Income Impact Ratio])*
(Table9[Normalised Income Impact Ratio]&gt;0)*
(Table9[Programme Length]&gt;=9)
),
_xlpm.med,MEDIAN(_xlpm.data),
_xlpm.mad,MEDIAN(ABS(_xlpm.data-_xlpm.med)),
AVERAGE(_xlfn._xlws.FILTER(_xlpm.data,ABS(_xlpm.data-_xlpm.med)&lt;=2.5*_xlpm.mad))
)</f>
        <v>1.9854915260853125E-2</v>
      </c>
      <c r="R10" s="344">
        <f>N10-P10</f>
        <v>6</v>
      </c>
      <c r="S10" s="421"/>
      <c r="T10" s="206" t="s">
        <v>716</v>
      </c>
      <c r="U10" s="371">
        <f t="array" ref="U10">MEDIAN(
_xlfn._xlws.FILTER(
Table9[Private Sector Investment (USD) / Project cost ],
ISNUMBER(Table9[Private Sector Investment (USD) / Project cost ])*
(Table9[Private Sector Investment (USD) / Project cost ]&gt;0)*
(Table9[Programme Length]&gt;=9)
)
)</f>
        <v>0.48221049077583339</v>
      </c>
      <c r="V10" s="371">
        <f t="array" ref="V10">AVERAGE(
_xlfn._xlws.FILTER(
Table9[Private Sector Investment (USD) / Project cost ],
ISNUMBER(Table9[Private Sector Investment (USD) / Project cost ])*
(Table9[Private Sector Investment (USD) / Project cost ]&gt;0)*
(Table9[Programme Length]&gt;=9)
)
)</f>
        <v>0.57602249647158232</v>
      </c>
      <c r="W10" s="261">
        <f>COUNTIFS(
Table9[Private Sector Investment (USD) / Project cost ],"&gt;0",
Table9[Programme Length],"&gt;=9"
)</f>
        <v>7</v>
      </c>
      <c r="X10" s="343">
        <f t="array" ref="X10">_xlfn.LET(
_xlpm.data,_xlfn._xlws.FILTER(
Table9[Private Sector Investment (USD) / Project cost ],
ISNUMBER(Table9[Private Sector Investment (USD) / Project cost ])*
(Table9[Private Sector Investment (USD) / Project cost ]&gt;0)*
(Table9[Programme Length]&gt;=9)
),
_xlpm.med,MEDIAN(_xlpm.data),
_xlpm.mad,MEDIAN(ABS(_xlpm.data-_xlpm.med)),
SUMPRODUCT(--(ABS(_xlpm.data-_xlpm.med)&gt;2.5*_xlpm.mad))/COUNT(_xlpm.data)
)</f>
        <v>0.14285714285714285</v>
      </c>
      <c r="Y10" s="261">
        <f t="array" ref="Y10">_xlfn.LET(
_xlpm.data,_xlfn._xlws.FILTER(
Table9[Private Sector Investment (USD) / Project cost ],
ISNUMBER(Table9[Private Sector Investment (USD) / Project cost ])*
(Table9[Private Sector Investment (USD) / Project cost ]&gt;0)*
(Table9[Programme Length]&gt;=9)
),
_xlpm.med,MEDIAN(_xlpm.data),
_xlpm.mad,MEDIAN(ABS(_xlpm.data-_xlpm.med)),
SUMPRODUCT(--(ABS(_xlpm.data-_xlpm.med)&gt;2.5*_xlpm.mad))
)</f>
        <v>1</v>
      </c>
      <c r="Z10" s="371">
        <f t="array" ref="Z10">_xlfn.LET(
_xlpm.data,_xlfn._xlws.FILTER(
Table9[Private Sector Investment (USD) / Project cost ],
ISNUMBER(Table9[Private Sector Investment (USD) / Project cost ])*
(Table9[Private Sector Investment (USD) / Project cost ]&gt;0)*
(Table9[Programme Length]&gt;=9)
),
_xlpm.med,MEDIAN(_xlpm.data),
_xlpm.mad,MEDIAN(ABS(_xlpm.data-_xlpm.med)),
AVERAGE(_xlfn._xlws.FILTER(_xlpm.data,ABS(_xlpm.data-_xlpm.med)&lt;=2.5*_xlpm.mad))
)</f>
        <v>0.4342926189260185</v>
      </c>
      <c r="AA10" s="261">
        <f>W10-Y10</f>
        <v>6</v>
      </c>
      <c r="AB10" s="422"/>
      <c r="AC10" s="206" t="s">
        <v>716</v>
      </c>
      <c r="AD10" s="371">
        <f t="array" ref="AD10">MEDIAN(
_xlfn._xlws.FILTER(
Table9[Private Sector Revenues Generated (USD) / Project cost],
ISNUMBER(Table9[Private Sector Revenues Generated (USD) / Project cost])*
(Table9[Private Sector Revenues Generated (USD) / Project cost]&gt;0)*
(Table9[Programme Length]&gt;=9)
)
)</f>
        <v>0.48617511520737328</v>
      </c>
      <c r="AE10" s="371">
        <f t="array" ref="AE10">AVERAGE(
_xlfn._xlws.FILTER(
Table9[Private Sector Revenues Generated (USD) / Project cost],
ISNUMBER(Table9[Private Sector Revenues Generated (USD) / Project cost])*
(Table9[Private Sector Revenues Generated (USD) / Project cost]&gt;0)*
(Table9[Programme Length]&gt;=9)
)
)</f>
        <v>2.4156043735061772</v>
      </c>
      <c r="AF10" s="261">
        <f>COUNTIFS(
Table9[Private Sector Revenues Generated (USD) / Project cost],"&gt;0",
Table9[Programme Length],"&gt;=9"
)</f>
        <v>7</v>
      </c>
      <c r="AG10" s="343">
        <f t="array" ref="AG10">_xlfn.LET(
_xlpm.data,_xlfn._xlws.FILTER(
Table9[Private Sector Revenues Generated (USD) / Project cost],
ISNUMBER(Table9[Private Sector Revenues Generated (USD) / Project cost])*
(Table9[Private Sector Revenues Generated (USD) / Project cost]&gt;0)*
(Table9[Programme Length]&gt;=9)
),
_xlpm.med,MEDIAN(_xlpm.data),
_xlpm.mad,MEDIAN(ABS(_xlpm.data-_xlpm.med)),
SUMPRODUCT(--(ABS(_xlpm.data-_xlpm.med)&gt;2.5*_xlpm.mad))/COUNT(_xlpm.data)
)</f>
        <v>0.42857142857142855</v>
      </c>
      <c r="AH10" s="261">
        <f t="array" ref="AH10">_xlfn.LET(
_xlpm.data,_xlfn._xlws.FILTER(
Table9[Private Sector Revenues Generated (USD) / Project cost],
ISNUMBER(Table9[Private Sector Revenues Generated (USD) / Project cost])*
(Table9[Private Sector Revenues Generated (USD) / Project cost]&gt;0)*
(Table9[Programme Length]&gt;=9)
),
_xlpm.med,MEDIAN(_xlpm.data),
_xlpm.mad,MEDIAN(ABS(_xlpm.data-_xlpm.med)),
SUMPRODUCT(--(ABS(_xlpm.data-_xlpm.med)&gt;2.5*_xlpm.mad))
)</f>
        <v>3</v>
      </c>
      <c r="AI10" s="371">
        <f t="array" ref="AI10">_xlfn.LET(
_xlpm.data,_xlfn._xlws.FILTER(
Table9[Private Sector Revenues Generated (USD) / Project cost],
ISNUMBER(Table9[Private Sector Revenues Generated (USD) / Project cost])*
(Table9[Private Sector Revenues Generated (USD) / Project cost]&gt;0)*
(Table9[Programme Length]&gt;=9)
),
_xlpm.med,MEDIAN(_xlpm.data),
_xlpm.mad,MEDIAN(ABS(_xlpm.data-_xlpm.med)),
AVERAGE(_xlfn._xlws.FILTER(_xlpm.data,ABS(_xlpm.data-_xlpm.med)&lt;=2.5*_xlpm.mad))
)</f>
        <v>0.21346738366232937</v>
      </c>
      <c r="AJ10" s="15">
        <f>AF10-AH10</f>
        <v>4</v>
      </c>
      <c r="AL10" s="206" t="s">
        <v>716</v>
      </c>
      <c r="AM10" s="371">
        <f t="array" ref="AM10">MEDIAN(
_xlfn._xlws.FILTER(
Table9[Export Revenue Generated (USD) /Project Cost],
ISNUMBER(Table9[Export Revenue Generated (USD) /Project Cost])*
(Table9[Export Revenue Generated (USD) /Project Cost]&gt;0)*
(Table9[Programme Length]&gt;=9)
)
)</f>
        <v>0.1606363636363636</v>
      </c>
      <c r="AN10" s="371">
        <f t="array" ref="AN10">AVERAGE(
_xlfn._xlws.FILTER(
Table9[Export Revenue Generated (USD) /Project Cost],
ISNUMBER(Table9[Export Revenue Generated (USD) /Project Cost])*
(Table9[Export Revenue Generated (USD) /Project Cost]&gt;0)*
(Table9[Programme Length]&gt;=9)
)
)</f>
        <v>0.21410421197335974</v>
      </c>
      <c r="AO10" s="261">
        <f>COUNTIFS(
Table9[Export Revenue Generated (USD) /Project Cost],"&gt;0",
Table9[Programme Length],"&gt;=9"
)</f>
        <v>3</v>
      </c>
      <c r="AP10" s="343">
        <f t="array" ref="AP10">_xlfn.LET(
_xlpm.data,_xlfn._xlws.FILTER(
Table9[Export Revenue Generated (USD) /Project Cost],
ISNUMBER(Table9[Export Revenue Generated (USD) /Project Cost])*
(Table9[Export Revenue Generated (USD) /Project Cost]&gt;0)*
(Table9[Programme Length]&gt;=9)
),
_xlpm.med,MEDIAN(_xlpm.data),
_xlpm.mad,MEDIAN(ABS(_xlpm.data-_xlpm.med)),
SUMPRODUCT(--(ABS(_xlpm.data-_xlpm.med)&gt;2.5*_xlpm.mad))/COUNT(_xlpm.data)
)</f>
        <v>0</v>
      </c>
      <c r="AQ10" s="261">
        <f t="array" ref="AQ10">_xlfn.LET(
_xlpm.data,_xlfn._xlws.FILTER(
Table9[Export Revenue Generated (USD) /Project Cost],
ISNUMBER(Table9[Export Revenue Generated (USD) /Project Cost])*
(Table9[Export Revenue Generated (USD) /Project Cost]&gt;0)*
(Table9[Programme Length]&gt;=9)
),
_xlpm.med,MEDIAN(_xlpm.data),
_xlpm.mad,MEDIAN(ABS(_xlpm.data-_xlpm.med)),
SUMPRODUCT(--(ABS(_xlpm.data-_xlpm.med)&gt;2.5*_xlpm.mad))
)</f>
        <v>0</v>
      </c>
      <c r="AR10" s="371">
        <f t="array" ref="AR10">_xlfn.LET(
_xlpm.data,_xlfn._xlws.FILTER(
Table9[Export Revenue Generated (USD) /Project Cost],
ISNUMBER(Table9[Export Revenue Generated (USD) /Project Cost])*
(Table9[Export Revenue Generated (USD) /Project Cost]&gt;0)*
(Table9[Programme Length]&gt;=9)
),
_xlpm.med,MEDIAN(_xlpm.data),
_xlpm.mad,MEDIAN(ABS(_xlpm.data-_xlpm.med)),
AVERAGE(_xlfn._xlws.FILTER(_xlpm.data,ABS(_xlpm.data-_xlpm.med)&lt;=2.5*_xlpm.mad))
)</f>
        <v>0.21410421197335974</v>
      </c>
      <c r="AS10" s="15">
        <f>AO10-AQ10</f>
        <v>3</v>
      </c>
      <c r="AU10" s="206" t="s">
        <v>716</v>
      </c>
      <c r="AV10" s="344">
        <f t="array" ref="AV10">MEDIAN(_xlfn._xlws.FILTER(Table9[Job created per $Mn],ISNUMBER(Table9[Job created per $Mn])*(Table9[Job created per $Mn]&gt;0)*(Table9[Programme Length]&gt;=9)))</f>
        <v>232.73108176739458</v>
      </c>
      <c r="AW10" s="344">
        <f t="array" ref="AW10">AVERAGE(_xlfn._xlws.FILTER(Table9[Job created per $Mn],ISNUMBER(Table9[Job created per $Mn])*(Table9[Job created per $Mn]&gt;0)*(Table9[Programme Length]&gt;=9)))</f>
        <v>461.46649010492717</v>
      </c>
      <c r="AX10" s="261">
        <f>COUNTIFS(Table9[Job created per $Mn],"&gt;0",Table9[Programme Length],"&gt;=9")</f>
        <v>8</v>
      </c>
      <c r="AY10" s="343">
        <f t="array" ref="AY10">_xlfn.LET(
_xlpm.data,_xlfn._xlws.FILTER(Table9[Job created per $Mn],
ISNUMBER(Table9[Job created per $Mn])*
(Table9[Job created per $Mn]&gt;0)*
(Table9[Programme Length]&gt;=9)),
_xlpm.med,MEDIAN(_xlpm.data),
_xlpm.mad,MEDIAN(ABS(_xlpm.data-_xlpm.med)),
SUMPRODUCT(--(ABS(_xlpm.data-_xlpm.med)&gt;2.5*_xlpm.mad))/COUNT(_xlpm.data)
)</f>
        <v>0.125</v>
      </c>
      <c r="AZ10" s="261">
        <f t="array" ref="AZ10">_xlfn.LET(
_xlpm.data,_xlfn._xlws.FILTER(
Table9[Job created per $Mn],
ISNUMBER(Table9[Job created per $Mn])*
(Table9[Job created per $Mn]&gt;0)*
(Table9[Programme Length]&gt;=9)
),
_xlpm.med,MEDIAN(_xlpm.data),
_xlpm.mad,MEDIAN(ABS(_xlpm.data-_xlpm.med)),
SUMPRODUCT(--(ABS(_xlpm.data-_xlpm.med)&gt;2.5*_xlpm.mad))
)</f>
        <v>1</v>
      </c>
      <c r="BA10" s="344">
        <f t="array" ref="BA10">_xlfn.LET(
_xlpm.data,_xlfn._xlws.FILTER(
Table9[Job created per $Mn],
ISNUMBER(Table9[Job created per $Mn])*
(Table9[Job created per $Mn]&gt;0)*
(Table9[Programme Length]&gt;=9)
),
_xlpm.med,MEDIAN(_xlpm.data),
_xlpm.mad,MEDIAN(ABS(_xlpm.data-_xlpm.med)),
AVERAGE(_xlfn._xlws.FILTER(_xlpm.data,ABS(_xlpm.data-_xlpm.med)&lt;=2.5*_xlpm.mad))
)</f>
        <v>178.95821865650223</v>
      </c>
      <c r="BB10" s="15">
        <f>AX10-AZ10</f>
        <v>7</v>
      </c>
      <c r="BD10" s="206" t="s">
        <v>716</v>
      </c>
      <c r="BE10" s="344">
        <f t="array" ref="BE10">MEDIAN(
_xlfn._xlws.FILTER(
Table9[Job improved per $Mn],
ISNUMBER(Table9[Job improved per $Mn])*
(Table9[Job improved per $Mn]&gt;0)*
(Table9[Programme Length]&gt;=9)
)
)</f>
        <v>3050.909090909091</v>
      </c>
      <c r="BF10" s="344">
        <f t="array" ref="BF10">AVERAGE(
_xlfn._xlws.FILTER(
Table9[Job improved per $Mn],
ISNUMBER(Table9[Job improved per $Mn])*
(Table9[Job improved per $Mn]&gt;0)*
(Table9[Programme Length]&gt;=9)
)
)</f>
        <v>7397.3818538683145</v>
      </c>
      <c r="BG10" s="261">
        <f>COUNTIFS(
Table9[Job improved per $Mn],"&gt;0",
Table9[Programme Length],"&gt;=9"
)</f>
        <v>12</v>
      </c>
      <c r="BH10" s="343">
        <f t="array" ref="BH10">_xlfn.LET(
_xlpm.data,
_xlfn._xlws.FILTER(
Table9[Job improved per $Mn],
ISNUMBER(Table9[Job improved per $Mn])*
(Table9[Job improved per $Mn]&gt;0)*
(Table9[Programme Length]&gt;=9)
),
_xlpm.med,
MEDIAN(_xlpm.data),
_xlpm.mad,
MEDIAN(ABS(_xlpm.data-_xlpm.med)),
SUMPRODUCT(--(ABS(_xlpm.data-_xlpm.med)&gt;2.5*_xlpm.mad))/COUNT(_xlpm.data)
)</f>
        <v>0.25</v>
      </c>
      <c r="BI10" s="261">
        <f t="array" ref="BI10">_xlfn.LET(
_xlpm.data,
_xlfn._xlws.FILTER(
Table9[Job improved per $Mn],
ISNUMBER(Table9[Job improved per $Mn])*
(Table9[Job improved per $Mn]&gt;0)*
(Table9[Programme Length]&gt;=9)
),
_xlpm.med,
MEDIAN(_xlpm.data),
_xlpm.mad,
MEDIAN(ABS(_xlpm.data-_xlpm.med)),
SUMPRODUCT(--(ABS(_xlpm.data-_xlpm.med)&gt;2.5*_xlpm.mad))
)</f>
        <v>3</v>
      </c>
      <c r="BJ10" s="344">
        <f t="array" ref="BJ10">_xlfn.LET(
_xlpm.data,
_xlfn._xlws.FILTER(
Table9[Job improved per $Mn],
ISNUMBER(Table9[Job improved per $Mn])*
(Table9[Job improved per $Mn]&gt;0)*
(Table9[Programme Length]&gt;=9)
),
_xlpm.med,
MEDIAN(_xlpm.data),
_xlpm.mad,
MEDIAN(ABS(_xlpm.data-_xlpm.med)),
AVERAGE(
_xlfn._xlws.FILTER(
_xlpm.data,
ABS(_xlpm.data-_xlpm.med)&lt;=2.5*_xlpm.mad
)
)
)</f>
        <v>2709.7043391719071</v>
      </c>
      <c r="BK10" s="15">
        <f>BG10-BI10</f>
        <v>9</v>
      </c>
      <c r="BM10" s="206" t="s">
        <v>716</v>
      </c>
      <c r="BN10" s="371">
        <f t="array" ref="BN10">MEDIAN(
_xlfn._xlws.FILTER(
Table9[Beneficiary Income (USD) / Project Cost],
ISNUMBER(Table9[Beneficiary Income (USD) / Project Cost])*
(Table9[Beneficiary Income (USD) / Project Cost]&gt;0)*
(Table9[Programme Length]&gt;=9)
)
)</f>
        <v>1.583870967741936</v>
      </c>
      <c r="BO10" s="371">
        <f t="array" ref="BO10">AVERAGE(
_xlfn._xlws.FILTER(
Table9[Beneficiary Income (USD) / Project Cost],
ISNUMBER(Table9[Beneficiary Income (USD) / Project Cost])*
(Table9[Beneficiary Income (USD) / Project Cost]&gt;0)*
(Table9[Programme Length]&gt;=9)
)
)</f>
        <v>1.5220389449481746</v>
      </c>
      <c r="BP10" s="261">
        <f>COUNTIFS(
Table9[Beneficiary Income (USD) / Project Cost],"&gt;0",
Table9[Programme Length],"&gt;=9"
)</f>
        <v>9</v>
      </c>
      <c r="BQ10" s="195">
        <f t="array" ref="BQ10">_xlfn.LET(
_xlpm.data,
_xlfn._xlws.FILTER(
Table9[Beneficiary Income (USD) / Project Cost],
ISNUMBER(Table9[Beneficiary Income (USD) / Project Cost])*
(Table9[Beneficiary Income (USD) / Project Cost]&gt;0)*
(Table9[Programme Length]&gt;=9)
),
_xlpm.med,
MEDIAN(_xlpm.data),
_xlpm.mad,
MEDIAN(ABS(_xlpm.data-_xlpm.med)),
SUMPRODUCT(--(ABS(_xlpm.data-_xlpm.med)&gt;2.5*_xlpm.mad))/COUNT(_xlpm.data)
)</f>
        <v>0.1111111111111111</v>
      </c>
      <c r="BR10" s="15">
        <f t="array" ref="BR10">_xlfn.LET(
_xlpm.data,
_xlfn._xlws.FILTER(
Table9[Beneficiary Income (USD) / Project Cost],
ISNUMBER(Table9[Beneficiary Income (USD) / Project Cost])*
(Table9[Beneficiary Income (USD) / Project Cost]&gt;0)*
(Table9[Programme Length]&gt;=9)
),
_xlpm.med,
MEDIAN(_xlpm.data),
_xlpm.mad,
MEDIAN(ABS(_xlpm.data-_xlpm.med)),
SUMPRODUCT(--(ABS(_xlpm.data-_xlpm.med)&gt;2.5*_xlpm.mad))
)</f>
        <v>1</v>
      </c>
      <c r="BS10" s="203">
        <f t="array" ref="BS10">_xlfn.LET(
_xlpm.data,
_xlfn._xlws.FILTER(
Table9[Beneficiary Income (USD) / Project Cost],
ISNUMBER(Table9[Beneficiary Income (USD) / Project Cost])*
(Table9[Beneficiary Income (USD) / Project Cost]&gt;0)*
(Table9[Programme Length]&gt;=9)
),
_xlpm.med,
MEDIAN(_xlpm.data),
_xlpm.mad,
MEDIAN(ABS(_xlpm.data-_xlpm.med)),
AVERAGE(
_xlfn._xlws.FILTER(
_xlpm.data,
ABS(_xlpm.data-_xlpm.med)&lt;=2.5*_xlpm.mad
)
)
)</f>
        <v>1.6342597221576054</v>
      </c>
      <c r="BT10" s="15">
        <f>BP10-BR10</f>
        <v>8</v>
      </c>
    </row>
    <row r="11" spans="2:72" x14ac:dyDescent="0.25">
      <c r="B11" s="206" t="s">
        <v>717</v>
      </c>
      <c r="C11" s="202">
        <f t="array" ref="C11">MEDIAN(_xlfn._xlws.FILTER(Table9[Income per beneficiary (USD)],(Table9[Income per beneficiary (USD)]&gt;0)*(Table9[Programme Length]&gt;4)*(Table9[Programme Length]&lt;=8)))</f>
        <v>117.60204960463879</v>
      </c>
      <c r="D11" s="202">
        <f t="array" ref="D11">AVERAGE(_xlfn._xlws.FILTER(Table9[Income per beneficiary (USD)],(Table9[Income per beneficiary (USD)]&gt;0)*(Table9[Programme Length]&gt;4)*(Table9[Programme Length]&lt;=8)))</f>
        <v>625.21690283838859</v>
      </c>
      <c r="E11" s="15">
        <f>COUNTIFS(Table9[Income per beneficiary (USD)],"&gt;0",Table9[Programme Length],"&gt;4",Table9[Programme Length],"&lt;=8")</f>
        <v>17</v>
      </c>
      <c r="F11" s="195">
        <f t="array" ref="F11">_xlfn.LET(
_xlpm.data,_xlfn._xlws.FILTER(
Table9[Income per beneficiary (USD)],
(Table9[Income per beneficiary (USD)]&gt;0)*
(Table9[Programme Length]&gt;4)*
(Table9[Programme Length]&lt;=8)
),
_xlpm.med,MEDIAN(_xlpm.data),
_xlpm.mad,MEDIAN(ABS(_xlpm.data-_xlpm.med)),
SUMPRODUCT(--(ABS(_xlpm.data-_xlpm.med)&gt;2.5*_xlpm.mad))/COUNT(_xlpm.data)
)</f>
        <v>0.35294117647058826</v>
      </c>
      <c r="G11" s="15">
        <f t="array" ref="G11">_xlfn.LET(
_xlpm.data,_xlfn._xlws.FILTER(
Table9[Income per beneficiary (USD)],
(Table9[Income per beneficiary (USD)]&gt;0)*
(Table9[Programme Length]&gt;4)*
(Table9[Programme Length]&lt;=8)
),
_xlpm.med,MEDIAN(_xlpm.data),
_xlpm.mad,MEDIAN(ABS(_xlpm.data-_xlpm.med)),
SUMPRODUCT(--(ABS(_xlpm.data-_xlpm.med)&gt;2.5*_xlpm.mad))
)</f>
        <v>6</v>
      </c>
      <c r="H11" s="202">
        <f t="array" ref="H11">_xlfn.LET(
_xlpm.data,_xlfn._xlws.FILTER(
Table9[Income per beneficiary (USD)],
(Table9[Income per beneficiary (USD)]&gt;0)*
(Table9[Programme Length]&gt;4)*
(Table9[Programme Length]&lt;=8)
),
_xlpm.med,MEDIAN(_xlpm.data),
_xlpm.mad,MEDIAN(ABS(_xlpm.data-_xlpm.med)),
AVERAGE(_xlfn._xlws.FILTER(_xlpm.data,ABS(_xlpm.data-_xlpm.med)&lt;=2.5*_xlpm.mad))
)</f>
        <v>108.58255558680986</v>
      </c>
      <c r="I11" s="202">
        <f>E11-G11</f>
        <v>11</v>
      </c>
      <c r="J11" s="130"/>
      <c r="K11" s="206" t="s">
        <v>717</v>
      </c>
      <c r="L11" s="203">
        <f t="array" ref="L11">MEDIAN(
_xlfn._xlws.FILTER(
Table9[Normalised Income Impact Ratio],
ISNUMBER(Table9[Normalised Income Impact Ratio])*
(Table9[Normalised Income Impact Ratio]&gt;0)*
(Table9[Programme Length]&gt;4)*
(Table9[Programme Length]&lt;=8)
)
)</f>
        <v>2.4928571428571428E-2</v>
      </c>
      <c r="M11" s="203">
        <f t="array" ref="M11">AVERAGE(
_xlfn._xlws.FILTER(
Table9[Normalised Income Impact Ratio],
ISNUMBER(Table9[Normalised Income Impact Ratio])*
(Table9[Normalised Income Impact Ratio]&gt;0)*
(Table9[Programme Length]&gt;4)*
(Table9[Programme Length]&lt;=8)
)
)</f>
        <v>8.9356563251269366E-2</v>
      </c>
      <c r="N11" s="202">
        <f>COUNTIFS(
Table9[Normalised Income Impact Ratio],"&gt;0",
Table9[Programme Length],"&gt;4",
Table9[Programme Length],"&lt;=8"
)</f>
        <v>17</v>
      </c>
      <c r="O11" s="195">
        <f t="array" ref="O11">_xlfn.LET(
_xlpm.data,_xlfn._xlws.FILTER(
Table9[Normalised Income Impact Ratio],
ISNUMBER(Table9[Normalised Income Impact Ratio])*
(Table9[Normalised Income Impact Ratio]&gt;0)*
(Table9[Programme Length]&gt;4)*
(Table9[Programme Length]&lt;=8)
),
_xlpm.med,MEDIAN(_xlpm.data),
_xlpm.mad,MEDIAN(ABS(_xlpm.data-_xlpm.med)),
SUMPRODUCT(--(ABS(_xlpm.data-_xlpm.med)&gt;2.5*_xlpm.mad))/COUNT(_xlpm.data)
)</f>
        <v>0.41176470588235292</v>
      </c>
      <c r="P11" s="202">
        <f t="array" ref="P11">_xlfn.LET(
_xlpm.data,_xlfn._xlws.FILTER(
Table9[Normalised Income Impact Ratio],
ISNUMBER(Table9[Normalised Income Impact Ratio])*
(Table9[Normalised Income Impact Ratio]&gt;0)*
(Table9[Programme Length]&gt;4)*
(Table9[Programme Length]&lt;=8)
),
_xlpm.med,MEDIAN(_xlpm.data),
_xlpm.mad,MEDIAN(ABS(_xlpm.data-_xlpm.med)),
SUMPRODUCT(--(ABS(_xlpm.data-_xlpm.med)&gt;2.5*_xlpm.mad))
)</f>
        <v>7</v>
      </c>
      <c r="Q11" s="203">
        <f t="array" ref="Q11">_xlfn.LET(
_xlpm.data,_xlfn._xlws.FILTER(
Table9[Normalised Income Impact Ratio],
ISNUMBER(Table9[Normalised Income Impact Ratio])*
(Table9[Normalised Income Impact Ratio]&gt;0)*
(Table9[Programme Length]&gt;4)*
(Table9[Programme Length]&lt;=8)
),
_xlpm.med,MEDIAN(_xlpm.data),
_xlpm.mad,MEDIAN(ABS(_xlpm.data-_xlpm.med)),
AVERAGE(_xlfn._xlws.FILTER(_xlpm.data,ABS(_xlpm.data-_xlpm.med)&lt;=2.5*_xlpm.mad))
)</f>
        <v>1.3856682945957688E-2</v>
      </c>
      <c r="R11" s="344">
        <f>N11-P11</f>
        <v>10</v>
      </c>
      <c r="S11" s="421"/>
      <c r="T11" s="206" t="s">
        <v>717</v>
      </c>
      <c r="U11" s="203">
        <f t="array" ref="U11">MEDIAN(
_xlfn._xlws.FILTER(
Table9[Private Sector Investment (USD) / Project cost ],
ISNUMBER(Table9[Private Sector Investment (USD) / Project cost ])*
(Table9[Private Sector Investment (USD) / Project cost ]&gt;0)*
(Table9[Programme Length]&gt;4)*
(Table9[Programme Length]&lt;=8)
)
)</f>
        <v>0.79365079365079361</v>
      </c>
      <c r="V11" s="203">
        <f t="array" ref="V11">AVERAGE(
_xlfn._xlws.FILTER(
Table9[Private Sector Investment (USD) / Project cost ],
ISNUMBER(Table9[Private Sector Investment (USD) / Project cost ])*
(Table9[Private Sector Investment (USD) / Project cost ]&gt;0)*(Table9[Programme Length]&gt;4)*
(Table9[Programme Length]&lt;=8)
)
)</f>
        <v>2.2287635110439119</v>
      </c>
      <c r="W11" s="15">
        <f>COUNTIFS(
Table9[Private Sector Investment (USD) / Project cost ],"&gt;0",
Table9[Programme Length],"&gt;4",
Table9[Programme Length],"&lt;=8"
)</f>
        <v>29</v>
      </c>
      <c r="X11" s="195">
        <f t="array" ref="X11">_xlfn.LET(
_xlpm.data,_xlfn._xlws.FILTER(
Table9[Private Sector Investment (USD) / Project cost ],
ISNUMBER(Table9[Private Sector Investment (USD) / Project cost ])*
(Table9[Private Sector Investment (USD) / Project cost ]&gt;0)*
(Table9[Programme Length]&gt;4)*
(Table9[Programme Length]&lt;=8)
),
_xlpm.med,MEDIAN(_xlpm.data),
_xlpm.mad,MEDIAN(ABS(_xlpm.data-_xlpm.med)),
SUMPRODUCT(--(ABS(_xlpm.data-_xlpm.med)&gt;2.5*_xlpm.mad))/COUNT(_xlpm.data)
)</f>
        <v>0.20689655172413793</v>
      </c>
      <c r="Y11" s="15">
        <f t="array" ref="Y11">_xlfn.LET(
_xlpm.data,_xlfn._xlws.FILTER(
Table9[Private Sector Investment (USD) / Project cost ],
ISNUMBER(Table9[Private Sector Investment (USD) / Project cost ])*
(Table9[Private Sector Investment (USD) / Project cost ]&gt;0)*
(Table9[Programme Length]&gt;4)*
(Table9[Programme Length]&lt;=8)
),
_xlpm.med,MEDIAN(_xlpm.data),
_xlpm.mad,MEDIAN(ABS(_xlpm.data-_xlpm.med)),
SUMPRODUCT(--(ABS(_xlpm.data-_xlpm.med)&gt;2.5*_xlpm.mad))
)</f>
        <v>6</v>
      </c>
      <c r="Z11" s="203">
        <f t="array" ref="Z11">_xlfn.LET(
_xlpm.data,_xlfn._xlws.FILTER(
Table9[Private Sector Investment (USD) / Project cost ],
ISNUMBER(Table9[Private Sector Investment (USD) / Project cost ])*
(Table9[Private Sector Investment (USD) / Project cost ]&gt;0)*
(Table9[Programme Length]&gt;4)*
(Table9[Programme Length]&lt;=8)
),
_xlpm.med,MEDIAN(_xlpm.data),
_xlpm.mad,MEDIAN(ABS(_xlpm.data-_xlpm.med)),
AVERAGE(_xlfn._xlws.FILTER(_xlpm.data,ABS(_xlpm.data-_xlpm.med)&lt;=2.5*_xlpm.mad))
)</f>
        <v>0.6244249811431789</v>
      </c>
      <c r="AA11" s="261">
        <f>W11-Y11</f>
        <v>23</v>
      </c>
      <c r="AB11" s="422"/>
      <c r="AC11" s="206" t="s">
        <v>717</v>
      </c>
      <c r="AD11" s="203">
        <f t="array" ref="AD11">MEDIAN(
_xlfn._xlws.FILTER(
Table9[Private Sector Revenues Generated (USD) / Project cost],
ISNUMBER(Table9[Private Sector Revenues Generated (USD) / Project cost])*
(Table9[Private Sector Revenues Generated (USD) / Project cost]&gt;0)*
(Table9[Programme Length]&gt;4)*
(Table9[Programme Length]&lt;=8)
)
)</f>
        <v>1.93865246449457</v>
      </c>
      <c r="AE11" s="203">
        <f t="array" ref="AE11">AVERAGE(
_xlfn._xlws.FILTER(
Table9[Private Sector Revenues Generated (USD) / Project cost],
ISNUMBER(Table9[Private Sector Revenues Generated (USD) / Project cost])*
(Table9[Private Sector Revenues Generated (USD) / Project cost]&gt;0)*
(Table9[Programme Length]&gt;4)*
(Table9[Programme Length]&lt;=8)
)
)</f>
        <v>4.448064410610896</v>
      </c>
      <c r="AF11" s="15">
        <f>COUNTIFS(
Table9[Private Sector Revenues Generated (USD) / Project cost],"&gt;0",
Table9[Programme Length],"&gt;4",
Table9[Programme Length],"&lt;=8"
)</f>
        <v>25</v>
      </c>
      <c r="AG11" s="195">
        <f t="array" ref="AG11">_xlfn.LET(
_xlpm.data,_xlfn._xlws.FILTER(
Table9[Private Sector Revenues Generated (USD) / Project cost],
ISNUMBER(Table9[Private Sector Revenues Generated (USD) / Project cost])*
(Table9[Private Sector Revenues Generated (USD) / Project cost]&gt;0)*
(Table9[Programme Length]&gt;4)*
(Table9[Programme Length]&lt;=8)
),
_xlpm.med,MEDIAN(_xlpm.data),
_xlpm.mad,MEDIAN(ABS(_xlpm.data-_xlpm.med)),
SUMPRODUCT(--(ABS(_xlpm.data-_xlpm.med)&gt;2.5*_xlpm.mad))/COUNT(_xlpm.data)
)</f>
        <v>0.24</v>
      </c>
      <c r="AH11" s="15">
        <f t="array" ref="AH11">_xlfn.LET(
_xlpm.data,_xlfn._xlws.FILTER(
Table9[Private Sector Revenues Generated (USD) / Project cost],
ISNUMBER(Table9[Private Sector Revenues Generated (USD) / Project cost])*
(Table9[Private Sector Revenues Generated (USD) / Project cost]&gt;0)*
(Table9[Programme Length]&gt;4)*
(Table9[Programme Length]&lt;=8)
),
_xlpm.med,MEDIAN(_xlpm.data),
_xlpm.mad,MEDIAN(ABS(_xlpm.data-_xlpm.med)),
SUMPRODUCT(--(ABS(_xlpm.data-_xlpm.med)&gt;2.5*_xlpm.mad))
)</f>
        <v>6</v>
      </c>
      <c r="AI11" s="203">
        <f t="array" ref="AI11">_xlfn.LET(
_xlpm.data,_xlfn._xlws.FILTER(
Table9[Private Sector Revenues Generated (USD) / Project cost],
ISNUMBER(Table9[Private Sector Revenues Generated (USD) / Project cost])*
(Table9[Private Sector Revenues Generated (USD) / Project cost]&gt;0)*
(Table9[Programme Length]&gt;4)*
(Table9[Programme Length]&lt;=8)
),
_xlpm.med,MEDIAN(_xlpm.data),
_xlpm.mad,MEDIAN(ABS(_xlpm.data-_xlpm.med)),
AVERAGE(_xlfn._xlws.FILTER(_xlpm.data,ABS(_xlpm.data-_xlpm.med)&lt;=2.5*_xlpm.mad))
)</f>
        <v>1.5848955604574146</v>
      </c>
      <c r="AJ11" s="15">
        <f>AF11-AH11</f>
        <v>19</v>
      </c>
      <c r="AL11" s="206" t="s">
        <v>717</v>
      </c>
      <c r="AM11" s="203">
        <f t="array" ref="AM11">MEDIAN(
_xlfn._xlws.FILTER(
Table9[Export Revenue Generated (USD) /Project Cost],
ISNUMBER(Table9[Export Revenue Generated (USD) /Project Cost])*
(Table9[Export Revenue Generated (USD) /Project Cost]&gt;0)*
(Table9[Programme Length]&gt;4)*
(Table9[Programme Length]&lt;=8)
)
)</f>
        <v>1.3324959804657428</v>
      </c>
      <c r="AN11" s="203">
        <f t="array" ref="AN11">AVERAGE(
_xlfn._xlws.FILTER(
Table9[Export Revenue Generated (USD) /Project Cost],
ISNUMBER(Table9[Export Revenue Generated (USD) /Project Cost])*
(Table9[Export Revenue Generated (USD) /Project Cost]&gt;0)*
(Table9[Programme Length]&gt;4)*
(Table9[Programme Length]&lt;=8)
)
)</f>
        <v>16.349862841331028</v>
      </c>
      <c r="AO11" s="15">
        <f>COUNTIFS(
Table9[Export Revenue Generated (USD) /Project Cost],"&gt;0",
Table9[Programme Length],"&gt;4",
Table9[Programme Length],"&lt;=8"
)</f>
        <v>6</v>
      </c>
      <c r="AP11" s="195">
        <f t="array" ref="AP11">_xlfn.LET(
_xlpm.data,_xlfn._xlws.FILTER(
Table9[Export Revenue Generated (USD) /Project Cost],
ISNUMBER(Table9[Export Revenue Generated (USD) /Project Cost])*
(Table9[Export Revenue Generated (USD) /Project Cost]&gt;0)*
(Table9[Programme Length]&gt;4)*
(Table9[Programme Length]&lt;=8)
),
_xlpm.med,MEDIAN(_xlpm.data),
_xlpm.mad,MEDIAN(ABS(_xlpm.data-_xlpm.med)),
SUMPRODUCT(--(ABS(_xlpm.data-_xlpm.med)&gt;2.5*_xlpm.mad))/COUNT(_xlpm.data)
)</f>
        <v>0.33333333333333331</v>
      </c>
      <c r="AQ11" s="15">
        <f t="array" ref="AQ11">_xlfn.LET(
_xlpm.data,_xlfn._xlws.FILTER(
Table9[Export Revenue Generated (USD) /Project Cost],
ISNUMBER(Table9[Export Revenue Generated (USD) /Project Cost])*
(Table9[Export Revenue Generated (USD) /Project Cost]&gt;0)*
(Table9[Programme Length]&gt;4)*
(Table9[Programme Length]&lt;=8)
),
_xlpm.med,MEDIAN(_xlpm.data),
_xlpm.mad,MEDIAN(ABS(_xlpm.data-_xlpm.med)),
SUMPRODUCT(--(ABS(_xlpm.data-_xlpm.med)&gt;2.5*_xlpm.mad))
)</f>
        <v>2</v>
      </c>
      <c r="AR11" s="203">
        <f t="array" ref="AR11">_xlfn.LET(
_xlpm.data,_xlfn._xlws.FILTER(
Table9[Export Revenue Generated (USD) /Project Cost],
ISNUMBER(Table9[Export Revenue Generated (USD) /Project Cost])*
(Table9[Export Revenue Generated (USD) /Project Cost]&gt;0)*
(Table9[Programme Length]&gt;4)*
(Table9[Programme Length]&lt;=8)
),
_xlpm.med,MEDIAN(_xlpm.data),
_xlpm.mad,MEDIAN(ABS(_xlpm.data-_xlpm.med)),
AVERAGE(_xlfn._xlws.FILTER(_xlpm.data,ABS(_xlpm.data-_xlpm.med)&lt;=2.5*_xlpm.mad))
)</f>
        <v>0.71729081019915197</v>
      </c>
      <c r="AS11" s="15">
        <f>AO11-AQ11</f>
        <v>4</v>
      </c>
      <c r="AU11" s="206" t="s">
        <v>717</v>
      </c>
      <c r="AV11" s="202">
        <f t="array" ref="AV11">MEDIAN(
_xlfn._xlws.FILTER(
Table9[Job created per $Mn],
ISNUMBER(Table9[Job created per $Mn])*
(Table9[Job created per $Mn]&gt;0)*
(Table9[Programme Length]&gt;4)*
(Table9[Programme Length]&lt;=8)
)
)</f>
        <v>591.85231975281738</v>
      </c>
      <c r="AW11" s="202">
        <f t="array" ref="AW11">AVERAGE(
_xlfn._xlws.FILTER(
Table9[Job created per $Mn],
ISNUMBER(Table9[Job created per $Mn])*
(Table9[Job created per $Mn]&gt;0)*
(Table9[Programme Length]&gt;4)*
(Table9[Programme Length]&lt;=8)
)
)</f>
        <v>1317.7836064022451</v>
      </c>
      <c r="AX11" s="15">
        <f>COUNTIFS(
Table9[Job created per $Mn],"&gt;0",
Table9[Programme Length],"&gt;4",
Table9[Programme Length],"&lt;=8"
)</f>
        <v>22</v>
      </c>
      <c r="AY11" s="195">
        <f t="array" ref="AY11">_xlfn.LET(
_xlpm.data,
_xlfn._xlws.FILTER(
Table9[Job created per $Mn],
ISNUMBER(Table9[Job created per $Mn])*
(Table9[Job created per $Mn]&gt;0)*
(Table9[Programme Length]&gt;4)*
(Table9[Programme Length]&lt;=8)
),
_xlpm.med,
MEDIAN(_xlpm.data),
_xlpm.mad,
MEDIAN(ABS(_xlpm.data-_xlpm.med)),
SUMPRODUCT(--(ABS(_xlpm.data-_xlpm.med)&gt;2.5*_xlpm.mad))/COUNT(_xlpm.data)
)</f>
        <v>0.18181818181818182</v>
      </c>
      <c r="AZ11" s="15">
        <f t="array" ref="AZ11">_xlfn.LET(
_xlpm.data,
_xlfn._xlws.FILTER(
Table9[Job created per $Mn],
ISNUMBER(Table9[Job created per $Mn])*
(Table9[Job created per $Mn]&gt;0)*
(Table9[Programme Length]&gt;4)*
(Table9[Programme Length]&lt;=8)
),
_xlpm.med,
MEDIAN(_xlpm.data),
_xlpm.mad,
MEDIAN(ABS(_xlpm.data-_xlpm.med)),
SUMPRODUCT(--(ABS(_xlpm.data-_xlpm.med)&gt;2.5*_xlpm.mad))
)</f>
        <v>4</v>
      </c>
      <c r="BA11" s="202">
        <f t="array" ref="BA11">_xlfn.LET(
_xlpm.data,
_xlfn._xlws.FILTER(
Table9[Job created per $Mn],
ISNUMBER(Table9[Job created per $Mn])*
(Table9[Job created per $Mn]&gt;0)*
(Table9[Programme Length]&gt;4)*
(Table9[Programme Length]&lt;=8)
),
_xlpm.med,
MEDIAN(_xlpm.data),
_xlpm.mad,
MEDIAN(ABS(_xlpm.data-_xlpm.med)),
AVERAGE(
_xlfn._xlws.FILTER(
_xlpm.data,
ABS(_xlpm.data-_xlpm.med)&lt;=2.5*_xlpm.mad
)
)
)</f>
        <v>507.54572181686581</v>
      </c>
      <c r="BB11" s="15">
        <f>AX11-AZ11</f>
        <v>18</v>
      </c>
      <c r="BD11" s="206" t="s">
        <v>717</v>
      </c>
      <c r="BE11" s="202">
        <f t="array" ref="BE11">MEDIAN(
_xlfn._xlws.FILTER(
Table9[Job improved per $Mn],
ISNUMBER(Table9[Job improved per $Mn])*
(Table9[Job improved per $Mn]&gt;0)*
(Table9[Programme Length]&gt;4)*
(Table9[Programme Length]&lt;=8)
)
)</f>
        <v>3839.333698908828</v>
      </c>
      <c r="BF11" s="202">
        <f t="array" ref="BF11">AVERAGE(
_xlfn._xlws.FILTER(
Table9[Job improved per $Mn],
ISNUMBER(Table9[Job improved per $Mn])*
(Table9[Job improved per $Mn]&gt;0)*
(Table9[Programme Length]&gt;4)*
(Table9[Programme Length]&lt;=8)
)
)</f>
        <v>7475.6813397942115</v>
      </c>
      <c r="BG11" s="15">
        <f>COUNTIFS(
Table9[Job improved per $Mn],"&gt;0",
Table9[Programme Length],"&gt;4",
Table9[Programme Length],"&lt;=8"
)</f>
        <v>27</v>
      </c>
      <c r="BH11" s="195">
        <f t="array" ref="BH11">_xlfn.LET(
_xlpm.data,
_xlfn._xlws.FILTER(
Table9[Job improved per $Mn],
ISNUMBER(Table9[Job improved per $Mn])*
(Table9[Job improved per $Mn]&gt;0)*
(Table9[Programme Length]&gt;4)*
(Table9[Programme Length]&lt;=8)
),
_xlpm.med,
MEDIAN(_xlpm.data),
_xlpm.mad,
MEDIAN(ABS(_xlpm.data-_xlpm.med)),
SUMPRODUCT(--(ABS(_xlpm.data-_xlpm.med)&gt;2.5*_xlpm.mad))/COUNT(_xlpm.data)
)</f>
        <v>0.14814814814814814</v>
      </c>
      <c r="BI11" s="15">
        <f t="array" ref="BI11">_xlfn.LET(
_xlpm.data,
_xlfn._xlws.FILTER(
Table9[Job improved per $Mn],
ISNUMBER(Table9[Job improved per $Mn])*
(Table9[Job improved per $Mn]&gt;0)*
(Table9[Programme Length]&gt;4)*
(Table9[Programme Length]&lt;=8)
),
_xlpm.med,
MEDIAN(_xlpm.data),
_xlpm.mad,
MEDIAN(ABS(_xlpm.data-_xlpm.med)),
SUMPRODUCT(--(ABS(_xlpm.data-_xlpm.med)&gt;2.5*_xlpm.mad))
)</f>
        <v>4</v>
      </c>
      <c r="BJ11" s="202">
        <f t="array" ref="BJ11">_xlfn.LET(
_xlpm.data,
_xlfn._xlws.FILTER(
Table9[Job improved per $Mn],
ISNUMBER(Table9[Job improved per $Mn])*
(Table9[Job improved per $Mn]&gt;0)*
(Table9[Programme Length]&gt;4)*
(Table9[Programme Length]&lt;=8)
),
_xlpm.med,
MEDIAN(_xlpm.data),
_xlpm.mad,
MEDIAN(ABS(_xlpm.data-_xlpm.med)),
AVERAGE(
_xlfn._xlws.FILTER(
_xlpm.data,
ABS(_xlpm.data-_xlpm.med)&lt;=2.5*_xlpm.mad
)
)
)</f>
        <v>4382.8559657190499</v>
      </c>
      <c r="BK11" s="15">
        <f>BG11-BI11</f>
        <v>23</v>
      </c>
      <c r="BM11" s="206" t="s">
        <v>717</v>
      </c>
      <c r="BN11" s="203">
        <f t="array" ref="BN11">MEDIAN(
_xlfn._xlws.FILTER(
Table9[Beneficiary Income (USD) / Project Cost],
ISNUMBER(Table9[Beneficiary Income (USD) / Project Cost])*
(Table9[Beneficiary Income (USD) / Project Cost]&gt;0)*
(Table9[Programme Length]&gt;4)*
(Table9[Programme Length]&lt;=8)
)
)</f>
        <v>1.485714285714286</v>
      </c>
      <c r="BO11" s="203">
        <f t="array" ref="BO11">AVERAGE(
_xlfn._xlws.FILTER(
Table9[Beneficiary Income (USD) / Project Cost],
ISNUMBER(Table9[Beneficiary Income (USD) / Project Cost])*
(Table9[Beneficiary Income (USD) / Project Cost]&gt;0)*
(Table9[Programme Length]&gt;4)*
(Table9[Programme Length]&lt;=8)
)
)</f>
        <v>1.7387377994458513</v>
      </c>
      <c r="BP11" s="15">
        <f>COUNTIFS(
Table9[Beneficiary Income (USD) / Project Cost],"&gt;0",
Table9[Programme Length],"&gt;4",
Table9[Programme Length],"&lt;=8"
)</f>
        <v>17</v>
      </c>
      <c r="BQ11" s="195">
        <f t="array" ref="BQ11">_xlfn.LET(
_xlpm.data,
_xlfn._xlws.FILTER(
Table9[Beneficiary Income (USD) / Project Cost],
ISNUMBER(Table9[Beneficiary Income (USD) / Project Cost])*
(Table9[Beneficiary Income (USD) / Project Cost]&gt;0)*
(Table9[Programme Length]&gt;4)*
(Table9[Programme Length]&lt;=8)
),
_xlpm.med,
MEDIAN(_xlpm.data),
_xlpm.mad,
MEDIAN(ABS(_xlpm.data-_xlpm.med)),
SUMPRODUCT(--(ABS(_xlpm.data-_xlpm.med)&gt;2.5*_xlpm.mad))/COUNT(_xlpm.data)
)</f>
        <v>0.11764705882352941</v>
      </c>
      <c r="BR11" s="15">
        <f t="array" ref="BR11">_xlfn.LET(
_xlpm.data,
_xlfn._xlws.FILTER(
Table9[Beneficiary Income (USD) / Project Cost],
ISNUMBER(Table9[Beneficiary Income (USD) / Project Cost])*
(Table9[Beneficiary Income (USD) / Project Cost]&gt;0)*
(Table9[Programme Length]&gt;4)*
(Table9[Programme Length]&lt;=8)
),
_xlpm.med,
MEDIAN(_xlpm.data),
_xlpm.mad,
MEDIAN(ABS(_xlpm.data-_xlpm.med)),
SUMPRODUCT(--(ABS(_xlpm.data-_xlpm.med)&gt;2.5*_xlpm.mad))
)</f>
        <v>2</v>
      </c>
      <c r="BS11" s="203">
        <f t="array" ref="BS11">_xlfn.LET(
_xlpm.data,
_xlfn._xlws.FILTER(
Table9[Beneficiary Income (USD) / Project Cost],
ISNUMBER(Table9[Beneficiary Income (USD) / Project Cost])*
(Table9[Beneficiary Income (USD) / Project Cost]&gt;0)*
(Table9[Programme Length]&gt;4)*
(Table9[Programme Length]&lt;=8)
),
_xlpm.med,
MEDIAN(_xlpm.data),
_xlpm.mad,
MEDIAN(ABS(_xlpm.data-_xlpm.med)),
AVERAGE(
_xlfn._xlws.FILTER(
_xlpm.data,
ABS(_xlpm.data-_xlpm.med)&lt;=2.5*_xlpm.mad
)
)
)</f>
        <v>1.3692438221268184</v>
      </c>
      <c r="BT11" s="15">
        <f>BP11-BR11</f>
        <v>15</v>
      </c>
    </row>
    <row r="12" spans="2:72" x14ac:dyDescent="0.25">
      <c r="B12" s="206" t="s">
        <v>718</v>
      </c>
      <c r="C12" s="202">
        <f t="array" ref="C12">MEDIAN(_xlfn._xlws.FILTER(Table9[Income per beneficiary (USD)], (Table9[Income per beneficiary (USD)]&gt;0)*(Table9[Programme Length]&lt;=4)))</f>
        <v>261.03095479055395</v>
      </c>
      <c r="D12" s="202">
        <f t="array" ref="D12">AVERAGE(_xlfn._xlws.FILTER(Table9[Income per beneficiary (USD)], (Table9[Income per beneficiary (USD)]&gt;0)*(Table9[Programme Length]&lt;=4)))</f>
        <v>281.37129921011558</v>
      </c>
      <c r="E12" s="15">
        <f>COUNTIFS(Table9[Income per beneficiary (USD)],"&gt;0", Table9[Programme Length], "&lt;=4")</f>
        <v>18</v>
      </c>
      <c r="F12" s="195">
        <f t="array" ref="F12">_xlfn.LET(
_xlpm.data,_xlfn._xlws.FILTER(
Table9[Income per beneficiary (USD)],
(Table9[Income per beneficiary (USD)]&gt;0)*
(Table9[Programme Length]&lt;=4)
),
_xlpm.med,MEDIAN(_xlpm.data),
_xlpm.mad,MEDIAN(ABS(_xlpm.data-_xlpm.med)),
SUMPRODUCT(--(ABS(_xlpm.data-_xlpm.med)&gt;2.5*_xlpm.mad))/COUNT(_xlpm.data)
)</f>
        <v>0</v>
      </c>
      <c r="G12" s="15">
        <f t="array" ref="G12">_xlfn.LET(
_xlpm.data,_xlfn._xlws.FILTER(
Table9[Income per beneficiary (USD)],
(Table9[Income per beneficiary (USD)]&gt;0)*
(Table9[Programme Length]&lt;=4)
),
_xlpm.med,MEDIAN(_xlpm.data),
_xlpm.mad,MEDIAN(ABS(_xlpm.data-_xlpm.med)),
SUMPRODUCT(--(ABS(_xlpm.data-_xlpm.med)&gt;2.5*_xlpm.mad))
)</f>
        <v>0</v>
      </c>
      <c r="H12" s="202">
        <f t="array" ref="H12">_xlfn.LET(
_xlpm.data,_xlfn._xlws.FILTER(
Table9[Income per beneficiary (USD)],
(Table9[Income per beneficiary (USD)]&gt;0)*
(Table9[Programme Length]&lt;=4)
),
_xlpm.med,MEDIAN(_xlpm.data),
_xlpm.mad,MEDIAN(ABS(_xlpm.data-_xlpm.med)),
AVERAGE(_xlfn._xlws.FILTER(_xlpm.data,ABS(_xlpm.data-_xlpm.med)&lt;=2.5*_xlpm.mad))
)</f>
        <v>281.37129921011558</v>
      </c>
      <c r="I12" s="202">
        <f>E12-G12</f>
        <v>18</v>
      </c>
      <c r="J12" s="130"/>
      <c r="K12" s="206" t="s">
        <v>718</v>
      </c>
      <c r="L12" s="203">
        <f t="array" ref="L12">MEDIAN(
_xlfn._xlws.FILTER(
Table9[Normalised Income Impact Ratio],
ISNUMBER(Table9[Normalised Income Impact Ratio])*
(Table9[Normalised Income Impact Ratio]&gt;0)*
(Table9[Programme Length]&lt;=4)
)
)</f>
        <v>2.5295999999999999E-2</v>
      </c>
      <c r="M12" s="203">
        <f t="array" ref="M12">AVERAGE(
_xlfn._xlws.FILTER(
Table9[Normalised Income Impact Ratio],
ISNUMBER(Table9[Normalised Income Impact Ratio])*
(Table9[Normalised Income Impact Ratio]&gt;0)*
(Table9[Programme Length]&lt;=4)
)
)</f>
        <v>4.6403413579836912E-2</v>
      </c>
      <c r="N12" s="202">
        <f>COUNTIFS(
Table9[Normalised Income Impact Ratio],"&gt;0",
Table9[Programme Length],"&lt;=4"
)</f>
        <v>17</v>
      </c>
      <c r="O12" s="195">
        <f t="array" ref="O12">_xlfn.LET(
_xlpm.data,_xlfn._xlws.FILTER(
Table9[Normalised Income Impact Ratio],
ISNUMBER(Table9[Normalised Income Impact Ratio])*
(Table9[Normalised Income Impact Ratio]&gt;0)*
(Table9[Programme Length]&lt;=4)
),
_xlpm.med,MEDIAN(_xlpm.data),
_xlpm.mad,MEDIAN(ABS(_xlpm.data-_xlpm.med)),
SUMPRODUCT(--(ABS(_xlpm.data-_xlpm.med)&gt;2.5*_xlpm.mad))/COUNT(_xlpm.data)
)</f>
        <v>0.17647058823529413</v>
      </c>
      <c r="P12" s="202">
        <f t="array" ref="P12">_xlfn.LET(
_xlpm.data,_xlfn._xlws.FILTER(
Table9[Normalised Income Impact Ratio],
ISNUMBER(Table9[Normalised Income Impact Ratio])*
(Table9[Normalised Income Impact Ratio]&gt;0)*
(Table9[Programme Length]&lt;=4)
),
_xlpm.med,MEDIAN(_xlpm.data),
_xlpm.mad,MEDIAN(ABS(_xlpm.data-_xlpm.med)),
SUMPRODUCT(--(ABS(_xlpm.data-_xlpm.med)&gt;2.5*_xlpm.mad))
)</f>
        <v>3</v>
      </c>
      <c r="Q12" s="203">
        <f t="array" ref="Q12">_xlfn.LET(
_xlpm.data,_xlfn._xlws.FILTER(
Table9[Normalised Income Impact Ratio],
ISNUMBER(Table9[Normalised Income Impact Ratio])*
(Table9[Normalised Income Impact Ratio]&gt;0)*
(Table9[Programme Length]&lt;=4)
),
_xlpm.med,MEDIAN(_xlpm.data),
_xlpm.mad,MEDIAN(ABS(_xlpm.data-_xlpm.med)),
AVERAGE(_xlfn._xlws.FILTER(_xlpm.data,ABS(_xlpm.data-_xlpm.med)&lt;=2.5*_xlpm.mad))
)</f>
        <v>2.4031787904528593E-2</v>
      </c>
      <c r="R12" s="344">
        <f>N12-P12</f>
        <v>14</v>
      </c>
      <c r="S12" s="421"/>
      <c r="T12" s="206" t="s">
        <v>718</v>
      </c>
      <c r="U12" s="203">
        <f t="array" ref="U12">MEDIAN(
_xlfn._xlws.FILTER(
Table9[Private Sector Investment (USD) / Project cost ],
ISNUMBER(Table9[Private Sector Investment (USD) / Project cost ])*
(Table9[Private Sector Investment (USD) / Project cost ]&gt;0)*
(Table9[Programme Length]&lt;=4)
)
)</f>
        <v>0.1757894736842105</v>
      </c>
      <c r="V12" s="203">
        <f t="array" ref="V12">AVERAGE(
_xlfn._xlws.FILTER(
Table9[Private Sector Investment (USD) / Project cost ],
ISNUMBER(Table9[Private Sector Investment (USD) / Project cost ])*
(Table9[Private Sector Investment (USD) / Project cost ]&gt;0)*
(Table9[Programme Length]&lt;=4)
)
)</f>
        <v>0.82170372237850842</v>
      </c>
      <c r="W12" s="15">
        <f>COUNTIFS(
Table9[Private Sector Investment (USD) / Project cost ],"&gt;0",
Table9[Programme Length],"&lt;=4"
)</f>
        <v>21</v>
      </c>
      <c r="X12" s="195">
        <f t="array" ref="X12">_xlfn.LET(
_xlpm.data,_xlfn._xlws.FILTER(
Table9[Private Sector Investment (USD) / Project cost ],
ISNUMBER(Table9[Private Sector Investment (USD) / Project cost ])*
(Table9[Private Sector Investment (USD) / Project cost ]&gt;0)*
(Table9[Programme Length]&lt;=4)
),
_xlpm.med,MEDIAN(_xlpm.data),
_xlpm.mad,MEDIAN(ABS(_xlpm.data-_xlpm.med)),
SUMPRODUCT(--(ABS(_xlpm.data-_xlpm.med)&gt;2.5*_xlpm.mad))/COUNT(_xlpm.data)
)</f>
        <v>0.23809523809523808</v>
      </c>
      <c r="Y12" s="15">
        <f t="array" ref="Y12">_xlfn.LET(
_xlpm.data,_xlfn._xlws.FILTER(
Table9[Private Sector Investment (USD) / Project cost ],
ISNUMBER(Table9[Private Sector Investment (USD) / Project cost ])*
(Table9[Private Sector Investment (USD) / Project cost ]&gt;0)*
(Table9[Programme Length]&lt;=4)
),
_xlpm.med,MEDIAN(_xlpm.data),
_xlpm.mad,MEDIAN(ABS(_xlpm.data-_xlpm.med)),
SUMPRODUCT(--(ABS(_xlpm.data-_xlpm.med)&gt;2.5*_xlpm.mad))
)</f>
        <v>5</v>
      </c>
      <c r="Z12" s="203">
        <f t="array" ref="Z12">_xlfn.LET(
_xlpm.data,_xlfn._xlws.FILTER(
Table9[Private Sector Investment (USD) / Project cost ],
ISNUMBER(Table9[Private Sector Investment (USD) / Project cost ])*
(Table9[Private Sector Investment (USD) / Project cost ]&gt;0)*
(Table9[Programme Length]&lt;=4)
),
_xlpm.med,MEDIAN(_xlpm.data),
_xlpm.mad,MEDIAN(ABS(_xlpm.data-_xlpm.med)),
AVERAGE(_xlfn._xlws.FILTER(_xlpm.data,ABS(_xlpm.data-_xlpm.med)&lt;=2.5*_xlpm.mad))
)</f>
        <v>0.19858877598612323</v>
      </c>
      <c r="AA12" s="261">
        <f>W12-Y12</f>
        <v>16</v>
      </c>
      <c r="AB12" s="422"/>
      <c r="AC12" s="206" t="s">
        <v>718</v>
      </c>
      <c r="AD12" s="203">
        <f t="array" ref="AD12">MEDIAN(
_xlfn._xlws.FILTER(
Table9[Private Sector Revenues Generated (USD) / Project cost],
ISNUMBER(Table9[Private Sector Revenues Generated (USD) / Project cost])*
(Table9[Private Sector Revenues Generated (USD) / Project cost]&gt;0)*
(Table9[Programme Length]&lt;=4)
)
)</f>
        <v>0.23866666666666669</v>
      </c>
      <c r="AE12" s="203">
        <f t="array" ref="AE12">AVERAGE(
_xlfn._xlws.FILTER(
Table9[Private Sector Revenues Generated (USD) / Project cost],
ISNUMBER(Table9[Private Sector Revenues Generated (USD) / Project cost])*
(Table9[Private Sector Revenues Generated (USD) / Project cost]&gt;0)*
(Table9[Programme Length]&lt;=4)
)
)</f>
        <v>0.59608986872102998</v>
      </c>
      <c r="AF12" s="15">
        <f>COUNTIFS(
Table9[Private Sector Revenues Generated (USD) / Project cost],"&gt;0",
Table9[Programme Length],"&lt;=4"
)</f>
        <v>15</v>
      </c>
      <c r="AG12" s="195">
        <f t="array" ref="AG12">_xlfn.LET(
_xlpm.data,_xlfn._xlws.FILTER(
Table9[Private Sector Revenues Generated (USD) / Project cost],
ISNUMBER(Table9[Private Sector Revenues Generated (USD) / Project cost])*
(Table9[Private Sector Revenues Generated (USD) / Project cost]&gt;0)*
(Table9[Programme Length]&lt;=4)
),
_xlpm.med,MEDIAN(_xlpm.data),
_xlpm.mad,MEDIAN(ABS(_xlpm.data-_xlpm.med)),
SUMPRODUCT(--(ABS(_xlpm.data-_xlpm.med)&gt;2.5*_xlpm.mad))/COUNT(_xlpm.data)
)</f>
        <v>0.26666666666666666</v>
      </c>
      <c r="AH12" s="15">
        <f t="array" ref="AH12">_xlfn.LET(
_xlpm.data,_xlfn._xlws.FILTER(
Table9[Private Sector Revenues Generated (USD) / Project cost],
ISNUMBER(Table9[Private Sector Revenues Generated (USD) / Project cost])*
(Table9[Private Sector Revenues Generated (USD) / Project cost]&gt;0)*
(Table9[Programme Length]&lt;=4)
),
_xlpm.med,MEDIAN(_xlpm.data),
_xlpm.mad,MEDIAN(ABS(_xlpm.data-_xlpm.med)),
SUMPRODUCT(--(ABS(_xlpm.data-_xlpm.med)&gt;2.5*_xlpm.mad))
)</f>
        <v>4</v>
      </c>
      <c r="AI12" s="203">
        <f t="array" ref="AI12">_xlfn.LET(
_xlpm.data,_xlfn._xlws.FILTER(
Table9[Private Sector Revenues Generated (USD) / Project cost],
ISNUMBER(Table9[Private Sector Revenues Generated (USD) / Project cost])*
(Table9[Private Sector Revenues Generated (USD) / Project cost]&gt;0)*
(Table9[Programme Length]&lt;=4)
),
_xlpm.med,MEDIAN(_xlpm.data),
_xlpm.mad,MEDIAN(ABS(_xlpm.data-_xlpm.med)),
AVERAGE(_xlfn._xlws.FILTER(_xlpm.data,ABS(_xlpm.data-_xlpm.med)&lt;=2.5*_xlpm.mad))
)</f>
        <v>0.21464265583049064</v>
      </c>
      <c r="AJ12" s="15">
        <f>AF12-AH12</f>
        <v>11</v>
      </c>
      <c r="AL12" s="206" t="s">
        <v>718</v>
      </c>
      <c r="AM12" s="203">
        <f t="array" ref="AM12">MEDIAN(
_xlfn._xlws.FILTER(
Table9[Export Revenue Generated (USD) /Project Cost],
ISNUMBER(Table9[Export Revenue Generated (USD) /Project Cost])*
(Table9[Export Revenue Generated (USD) /Project Cost]&gt;0)*
(Table9[Programme Length]&lt;=4)
)
)</f>
        <v>3.6333847829880667E-2</v>
      </c>
      <c r="AN12" s="203">
        <f t="array" ref="AN12">AVERAGE(
_xlfn._xlws.FILTER(
Table9[Export Revenue Generated (USD) /Project Cost],
ISNUMBER(Table9[Export Revenue Generated (USD) /Project Cost])*
(Table9[Export Revenue Generated (USD) /Project Cost]&gt;0)*
(Table9[Programme Length]&lt;=4)
)
)</f>
        <v>9.5733942900764785E-2</v>
      </c>
      <c r="AO12" s="15">
        <f>COUNTIFS(
Table9[Export Revenue Generated (USD) /Project Cost],"&gt;0",
Table9[Programme Length],"&lt;=4"
)</f>
        <v>5</v>
      </c>
      <c r="AP12" s="195">
        <f t="array" ref="AP12">_xlfn.LET(
_xlpm.data,_xlfn._xlws.FILTER(
Table9[Export Revenue Generated (USD) /Project Cost],
ISNUMBER(Table9[Export Revenue Generated (USD) /Project Cost])*
(Table9[Export Revenue Generated (USD) /Project Cost]&gt;0)*
(Table9[Programme Length]&lt;=4)
),
_xlpm.med,MEDIAN(_xlpm.data),
_xlpm.mad,MEDIAN(ABS(_xlpm.data-_xlpm.med)),
SUMPRODUCT(--(ABS(_xlpm.data-_xlpm.med)&gt;2.5*_xlpm.mad))/COUNT(_xlpm.data)
)</f>
        <v>0.2</v>
      </c>
      <c r="AQ12" s="15">
        <f t="array" ref="AQ12">_xlfn.LET(
_xlpm.data,_xlfn._xlws.FILTER(
Table9[Export Revenue Generated (USD) /Project Cost],
ISNUMBER(Table9[Export Revenue Generated (USD) /Project Cost])*
(Table9[Export Revenue Generated (USD) /Project Cost]&gt;0)*
(Table9[Programme Length]&lt;=4)
),
_xlpm.med,MEDIAN(_xlpm.data),
_xlpm.mad,MEDIAN(ABS(_xlpm.data-_xlpm.med)),
SUMPRODUCT(--(ABS(_xlpm.data-_xlpm.med)&gt;2.5*_xlpm.mad))
)</f>
        <v>1</v>
      </c>
      <c r="AR12" s="203">
        <f t="array" ref="AR12">_xlfn.LET(
_xlpm.data,_xlfn._xlws.FILTER(
Table9[Export Revenue Generated (USD) /Project Cost],
ISNUMBER(Table9[Export Revenue Generated (USD) /Project Cost])*
(Table9[Export Revenue Generated (USD) /Project Cost]&gt;0)*
(Table9[Programme Length]&lt;=4)
),
_xlpm.med,MEDIAN(_xlpm.data),
_xlpm.mad,MEDIAN(ABS(_xlpm.data-_xlpm.med)),
AVERAGE(_xlfn._xlws.FILTER(_xlpm.data,ABS(_xlpm.data-_xlpm.med)&lt;=2.5*_xlpm.mad))
)</f>
        <v>3.2814023277639069E-2</v>
      </c>
      <c r="AS12" s="15">
        <f>AO12-AQ12</f>
        <v>4</v>
      </c>
      <c r="AU12" s="206" t="s">
        <v>718</v>
      </c>
      <c r="AV12" s="202">
        <f t="array" ref="AV12">MEDIAN(
_xlfn._xlws.FILTER(
Table9[Job created per $Mn],
ISNUMBER(Table9[Job created per $Mn])*
(Table9[Job created per $Mn]&gt;0)*
(Table9[Programme Length]&lt;=4)
)
)</f>
        <v>199.58210803281219</v>
      </c>
      <c r="AW12" s="202">
        <f t="array" ref="AW12">AVERAGE(
_xlfn._xlws.FILTER(
Table9[Job created per $Mn],
ISNUMBER(Table9[Job created per $Mn])*
(Table9[Job created per $Mn]&gt;0)*
(Table9[Programme Length]&lt;=4)
)
)</f>
        <v>475.66084400402889</v>
      </c>
      <c r="AX12" s="15">
        <f>COUNTIFS(
Table9[Job created per $Mn],"&gt;0",
Table9[Programme Length],"&lt;=4"
)</f>
        <v>11</v>
      </c>
      <c r="AY12" s="195">
        <f t="array" ref="AY12">_xlfn.LET(
_xlpm.data,
_xlfn._xlws.FILTER(
Table9[Job created per $Mn],
ISNUMBER(Table9[Job created per $Mn])*
(Table9[Job created per $Mn]&gt;0)*
(Table9[Programme Length]&lt;=4)
),
_xlpm.med,
MEDIAN(_xlpm.data),
_xlpm.mad,
MEDIAN(ABS(_xlpm.data-_xlpm.med)),
SUMPRODUCT(--(ABS(_xlpm.data-_xlpm.med)&gt;2.5*_xlpm.mad))/COUNT(_xlpm.data)
)</f>
        <v>9.0909090909090912E-2</v>
      </c>
      <c r="AZ12" s="15">
        <f t="array" ref="AZ12">_xlfn.LET(
_xlpm.data,
_xlfn._xlws.FILTER(
Table9[Job created per $Mn],
ISNUMBER(Table9[Job created per $Mn])*
(Table9[Job created per $Mn]&gt;0)*
(Table9[Programme Length]&lt;=4)
),
_xlpm.med,
MEDIAN(_xlpm.data),
_xlpm.mad,
MEDIAN(ABS(_xlpm.data-_xlpm.med)),
SUMPRODUCT(--(ABS(_xlpm.data-_xlpm.med)&gt;2.5*_xlpm.mad))
)</f>
        <v>1</v>
      </c>
      <c r="BA12" s="202">
        <f t="array" ref="BA12">_xlfn.LET(
_xlpm.data,
_xlfn._xlws.FILTER(
Table9[Job created per $Mn],
ISNUMBER(Table9[Job created per $Mn])*
(Table9[Job created per $Mn]&gt;0)*
(Table9[Programme Length]&lt;=4)
),
_xlpm.med,
MEDIAN(_xlpm.data),
_xlpm.mad,
MEDIAN(ABS(_xlpm.data-_xlpm.med)),
AVERAGE(
_xlfn._xlws.FILTER(
_xlpm.data,
ABS(_xlpm.data-_xlpm.med)&lt;=2.5*_xlpm.mad
)
)
)</f>
        <v>299.8935950710985</v>
      </c>
      <c r="BB12" s="15">
        <f>AX12-AZ12</f>
        <v>10</v>
      </c>
      <c r="BD12" s="206" t="s">
        <v>718</v>
      </c>
      <c r="BE12" s="202">
        <f t="array" ref="BE12">MEDIAN(
_xlfn._xlws.FILTER(
Table9[Job improved per $Mn],
ISNUMBER(Table9[Job improved per $Mn])*
(Table9[Job improved per $Mn]&gt;0)*
(Table9[Programme Length]&lt;=4)
)
)</f>
        <v>1500.4662878093845</v>
      </c>
      <c r="BF12" s="202">
        <f t="array" ref="BF12">AVERAGE(
_xlfn._xlws.FILTER(
Table9[Job improved per $Mn],
ISNUMBER(Table9[Job improved per $Mn])*
(Table9[Job improved per $Mn]&gt;0)*
(Table9[Programme Length]&lt;=4)
)
)</f>
        <v>2903.8880848045233</v>
      </c>
      <c r="BG12" s="15">
        <f>COUNTIFS(
Table9[Job improved per $Mn],"&gt;0",
Table9[Programme Length],"&lt;=4"
)</f>
        <v>26</v>
      </c>
      <c r="BH12" s="195">
        <f t="array" ref="BH12">_xlfn.LET(
_xlpm.data,
_xlfn._xlws.FILTER(
Table9[Job improved per $Mn],
ISNUMBER(Table9[Job improved per $Mn])*
(Table9[Job improved per $Mn]&gt;0)*
(Table9[Programme Length]&lt;=4)
),
_xlpm.med,
MEDIAN(_xlpm.data),
_xlpm.mad,
MEDIAN(ABS(_xlpm.data-_xlpm.med)),
SUMPRODUCT(--(ABS(_xlpm.data-_xlpm.med)&gt;2.5*_xlpm.mad))/COUNT(_xlpm.data)
)</f>
        <v>0.23076923076923078</v>
      </c>
      <c r="BI12" s="15">
        <f t="array" ref="BI12">_xlfn.LET(
_xlpm.data,
_xlfn._xlws.FILTER(
Table9[Job improved per $Mn],
ISNUMBER(Table9[Job improved per $Mn])*
(Table9[Job improved per $Mn]&gt;0)*
(Table9[Programme Length]&lt;=4)
),
_xlpm.med,
MEDIAN(_xlpm.data),
_xlpm.mad,
MEDIAN(ABS(_xlpm.data-_xlpm.med)),
SUMPRODUCT(--(ABS(_xlpm.data-_xlpm.med)&gt;2.5*_xlpm.mad))
)</f>
        <v>6</v>
      </c>
      <c r="BJ12" s="202">
        <f t="array" ref="BJ12">_xlfn.LET(
_xlpm.data,
_xlfn._xlws.FILTER(
Table9[Job improved per $Mn],
ISNUMBER(Table9[Job improved per $Mn])*
(Table9[Job improved per $Mn]&gt;0)*
(Table9[Programme Length]&lt;=4)
),
_xlpm.med,
MEDIAN(_xlpm.data),
_xlpm.mad,
MEDIAN(ABS(_xlpm.data-_xlpm.med)),
AVERAGE(
_xlfn._xlws.FILTER(
_xlpm.data,
ABS(_xlpm.data-_xlpm.med)&lt;=2.5*_xlpm.mad
)
)
)</f>
        <v>1238.7700348219118</v>
      </c>
      <c r="BK12" s="15">
        <f>BG12-BI12</f>
        <v>20</v>
      </c>
      <c r="BM12" s="206" t="s">
        <v>718</v>
      </c>
      <c r="BN12" s="203">
        <f t="array" ref="BN12">MEDIAN(
_xlfn._xlws.FILTER(
Table9[Beneficiary Income (USD) / Project Cost],
ISNUMBER(Table9[Beneficiary Income (USD) / Project Cost])*
(Table9[Beneficiary Income (USD) / Project Cost]&gt;0)*
(Table9[Programme Length]&lt;=4)
)
)</f>
        <v>0.57605489442643898</v>
      </c>
      <c r="BO12" s="203">
        <f t="array" ref="BO12">AVERAGE(
_xlfn._xlws.FILTER(
Table9[Beneficiary Income (USD) / Project Cost],
ISNUMBER(Table9[Beneficiary Income (USD) / Project Cost])*
(Table9[Beneficiary Income (USD) / Project Cost]&gt;0)*
(Table9[Programme Length]&lt;=4)
)
)</f>
        <v>1.4499833312235932</v>
      </c>
      <c r="BP12" s="15">
        <f>COUNTIFS(
Table9[Beneficiary Income (USD) / Project Cost],"&gt;0",
Table9[Programme Length],"&lt;=4"
)</f>
        <v>18</v>
      </c>
      <c r="BQ12" s="195">
        <f t="array" ref="BQ12">_xlfn.LET(
_xlpm.data,
_xlfn._xlws.FILTER(
Table9[Beneficiary Income (USD) / Project Cost],
ISNUMBER(Table9[Beneficiary Income (USD) / Project Cost])*
(Table9[Beneficiary Income (USD) / Project Cost]&gt;0)*
(Table9[Programme Length]&lt;=4)
),
_xlpm.med,
MEDIAN(_xlpm.data),
_xlpm.mad,
MEDIAN(ABS(_xlpm.data-_xlpm.med)),
SUMPRODUCT(--(ABS(_xlpm.data-_xlpm.med)&gt;2.5*_xlpm.mad))/COUNT(_xlpm.data)
)</f>
        <v>0.27777777777777779</v>
      </c>
      <c r="BR12" s="15">
        <f t="array" ref="BR12">_xlfn.LET(
_xlpm.data,
_xlfn._xlws.FILTER(
Table9[Beneficiary Income (USD) / Project Cost],
ISNUMBER(Table9[Beneficiary Income (USD) / Project Cost])*
(Table9[Beneficiary Income (USD) / Project Cost]&gt;0)*
(Table9[Programme Length]&lt;=4)
),
_xlpm.med,
MEDIAN(_xlpm.data),
_xlpm.mad,
MEDIAN(ABS(_xlpm.data-_xlpm.med)),
SUMPRODUCT(--(ABS(_xlpm.data-_xlpm.med)&gt;2.5*_xlpm.mad))
)</f>
        <v>5</v>
      </c>
      <c r="BS12" s="203">
        <f t="array" ref="BS12">_xlfn.LET(
_xlpm.data,
_xlfn._xlws.FILTER(
Table9[Beneficiary Income (USD) / Project Cost],
ISNUMBER(Table9[Beneficiary Income (USD) / Project Cost])*
(Table9[Beneficiary Income (USD) / Project Cost]&gt;0)*
(Table9[Programme Length]&lt;=4)
),
_xlpm.med,
MEDIAN(_xlpm.data),
_xlpm.mad,
MEDIAN(ABS(_xlpm.data-_xlpm.med)),
AVERAGE(
_xlfn._xlws.FILTER(
_xlpm.data,
ABS(_xlpm.data-_xlpm.med)&lt;=2.5*_xlpm.mad
)
)
)</f>
        <v>0.48420487264456058</v>
      </c>
      <c r="BT12" s="15">
        <f>BP12-BR12</f>
        <v>13</v>
      </c>
    </row>
    <row r="13" spans="2:72" ht="14.45" customHeight="1" x14ac:dyDescent="0.25">
      <c r="B13" s="376" t="s">
        <v>737</v>
      </c>
      <c r="C13" s="373"/>
      <c r="D13" s="373"/>
      <c r="E13" s="373"/>
      <c r="F13" s="373"/>
      <c r="G13" s="373"/>
      <c r="H13" s="373"/>
      <c r="I13" s="373"/>
      <c r="J13" s="417"/>
      <c r="K13" s="376" t="s">
        <v>737</v>
      </c>
      <c r="L13" s="373"/>
      <c r="M13" s="373"/>
      <c r="N13" s="373"/>
      <c r="O13" s="420"/>
      <c r="P13" s="373"/>
      <c r="Q13" s="373"/>
      <c r="R13" s="373"/>
      <c r="S13" s="417"/>
      <c r="T13" s="376" t="s">
        <v>737</v>
      </c>
      <c r="U13" s="373"/>
      <c r="V13" s="373"/>
      <c r="W13" s="373"/>
      <c r="X13" s="373"/>
      <c r="Y13" s="373"/>
      <c r="Z13" s="373"/>
      <c r="AA13" s="373"/>
      <c r="AB13" s="417"/>
      <c r="AC13" s="376" t="s">
        <v>737</v>
      </c>
      <c r="AD13" s="373"/>
      <c r="AE13" s="373"/>
      <c r="AF13" s="373"/>
      <c r="AG13" s="373"/>
      <c r="AH13" s="373"/>
      <c r="AI13" s="373"/>
      <c r="AJ13" s="373"/>
      <c r="AK13" s="417"/>
      <c r="AL13" s="376" t="s">
        <v>737</v>
      </c>
      <c r="AM13" s="373"/>
      <c r="AN13" s="373"/>
      <c r="AO13" s="373"/>
      <c r="AP13" s="373"/>
      <c r="AQ13" s="373"/>
      <c r="AR13" s="373"/>
      <c r="AS13" s="373"/>
      <c r="AT13" s="417"/>
      <c r="AU13" s="376" t="s">
        <v>737</v>
      </c>
      <c r="AV13" s="373"/>
      <c r="AW13" s="373"/>
      <c r="AX13" s="373"/>
      <c r="AY13" s="373"/>
      <c r="AZ13" s="373"/>
      <c r="BA13" s="373"/>
      <c r="BB13" s="373"/>
      <c r="BC13" s="417"/>
      <c r="BD13" s="376" t="s">
        <v>737</v>
      </c>
      <c r="BE13" s="373"/>
      <c r="BF13" s="373"/>
      <c r="BG13" s="373"/>
      <c r="BH13" s="420"/>
      <c r="BI13" s="373"/>
      <c r="BJ13" s="373"/>
      <c r="BK13" s="373"/>
      <c r="BL13" s="417"/>
      <c r="BM13" s="376" t="s">
        <v>737</v>
      </c>
      <c r="BN13" s="373"/>
      <c r="BO13" s="373"/>
      <c r="BP13" s="373"/>
      <c r="BQ13" s="420"/>
      <c r="BR13" s="373"/>
      <c r="BS13" s="373"/>
      <c r="BT13" s="373"/>
    </row>
    <row r="14" spans="2:72" x14ac:dyDescent="0.25">
      <c r="B14" s="206" t="s">
        <v>569</v>
      </c>
      <c r="C14" s="202" cm="1">
        <f t="array" ref="C14">MEDIAN(_xlfn._xlws.FILTER(Table9[Income per beneficiary (USD)], (Table9[Income per beneficiary (USD)]&gt;0)*(Table9[Grouping]="Group 1")))</f>
        <v>108.65816765946225</v>
      </c>
      <c r="D14" s="202">
        <f t="array" ref="D14">AVERAGE(_xlfn._xlws.FILTER(Table9[Income per beneficiary (USD)], (Table9[Income per beneficiary (USD)]&gt;0)*(Table9[Grouping]="Group 1")))</f>
        <v>163.44125863805684</v>
      </c>
      <c r="E14" s="15">
        <f>COUNTIFS(Table9[Income per beneficiary (USD)],"&gt;0", Table9[Grouping],"Group 1")</f>
        <v>6</v>
      </c>
      <c r="F14" s="195">
        <f t="array" ref="F14">_xlfn.LET(
_xlpm.data,_xlfn._xlws.FILTER(
Table9[Income per beneficiary (USD)],
(Table9[Income per beneficiary (USD)]&gt;0)*
(Table9[Grouping]="Group 1")
),
_xlpm.med,MEDIAN(_xlpm.data),
_xlpm.mad,MEDIAN(ABS(_xlpm.data-_xlpm.med)),
SUMPRODUCT(--(ABS(_xlpm.data-_xlpm.med)&gt;2.5*_xlpm.mad))/COUNT(_xlpm.data)
)</f>
        <v>0.33333333333333331</v>
      </c>
      <c r="G14" s="15">
        <f t="array" ref="G14">_xlfn.LET(
_xlpm.data,_xlfn._xlws.FILTER(
Table9[Income per beneficiary (USD)],
(Table9[Income per beneficiary (USD)]&gt;0)*
(Table9[Grouping]="Group 1")
),
_xlpm.med,MEDIAN(_xlpm.data),
_xlpm.mad,MEDIAN(ABS(_xlpm.data-_xlpm.med)),
SUMPRODUCT(--(ABS(_xlpm.data-_xlpm.med)&gt;2.5*_xlpm.mad))
)</f>
        <v>2</v>
      </c>
      <c r="H14" s="202">
        <f t="array" ref="H14">_xlfn.LET(
_xlpm.data,_xlfn._xlws.FILTER(
Table9[Income per beneficiary (USD)],
(Table9[Income per beneficiary (USD)]&gt;0)*
(Table9[Grouping]="Group 1")
),
_xlpm.med,MEDIAN(_xlpm.data),
_xlpm.mad,MEDIAN(ABS(_xlpm.data-_xlpm.med)),
AVERAGE(_xlfn._xlws.FILTER(_xlpm.data,ABS(_xlpm.data-_xlpm.med)&lt;=2.5*_xlpm.mad))
)</f>
        <v>78.476919036384587</v>
      </c>
      <c r="I14" s="202">
        <f>E14-G14</f>
        <v>4</v>
      </c>
      <c r="J14" s="130"/>
      <c r="K14" s="206" t="s">
        <v>569</v>
      </c>
      <c r="L14" s="203">
        <f t="array" ref="L14">MEDIAN(
_xlfn._xlws.FILTER(
Table9[Normalised Income Impact Ratio],
ISNUMBER(Table9[Normalised Income Impact Ratio])*
(Table9[Normalised Income Impact Ratio]&gt;0)*
(Table9[Grouping]="Group 1")
)
)</f>
        <v>1.8666992000736318E-2</v>
      </c>
      <c r="M14" s="203">
        <f t="array" ref="M14">AVERAGE(
_xlfn._xlws.FILTER(
Table9[Normalised Income Impact Ratio],
ISNUMBER(Table9[Normalised Income Impact Ratio])*
(Table9[Normalised Income Impact Ratio]&gt;0)*
(Table9[Grouping]="Group 1")
)
)</f>
        <v>1.7297835719515049E-2</v>
      </c>
      <c r="N14" s="202">
        <f>COUNTIFS(
Table9[Normalised Income Impact Ratio],"&gt;0",
Table9[Grouping],"Group 1"
)</f>
        <v>5</v>
      </c>
      <c r="O14" s="195">
        <f t="array" ref="O14">_xlfn.LET(
_xlpm.data,_xlfn._xlws.FILTER(
Table9[Normalised Income Impact Ratio],
ISNUMBER(Table9[Normalised Income Impact Ratio])*
(Table9[Normalised Income Impact Ratio]&gt;0)*
(Table9[Grouping]="Group 1")
),
_xlpm.med,MEDIAN(_xlpm.data),
_xlpm.mad,MEDIAN(ABS(_xlpm.data-_xlpm.med)),
SUMPRODUCT(--(ABS(_xlpm.data-_xlpm.med)&gt;2.5*_xlpm.mad))/COUNT(_xlpm.data)
)</f>
        <v>0.2</v>
      </c>
      <c r="P14" s="202">
        <f t="array" ref="P14">_xlfn.LET(
_xlpm.data,_xlfn._xlws.FILTER(
Table9[Normalised Income Impact Ratio],
ISNUMBER(Table9[Normalised Income Impact Ratio])*
(Table9[Normalised Income Impact Ratio]&gt;0)*
(Table9[Grouping]="Group 1")
),
_xlpm.med,MEDIAN(_xlpm.data),
_xlpm.mad,MEDIAN(ABS(_xlpm.data-_xlpm.med)),
SUMPRODUCT(--(ABS(_xlpm.data-_xlpm.med)&gt;2.5*_xlpm.mad))
)</f>
        <v>1</v>
      </c>
      <c r="Q14" s="203">
        <f t="array" ref="Q14">_xlfn.LET(
_xlpm.data,_xlfn._xlws.FILTER(
Table9[Normalised Income Impact Ratio],
ISNUMBER(Table9[Normalised Income Impact Ratio])*
(Table9[Normalised Income Impact Ratio]&gt;0)*
(Table9[Grouping]="Group 1")
),
_xlpm.med,MEDIAN(_xlpm.data),
_xlpm.mad,MEDIAN(ABS(_xlpm.data-_xlpm.med)),
AVERAGE(_xlfn._xlws.FILTER(_xlpm.data,ABS(_xlpm.data-_xlpm.med)&lt;=2.5*_xlpm.mad))
)</f>
        <v>2.1521500998600163E-2</v>
      </c>
      <c r="R14" s="202">
        <f>N14-P14</f>
        <v>4</v>
      </c>
      <c r="S14" s="130"/>
      <c r="T14" s="206" t="s">
        <v>569</v>
      </c>
      <c r="U14" s="203">
        <f t="array" ref="U14">MEDIAN(
_xlfn._xlws.FILTER(
Table9[Private Sector Investment (USD) / Project cost ],
ISNUMBER(Table9[Private Sector Investment (USD) / Project cost ])*
(Table9[Private Sector Investment (USD) / Project cost ]&gt;0)*
(Table9[Grouping]="Group 1")
)
)</f>
        <v>0.2697065081379364</v>
      </c>
      <c r="V14" s="203">
        <f t="array" ref="V14">AVERAGE(
_xlfn._xlws.FILTER(
Table9[Private Sector Investment (USD) / Project cost ],
ISNUMBER(Table9[Private Sector Investment (USD) / Project cost ])*
(Table9[Private Sector Investment (USD) / Project cost ]&gt;0)*
(Table9[Grouping]="Group 1")
)
)</f>
        <v>1.0410856123405396</v>
      </c>
      <c r="W14" s="15">
        <f>COUNTIFS(
Table9[Private Sector Investment (USD) / Project cost ],"&gt;0",
Table9[Grouping],"Group 1"
)</f>
        <v>10</v>
      </c>
      <c r="X14" s="195">
        <f t="array" ref="X14">_xlfn.LET(
_xlpm.data,_xlfn._xlws.FILTER(
Table9[Private Sector Investment (USD) / Project cost ],
ISNUMBER(Table9[Private Sector Investment (USD) / Project cost ])*
(Table9[Private Sector Investment (USD) / Project cost ]&gt;0)*
(Table9[Grouping]="Group 1")
),
_xlpm.med,MEDIAN(_xlpm.data),
_xlpm.mad,MEDIAN(ABS(_xlpm.data-_xlpm.med)),
SUMPRODUCT(--(ABS(_xlpm.data-_xlpm.med)&gt;2.5*_xlpm.mad))/COUNT(_xlpm.data)
)</f>
        <v>0.3</v>
      </c>
      <c r="Y14" s="15">
        <f t="array" ref="Y14">_xlfn.LET(
_xlpm.data,_xlfn._xlws.FILTER(
Table9[Private Sector Investment (USD) / Project cost ],
ISNUMBER(Table9[Private Sector Investment (USD) / Project cost ])*
(Table9[Private Sector Investment (USD) / Project cost ]&gt;0)*
(Table9[Grouping]="Group 1")
),
_xlpm.med,MEDIAN(_xlpm.data),
_xlpm.mad,MEDIAN(ABS(_xlpm.data-_xlpm.med)),
SUMPRODUCT(--(ABS(_xlpm.data-_xlpm.med)&gt;2.5*_xlpm.mad))
)</f>
        <v>3</v>
      </c>
      <c r="Z14" s="203">
        <f t="array" ref="Z14">_xlfn.LET(
_xlpm.data,_xlfn._xlws.FILTER(
Table9[Private Sector Investment (USD) / Project cost ],
ISNUMBER(Table9[Private Sector Investment (USD) / Project cost ])*
(Table9[Private Sector Investment (USD) / Project cost ]&gt;0)*
(Table9[Grouping]="Group 1")
),
_xlpm.med,MEDIAN(_xlpm.data),
_xlpm.mad,MEDIAN(ABS(_xlpm.data-_xlpm.med)),
AVERAGE(_xlfn._xlws.FILTER(_xlpm.data,ABS(_xlpm.data-_xlpm.med)&lt;=2.5*_xlpm.mad))
)</f>
        <v>0.18838534009125088</v>
      </c>
      <c r="AA14" s="15">
        <f>W14-Y14</f>
        <v>7</v>
      </c>
      <c r="AC14" s="206" t="s">
        <v>569</v>
      </c>
      <c r="AD14" s="203">
        <f t="array" ref="AD14">MEDIAN(
_xlfn._xlws.FILTER(
Table9[Private Sector Revenues Generated (USD) / Project cost],
ISNUMBER(Table9[Private Sector Revenues Generated (USD) / Project cost])*
(Table9[Private Sector Revenues Generated (USD) / Project cost]&gt;0)*
(Table9[Grouping]="Group 1")
)
)</f>
        <v>0.68604651162790697</v>
      </c>
      <c r="AE14" s="203">
        <f t="array" ref="AE14">AVERAGE(
_xlfn._xlws.FILTER(
Table9[Private Sector Revenues Generated (USD) / Project cost],
ISNUMBER(Table9[Private Sector Revenues Generated (USD) / Project cost])*
(Table9[Private Sector Revenues Generated (USD) / Project cost]&gt;0)*
(Table9[Grouping]="Group 1")
)
)</f>
        <v>1.8431273507494883</v>
      </c>
      <c r="AF14" s="15">
        <f>COUNTIFS(
Table9[Private Sector Revenues Generated (USD) / Project cost],"&gt;0",
Table9[Grouping],"Group 1"
)</f>
        <v>9</v>
      </c>
      <c r="AG14" s="195">
        <f t="array" ref="AG14">_xlfn.LET(
_xlpm.data,_xlfn._xlws.FILTER(
Table9[Private Sector Revenues Generated (USD) / Project cost],
ISNUMBER(Table9[Private Sector Revenues Generated (USD) / Project cost])*
(Table9[Private Sector Revenues Generated (USD) / Project cost]&gt;0)*
(Table9[Grouping]="Group 1")
),
_xlpm.med,MEDIAN(_xlpm.data),
_xlpm.mad,MEDIAN(ABS(_xlpm.data-_xlpm.med)),
SUMPRODUCT(--(ABS(_xlpm.data-_xlpm.med)&gt;2.5*_xlpm.mad))/COUNT(_xlpm.data)
)</f>
        <v>0.1111111111111111</v>
      </c>
      <c r="AH14" s="15">
        <f t="array" ref="AH14">_xlfn.LET(
_xlpm.data,_xlfn._xlws.FILTER(
Table9[Private Sector Revenues Generated (USD) / Project cost],
ISNUMBER(Table9[Private Sector Revenues Generated (USD) / Project cost])*
(Table9[Private Sector Revenues Generated (USD) / Project cost]&gt;0)*
(Table9[Grouping]="Group 1")
),
_xlpm.med,MEDIAN(_xlpm.data),
_xlpm.mad,MEDIAN(ABS(_xlpm.data-_xlpm.med)),
SUMPRODUCT(--(ABS(_xlpm.data-_xlpm.med)&gt;2.5*_xlpm.mad))
)</f>
        <v>1</v>
      </c>
      <c r="AI14" s="203">
        <f t="array" ref="AI14">_xlfn.LET(
_xlpm.data,_xlfn._xlws.FILTER(
Table9[Private Sector Revenues Generated (USD) / Project cost],
ISNUMBER(Table9[Private Sector Revenues Generated (USD) / Project cost])*
(Table9[Private Sector Revenues Generated (USD) / Project cost]&gt;0)*
(Table9[Grouping]="Group 1")
),
_xlpm.med,MEDIAN(_xlpm.data),
_xlpm.mad,MEDIAN(ABS(_xlpm.data-_xlpm.med)),
AVERAGE(_xlfn._xlws.FILTER(_xlpm.data,ABS(_xlpm.data-_xlpm.med)&lt;=2.5*_xlpm.mad))
)</f>
        <v>0.79243985376346848</v>
      </c>
      <c r="AJ14" s="15">
        <f>AF14-AH14</f>
        <v>8</v>
      </c>
      <c r="AL14" s="206" t="s">
        <v>569</v>
      </c>
      <c r="AM14" s="203">
        <f t="array" ref="AM14">MEDIAN(
_xlfn._xlws.FILTER(
Table9[Export Revenue Generated (USD) /Project Cost],
ISNUMBER(Table9[Export Revenue Generated (USD) /Project Cost])*
(Table9[Export Revenue Generated (USD) /Project Cost]&gt;0)*
(Table9[Grouping]="Group 1")
)
)</f>
        <v>3.6333847829880667E-2</v>
      </c>
      <c r="AN14" s="203">
        <f t="array" ref="AN14">AVERAGE(
_xlfn._xlws.FILTER(
Table9[Export Revenue Generated (USD) /Project Cost],
ISNUMBER(Table9[Export Revenue Generated (USD) /Project Cost])*
(Table9[Export Revenue Generated (USD) /Project Cost]&gt;0)*
(Table9[Grouping]="Group 1")
)
)</f>
        <v>3.6333847829880667E-2</v>
      </c>
      <c r="AO14" s="15">
        <f>COUNTIFS(
Table9[Export Revenue Generated (USD) /Project Cost],"&gt;0",
Table9[Grouping],"Group 1"
)</f>
        <v>1</v>
      </c>
      <c r="AP14" s="195">
        <f t="array" ref="AP14">_xlfn.LET(
_xlpm.data,_xlfn._xlws.FILTER(
Table9[Export Revenue Generated (USD) /Project Cost],
ISNUMBER(Table9[Export Revenue Generated (USD) /Project Cost])*
(Table9[Export Revenue Generated (USD) /Project Cost]&gt;0)*
(Table9[Grouping]="Group 1")
),
_xlpm.med,MEDIAN(_xlpm.data),
_xlpm.mad,MEDIAN(ABS(_xlpm.data-_xlpm.med)),
SUMPRODUCT(--(ABS(_xlpm.data-_xlpm.med)&gt;2.5*_xlpm.mad))/COUNT(_xlpm.data)
)</f>
        <v>0</v>
      </c>
      <c r="AQ14" s="15">
        <f t="array" ref="AQ14">_xlfn.LET(
_xlpm.data,_xlfn._xlws.FILTER(
Table9[Export Revenue Generated (USD) /Project Cost],
ISNUMBER(Table9[Export Revenue Generated (USD) /Project Cost])*
(Table9[Export Revenue Generated (USD) /Project Cost]&gt;0)*
(Table9[Grouping]="Group 1")
),
_xlpm.med,MEDIAN(_xlpm.data),
_xlpm.mad,MEDIAN(ABS(_xlpm.data-_xlpm.med)),
SUMPRODUCT(--(ABS(_xlpm.data-_xlpm.med)&gt;2.5*_xlpm.mad))
)</f>
        <v>0</v>
      </c>
      <c r="AR14" s="203">
        <f t="array" ref="AR14">_xlfn.LET(
_xlpm.data,_xlfn._xlws.FILTER(
Table9[Export Revenue Generated (USD) /Project Cost],
ISNUMBER(Table9[Export Revenue Generated (USD) /Project Cost])*
(Table9[Export Revenue Generated (USD) /Project Cost]&gt;0)*
(Table9[Grouping]="Group 1")
),
_xlpm.med,MEDIAN(_xlpm.data),
_xlpm.mad,MEDIAN(ABS(_xlpm.data-_xlpm.med)),
AVERAGE(_xlfn._xlws.FILTER(_xlpm.data,ABS(_xlpm.data-_xlpm.med)&lt;=2.5*_xlpm.mad))
)</f>
        <v>3.6333847829880667E-2</v>
      </c>
      <c r="AS14" s="15">
        <f>AO14-AQ14</f>
        <v>1</v>
      </c>
      <c r="AU14" s="206" t="s">
        <v>569</v>
      </c>
      <c r="AV14" s="202">
        <f t="array" ref="AV14">MEDIAN(
_xlfn._xlws.FILTER(
Table9[Job created per $Mn],
ISNUMBER(Table9[Job created per $Mn])*
(Table9[Job created per $Mn]&gt;0)*
(Table9[Grouping]="Group 1")
)
)</f>
        <v>83.451118963486451</v>
      </c>
      <c r="AW14" s="202">
        <f t="array" ref="AW14">AVERAGE(
_xlfn._xlws.FILTER(
Table9[Job created per $Mn],
ISNUMBER(Table9[Job created per $Mn])*
(Table9[Job created per $Mn]&gt;0)*
(Table9[Grouping]="Group 1")
)
)</f>
        <v>1794.7326991547473</v>
      </c>
      <c r="AX14" s="15">
        <f>COUNTIFS(
Table9[Job created per $Mn],"&gt;0",
Table9[Grouping],"Group 1"
)</f>
        <v>7</v>
      </c>
      <c r="AY14" s="195">
        <f t="array" ref="AY14">_xlfn.LET(
_xlpm.data,
_xlfn._xlws.FILTER(
Table9[Job created per $Mn],
ISNUMBER(Table9[Job created per $Mn])*
(Table9[Job created per $Mn]&gt;0)*
(Table9[Grouping]="Group 1")
),
_xlpm.med,
MEDIAN(_xlpm.data),
_xlpm.mad,
MEDIAN(ABS(_xlpm.data-_xlpm.med)),
SUMPRODUCT(--(ABS(_xlpm.data-_xlpm.med)&gt;2.5*_xlpm.mad))/COUNT(_xlpm.data)
)</f>
        <v>0.42857142857142855</v>
      </c>
      <c r="AZ14" s="15">
        <f t="array" ref="AZ14">_xlfn.LET(
_xlpm.data,
_xlfn._xlws.FILTER(
Table9[Job created per $Mn],
ISNUMBER(Table9[Job created per $Mn])*
(Table9[Job created per $Mn]&gt;0)*
(Table9[Grouping]="Group 1")
),
_xlpm.med,
MEDIAN(_xlpm.data),
_xlpm.mad,
MEDIAN(ABS(_xlpm.data-_xlpm.med)),
SUMPRODUCT(--(ABS(_xlpm.data-_xlpm.med)&gt;2.5*_xlpm.mad))
)</f>
        <v>3</v>
      </c>
      <c r="BA14" s="202">
        <f t="array" ref="BA14">_xlfn.LET(
_xlpm.data,
_xlfn._xlws.FILTER(
Table9[Job created per $Mn],
ISNUMBER(Table9[Job created per $Mn])*
(Table9[Job created per $Mn]&gt;0)*
(Table9[Grouping]="Group 1")
),
_xlpm.med,
MEDIAN(_xlpm.data),
_xlpm.mad,
MEDIAN(ABS(_xlpm.data-_xlpm.med)),
AVERAGE(
_xlfn._xlws.FILTER(
_xlpm.data,
ABS(_xlpm.data-_xlpm.med)&lt;=2.5*_xlpm.mad
)
)
)</f>
        <v>37.362166931668924</v>
      </c>
      <c r="BB14" s="15">
        <f>AX14-AZ14</f>
        <v>4</v>
      </c>
      <c r="BD14" s="206" t="s">
        <v>569</v>
      </c>
      <c r="BE14" s="202">
        <f t="array" ref="BE14">MEDIAN(
_xlfn._xlws.FILTER(
Table9[Job improved per $Mn],
ISNUMBER(Table9[Job improved per $Mn])*
(Table9[Job improved per $Mn]&gt;0)*
(Table9[Grouping]="Group 1")
)
)</f>
        <v>4904.8194999176394</v>
      </c>
      <c r="BF14" s="202">
        <f t="array" ref="BF14">AVERAGE(
_xlfn._xlws.FILTER(
Table9[Job improved per $Mn],
ISNUMBER(Table9[Job improved per $Mn])*
(Table9[Job improved per $Mn]&gt;0)*
(Table9[Grouping]="Group 1")
)
)</f>
        <v>8992.6136819514777</v>
      </c>
      <c r="BG14" s="15">
        <f>COUNTIFS(
Table9[Job improved per $Mn],"&gt;0",
Table9[Grouping],"Group 1"
)</f>
        <v>10</v>
      </c>
      <c r="BH14" s="195">
        <f t="array" ref="BH14">_xlfn.LET(
_xlpm.data,
_xlfn._xlws.FILTER(
Table9[Job improved per $Mn],
ISNUMBER(Table9[Job improved per $Mn])*
(Table9[Job improved per $Mn]&gt;0)*
(Table9[Grouping]="Group 1")
),
_xlpm.med,
MEDIAN(_xlpm.data),
_xlpm.mad,
MEDIAN(ABS(_xlpm.data-_xlpm.med)),
SUMPRODUCT(--(ABS(_xlpm.data-_xlpm.med)&gt;2.5*_xlpm.mad))/COUNT(_xlpm.data)
)</f>
        <v>0.1</v>
      </c>
      <c r="BI14" s="15">
        <f t="array" ref="BI14">_xlfn.LET(
_xlpm.data,
_xlfn._xlws.FILTER(
Table9[Job improved per $Mn],
ISNUMBER(Table9[Job improved per $Mn])*
(Table9[Job improved per $Mn]&gt;0)*
(Table9[Grouping]="Group 1")
),
_xlpm.med,
MEDIAN(_xlpm.data),
_xlpm.mad,
MEDIAN(ABS(_xlpm.data-_xlpm.med)),
SUMPRODUCT(--(ABS(_xlpm.data-_xlpm.med)&gt;2.5*_xlpm.mad))
)</f>
        <v>1</v>
      </c>
      <c r="BJ14" s="202">
        <f t="array" ref="BJ14">_xlfn.LET(
_xlpm.data,
_xlfn._xlws.FILTER(
Table9[Job improved per $Mn],
ISNUMBER(Table9[Job improved per $Mn])*
(Table9[Job improved per $Mn]&gt;0)*
(Table9[Grouping]="Group 1")
),
_xlpm.med,
MEDIAN(_xlpm.data),
_xlpm.mad,
MEDIAN(ABS(_xlpm.data-_xlpm.med)),
AVERAGE(
_xlfn._xlws.FILTER(
_xlpm.data,
ABS(_xlpm.data-_xlpm.med)&lt;=2.5*_xlpm.mad
)
)
)</f>
        <v>5676.3537572809855</v>
      </c>
      <c r="BK14" s="15">
        <f>BG14-BI14</f>
        <v>9</v>
      </c>
      <c r="BM14" s="206" t="s">
        <v>569</v>
      </c>
      <c r="BN14" s="203">
        <f t="array" ref="BN14">MEDIAN(
_xlfn._xlws.FILTER(
Table9[Beneficiary Income (USD) / Project Cost],
ISNUMBER(Table9[Beneficiary Income (USD) / Project Cost])*
(Table9[Beneficiary Income (USD) / Project Cost]&gt;0)*
(Table9[Grouping]="Group 1")
)
)</f>
        <v>1.1971754362416105</v>
      </c>
      <c r="BO14" s="203">
        <f t="array" ref="BO14">AVERAGE(
_xlfn._xlws.FILTER(
Table9[Beneficiary Income (USD) / Project Cost],
ISNUMBER(Table9[Beneficiary Income (USD) / Project Cost])*
(Table9[Beneficiary Income (USD) / Project Cost]&gt;0)*
(Table9[Grouping]="Group 1")
)
)</f>
        <v>1.4361119292339291</v>
      </c>
      <c r="BP14" s="15">
        <f>COUNTIFS(
Table9[Beneficiary Income (USD) / Project Cost],"&gt;0",
Table9[Grouping],"Group 1"
)</f>
        <v>6</v>
      </c>
      <c r="BQ14" s="195">
        <f t="array" ref="BQ14">_xlfn.LET(
_xlpm.data,
_xlfn._xlws.FILTER(
Table9[Beneficiary Income (USD) / Project Cost],
ISNUMBER(Table9[Beneficiary Income (USD) / Project Cost])*
(Table9[Beneficiary Income (USD) / Project Cost]&gt;0)*
(Table9[Grouping]="Group 1")
),
_xlpm.med,
MEDIAN(_xlpm.data),
_xlpm.mad,
MEDIAN(ABS(_xlpm.data-_xlpm.med)),
SUMPRODUCT(--(ABS(_xlpm.data-_xlpm.med)&gt;2.5*_xlpm.mad))/COUNT(_xlpm.data)
)</f>
        <v>0</v>
      </c>
      <c r="BR14" s="15">
        <f t="array" ref="BR14">_xlfn.LET(
_xlpm.data,
_xlfn._xlws.FILTER(
Table9[Beneficiary Income (USD) / Project Cost],
ISNUMBER(Table9[Beneficiary Income (USD) / Project Cost])*
(Table9[Beneficiary Income (USD) / Project Cost]&gt;0)*
(Table9[Grouping]="Group 1")
),
_xlpm.med,
MEDIAN(_xlpm.data),
_xlpm.mad,
MEDIAN(ABS(_xlpm.data-_xlpm.med)),
SUMPRODUCT(--(ABS(_xlpm.data-_xlpm.med)&gt;2.5*_xlpm.mad))
)</f>
        <v>0</v>
      </c>
      <c r="BS14" s="203">
        <f t="array" ref="BS14">_xlfn.LET(
_xlpm.data,
_xlfn._xlws.FILTER(
Table9[Beneficiary Income (USD) / Project Cost],
ISNUMBER(Table9[Beneficiary Income (USD) / Project Cost])*
(Table9[Beneficiary Income (USD) / Project Cost]&gt;0)*
(Table9[Grouping]="Group 1")
),
_xlpm.med,
MEDIAN(_xlpm.data),
_xlpm.mad,
MEDIAN(ABS(_xlpm.data-_xlpm.med)),
AVERAGE(
_xlfn._xlws.FILTER(
_xlpm.data,
ABS(_xlpm.data-_xlpm.med)&lt;=2.5*_xlpm.mad
)
)
)</f>
        <v>1.4361119292339291</v>
      </c>
      <c r="BT14" s="15">
        <f>BP14-BR14</f>
        <v>6</v>
      </c>
    </row>
    <row r="15" spans="2:72" x14ac:dyDescent="0.25">
      <c r="B15" s="206" t="s">
        <v>658</v>
      </c>
      <c r="C15" s="202">
        <f t="array" ref="C15">MEDIAN(_xlfn._xlws.FILTER(Table9[Income per beneficiary (USD)], (Table9[Income per beneficiary (USD)]&gt;0)*(Table9[Grouping]="Group 2A (Low Stability)")))</f>
        <v>198.7638426627511</v>
      </c>
      <c r="D15" s="202">
        <f t="array" ref="D15">AVERAGE(_xlfn._xlws.FILTER(Table9[Income per beneficiary (USD)], (Table9[Income per beneficiary (USD)]&gt;0)*(Table9[Grouping]="Group 2A (Low Stability)")))</f>
        <v>269.01597688280367</v>
      </c>
      <c r="E15" s="15">
        <f>COUNTIFS(Table9[Income per beneficiary (USD)],"&gt;0", Table9[Grouping],"Group 2A (Low Stability)")</f>
        <v>16</v>
      </c>
      <c r="F15" s="195">
        <f t="array" ref="F15">_xlfn.LET(
_xlpm.data,_xlfn._xlws.FILTER(
Table9[Income per beneficiary (USD)],
(Table9[Income per beneficiary (USD)]&gt;0)*
(Table9[Grouping]="Group 2A (Low Stability)")
),
_xlpm.med,MEDIAN(_xlpm.data),
_xlpm.mad,MEDIAN(ABS(_xlpm.data-_xlpm.med)),
SUMPRODUCT(--(ABS(_xlpm.data-_xlpm.med)&gt;2.5*_xlpm.mad))/COUNT(_xlpm.data)
)</f>
        <v>0.125</v>
      </c>
      <c r="G15" s="15">
        <f t="array" ref="G15">_xlfn.LET(
_xlpm.data,_xlfn._xlws.FILTER(
Table9[Income per beneficiary (USD)],
(Table9[Income per beneficiary (USD)]&gt;0)*
(Table9[Grouping]="Group 2A (Low Stability)")
),
_xlpm.med,MEDIAN(_xlpm.data),
_xlpm.mad,MEDIAN(ABS(_xlpm.data-_xlpm.med)),
SUMPRODUCT(--(ABS(_xlpm.data-_xlpm.med)&gt;2.5*_xlpm.mad))
)</f>
        <v>2</v>
      </c>
      <c r="H15" s="202">
        <f t="array" ref="H15">_xlfn.LET(
_xlpm.data,_xlfn._xlws.FILTER(
Table9[Income per beneficiary (USD)],
(Table9[Income per beneficiary (USD)]&gt;0)*
(Table9[Grouping]="Group 2A (Low Stability)")
),
_xlpm.med,MEDIAN(_xlpm.data),
_xlpm.mad,MEDIAN(ABS(_xlpm.data-_xlpm.med)),
AVERAGE(_xlfn._xlws.FILTER(_xlpm.data,ABS(_xlpm.data-_xlpm.med)&lt;=2.5*_xlpm.mad))
)</f>
        <v>217.63550829196475</v>
      </c>
      <c r="I15" s="202">
        <f>E15-G15</f>
        <v>14</v>
      </c>
      <c r="J15" s="130"/>
      <c r="K15" s="206" t="s">
        <v>658</v>
      </c>
      <c r="L15" s="203">
        <f t="array" ref="L15">MEDIAN(
_xlfn._xlws.FILTER(
Table9[Normalised Income Impact Ratio],
ISNUMBER(Table9[Normalised Income Impact Ratio])*
(Table9[Normalised Income Impact Ratio]&gt;0)*
(Table9[Grouping]="Group 2A (Low Stability)")
)
)</f>
        <v>2.6056929877820469E-2</v>
      </c>
      <c r="M15" s="203">
        <f t="array" ref="M15">AVERAGE(
_xlfn._xlws.FILTER(
Table9[Normalised Income Impact Ratio],
ISNUMBER(Table9[Normalised Income Impact Ratio])*
(Table9[Normalised Income Impact Ratio]&gt;0)*
(Table9[Grouping]="Group 2A (Low Stability)")
)
)</f>
        <v>5.953055608129474E-2</v>
      </c>
      <c r="N15" s="202">
        <f>COUNTIFS(
Table9[Normalised Income Impact Ratio],"&gt;0",
Table9[Grouping],"Group 2A (Low Stability)"
)</f>
        <v>16</v>
      </c>
      <c r="O15" s="195">
        <f t="array" ref="O15">_xlfn.LET(
_xlpm.data,_xlfn._xlws.FILTER(
Table9[Normalised Income Impact Ratio],
ISNUMBER(Table9[Normalised Income Impact Ratio])*
(Table9[Normalised Income Impact Ratio]&gt;0)*
(Table9[Grouping]="Group 2A (Low Stability)")
),
_xlpm.med,MEDIAN(_xlpm.data),
_xlpm.mad,MEDIAN(ABS(_xlpm.data-_xlpm.med)),
SUMPRODUCT(--(ABS(_xlpm.data-_xlpm.med)&gt;2.5*_xlpm.mad))/COUNT(_xlpm.data)
)</f>
        <v>0.3125</v>
      </c>
      <c r="P15" s="202">
        <f t="array" ref="P15">_xlfn.LET(
_xlpm.data,_xlfn._xlws.FILTER(
Table9[Normalised Income Impact Ratio],
ISNUMBER(Table9[Normalised Income Impact Ratio])*
(Table9[Normalised Income Impact Ratio]&gt;0)*
(Table9[Grouping]="Group 2A (Low Stability)")
),
_xlpm.med,MEDIAN(_xlpm.data),
_xlpm.mad,MEDIAN(ABS(_xlpm.data-_xlpm.med)),
SUMPRODUCT(--(ABS(_xlpm.data-_xlpm.med)&gt;2.5*_xlpm.mad))
)</f>
        <v>5</v>
      </c>
      <c r="Q15" s="203">
        <f t="array" ref="Q15">_xlfn.LET(
_xlpm.data,_xlfn._xlws.FILTER(
Table9[Normalised Income Impact Ratio],
ISNUMBER(Table9[Normalised Income Impact Ratio])*
(Table9[Normalised Income Impact Ratio]&gt;0)*
(Table9[Grouping]="Group 2A (Low Stability)")
),
_xlpm.med,MEDIAN(_xlpm.data),
_xlpm.mad,MEDIAN(ABS(_xlpm.data-_xlpm.med)),
AVERAGE(_xlfn._xlws.FILTER(_xlpm.data,ABS(_xlpm.data-_xlpm.med)&lt;=2.5*_xlpm.mad))
)</f>
        <v>2.1945071535214869E-2</v>
      </c>
      <c r="R15" s="202">
        <f>N15-P15</f>
        <v>11</v>
      </c>
      <c r="S15" s="130"/>
      <c r="T15" s="206" t="s">
        <v>658</v>
      </c>
      <c r="U15" s="203">
        <f t="array" ref="U15">MEDIAN(
_xlfn._xlws.FILTER(
Table9[Private Sector Investment (USD) / Project cost ],
ISNUMBER(Table9[Private Sector Investment (USD) / Project cost ])*
(Table9[Private Sector Investment (USD) / Project cost ]&gt;0)*
(Table9[Grouping]="Group 2A (Low Stability)")
)
)</f>
        <v>0.31970482897384311</v>
      </c>
      <c r="V15" s="203">
        <f t="array" ref="V15">AVERAGE(
_xlfn._xlws.FILTER(
Table9[Private Sector Investment (USD) / Project cost ],
ISNUMBER(Table9[Private Sector Investment (USD) / Project cost ])*
(Table9[Private Sector Investment (USD) / Project cost ]&gt;0)*
(Table9[Grouping]="Group 2A (Low Stability)")
)
)</f>
        <v>0.74490777167947742</v>
      </c>
      <c r="W15" s="15">
        <f>COUNTIFS(
Table9[Private Sector Investment (USD) / Project cost ],"&gt;0",
Table9[Grouping],"Group 2A (Low Stability)"
)</f>
        <v>17</v>
      </c>
      <c r="X15" s="195">
        <f t="array" ref="X15">_xlfn.LET(
_xlpm.data,_xlfn._xlws.FILTER(
Table9[Private Sector Investment (USD) / Project cost ],
ISNUMBER(Table9[Private Sector Investment (USD) / Project cost ])*
(Table9[Private Sector Investment (USD) / Project cost ]&gt;0)*
(Table9[Grouping]="Group 2A (Low Stability)")
),
_xlpm.med,MEDIAN(_xlpm.data),
_xlpm.mad,MEDIAN(ABS(_xlpm.data-_xlpm.med)),
SUMPRODUCT(--(ABS(_xlpm.data-_xlpm.med)&gt;2.5*_xlpm.mad))/COUNT(_xlpm.data)
)</f>
        <v>0.29411764705882354</v>
      </c>
      <c r="Y15" s="15">
        <f t="array" ref="Y15">_xlfn.LET(
_xlpm.data,_xlfn._xlws.FILTER(
Table9[Private Sector Investment (USD) / Project cost ],
ISNUMBER(Table9[Private Sector Investment (USD) / Project cost ])*
(Table9[Private Sector Investment (USD) / Project cost ]&gt;0)*
(Table9[Grouping]="Group 2A (Low Stability)")
),
_xlpm.med,MEDIAN(_xlpm.data),
_xlpm.mad,MEDIAN(ABS(_xlpm.data-_xlpm.med)),
SUMPRODUCT(--(ABS(_xlpm.data-_xlpm.med)&gt;2.5*_xlpm.mad))
)</f>
        <v>5</v>
      </c>
      <c r="Z15" s="203">
        <f t="array" ref="Z15">_xlfn.LET(
_xlpm.data,_xlfn._xlws.FILTER(
Table9[Private Sector Investment (USD) / Project cost ],
ISNUMBER(Table9[Private Sector Investment (USD) / Project cost ])*
(Table9[Private Sector Investment (USD) / Project cost ]&gt;0)*
(Table9[Grouping]="Group 2A (Low Stability)")
),
_xlpm.med,MEDIAN(_xlpm.data),
_xlpm.mad,MEDIAN(ABS(_xlpm.data-_xlpm.med)),
AVERAGE(_xlfn._xlws.FILTER(_xlpm.data,ABS(_xlpm.data-_xlpm.med)&lt;=2.5*_xlpm.mad))
)</f>
        <v>0.27223122273315842</v>
      </c>
      <c r="AA15" s="15">
        <f>W15-Y15</f>
        <v>12</v>
      </c>
      <c r="AC15" s="206" t="s">
        <v>658</v>
      </c>
      <c r="AD15" s="203">
        <f t="array" ref="AD15">MEDIAN(_xlfn._xlws.FILTER(Table9[Private Sector Revenues Generated (USD) / Project cost],ISNUMBER(Table9[Private Sector Revenues Generated (USD) / Project cost])*(Table9[Private Sector Revenues Generated (USD) / Project cost]&gt;0)*(Table9[Grouping]="Group 2A (Low Stability)")))</f>
        <v>1.9327001256074459</v>
      </c>
      <c r="AE15" s="203">
        <f t="array" ref="AE15">AVERAGE(_xlfn._xlws.FILTER(Table9[Private Sector Revenues Generated (USD) / Project cost],ISNUMBER(Table9[Private Sector Revenues Generated (USD) / Project cost])*(Table9[Private Sector Revenues Generated (USD) / Project cost]&gt;0)*(Table9[Grouping]="Group 2A (Low Stability)")))</f>
        <v>4.9265461189708395</v>
      </c>
      <c r="AF15" s="15">
        <f>COUNTIFS(Table9[Private Sector Revenues Generated (USD) / Project cost],"&gt;0",Table9[Grouping],"Group 2A (Low Stability)")</f>
        <v>14</v>
      </c>
      <c r="AG15" s="195">
        <f t="array" ref="AG15">_xlfn.LET(_xlpm.data,_xlfn._xlws.FILTER(Table9[Private Sector Revenues Generated (USD) / Project cost],ISNUMBER(Table9[Private Sector Revenues Generated (USD) / Project cost])*(Table9[Private Sector Revenues Generated (USD) / Project cost]&gt;0)*(Table9[Grouping]="Group 2A (Low Stability)")),_xlpm.med,MEDIAN(_xlpm.data),_xlpm.mad,MEDIAN(ABS(_xlpm.data-_xlpm.med)),SUMPRODUCT(--(ABS(_xlpm.data-_xlpm.med)&gt;2.5*_xlpm.mad))/COUNT(_xlpm.data))</f>
        <v>0.21428571428571427</v>
      </c>
      <c r="AH15" s="15">
        <f t="array" ref="AH15">_xlfn.LET(_xlpm.data,_xlfn._xlws.FILTER(Table9[Private Sector Revenues Generated (USD) / Project cost],ISNUMBER(Table9[Private Sector Revenues Generated (USD) / Project cost])*(Table9[Private Sector Revenues Generated (USD) / Project cost]&gt;0)*(Table9[Grouping]="Group 2A (Low Stability)")),_xlpm.med,MEDIAN(_xlpm.data),_xlpm.mad,MEDIAN(ABS(_xlpm.data-_xlpm.med)),SUMPRODUCT(--(ABS(_xlpm.data-_xlpm.med)&gt;2.5*_xlpm.mad)))</f>
        <v>3</v>
      </c>
      <c r="AI15" s="203">
        <f t="array" ref="AI15">_xlfn.LET(_xlpm.data,_xlfn._xlws.FILTER(Table9[Private Sector Revenues Generated (USD) / Project cost],ISNUMBER(Table9[Private Sector Revenues Generated (USD) / Project cost])*(Table9[Private Sector Revenues Generated (USD) / Project cost]&gt;0)*(Table9[Grouping]="Group 2A (Low Stability)")),_xlpm.med,MEDIAN(_xlpm.data),_xlpm.mad,MEDIAN(ABS(_xlpm.data-_xlpm.med)),AVERAGE(_xlfn._xlws.FILTER(_xlpm.data,ABS(_xlpm.data-_xlpm.med)&lt;=2.5*_xlpm.mad)))</f>
        <v>1.4361326190379069</v>
      </c>
      <c r="AJ15" s="15">
        <f>AF15-AH15</f>
        <v>11</v>
      </c>
      <c r="AL15" s="206" t="s">
        <v>658</v>
      </c>
      <c r="AM15" s="203">
        <f t="array" ref="AM15">MEDIAN(
_xlfn._xlws.FILTER(
Table9[Export Revenue Generated (USD) /Project Cost],
ISNUMBER(Table9[Export Revenue Generated (USD) /Project Cost])*
(Table9[Export Revenue Generated (USD) /Project Cost]&gt;0)*
(Table9[Grouping]="Group 2A (Low Stability)")
)
)</f>
        <v>9.1880142857142869E-2</v>
      </c>
      <c r="AN15" s="203">
        <f t="array" ref="AN15">AVERAGE(
_xlfn._xlws.FILTER(
Table9[Export Revenue Generated (USD) /Project Cost],
ISNUMBER(Table9[Export Revenue Generated (USD) /Project Cost])*
(Table9[Export Revenue Generated (USD) /Project Cost]&gt;0)*
(Table9[Grouping]="Group 2A (Low Stability)")
)
)</f>
        <v>2.2767586861319393</v>
      </c>
      <c r="AO15" s="15">
        <f>COUNTIFS(
Table9[Export Revenue Generated (USD) /Project Cost],"&gt;0",
Table9[Grouping],"Group 2A (Low Stability)"
)</f>
        <v>7</v>
      </c>
      <c r="AP15" s="195">
        <f t="array" ref="AP15">_xlfn.LET(
_xlpm.data,_xlfn._xlws.FILTER(
Table9[Export Revenue Generated (USD) /Project Cost],
ISNUMBER(Table9[Export Revenue Generated (USD) /Project Cost])*
(Table9[Export Revenue Generated (USD) /Project Cost]&gt;0)*
(Table9[Grouping]="Group 2A (Low Stability)")
),
_xlpm.med,MEDIAN(_xlpm.data),
_xlpm.mad,MEDIAN(ABS(_xlpm.data-_xlpm.med)),
SUMPRODUCT(--(ABS(_xlpm.data-_xlpm.med)&gt;2.5*_xlpm.mad))/COUNT(_xlpm.data)
)</f>
        <v>0.14285714285714285</v>
      </c>
      <c r="AQ15" s="15">
        <f t="array" ref="AQ15">_xlfn.LET(
_xlpm.data,_xlfn._xlws.FILTER(
Table9[Export Revenue Generated (USD) /Project Cost],
ISNUMBER(Table9[Export Revenue Generated (USD) /Project Cost])*
(Table9[Export Revenue Generated (USD) /Project Cost]&gt;0)*
(Table9[Grouping]="Group 2A (Low Stability)")
),
_xlpm.med,MEDIAN(_xlpm.data),
_xlpm.mad,MEDIAN(ABS(_xlpm.data-_xlpm.med)),
SUMPRODUCT(--(ABS(_xlpm.data-_xlpm.med)&gt;2.5*_xlpm.mad))
)</f>
        <v>1</v>
      </c>
      <c r="AR15" s="203">
        <f t="array" ref="AR15">_xlfn.LET(
_xlpm.data,_xlfn._xlws.FILTER(
Table9[Export Revenue Generated (USD) /Project Cost],
ISNUMBER(Table9[Export Revenue Generated (USD) /Project Cost])*
(Table9[Export Revenue Generated (USD) /Project Cost]&gt;0)*
(Table9[Grouping]="Group 2A (Low Stability)")
),
_xlpm.med,MEDIAN(_xlpm.data),
_xlpm.mad,MEDIAN(ABS(_xlpm.data-_xlpm.med)),
AVERAGE(_xlfn._xlws.FILTER(_xlpm.data,ABS(_xlpm.data-_xlpm.med)&lt;=2.5*_xlpm.mad))
)</f>
        <v>7.3882832622338926E-2</v>
      </c>
      <c r="AS15" s="15">
        <f>AO15-AQ15</f>
        <v>6</v>
      </c>
      <c r="AU15" s="206" t="s">
        <v>658</v>
      </c>
      <c r="AV15" s="202">
        <f t="array" ref="AV15">MEDIAN(
_xlfn._xlws.FILTER(
Table9[Job created per $Mn],
ISNUMBER(Table9[Job created per $Mn])*
(Table9[Job created per $Mn]&gt;0)*
(Table9[Grouping]="Group 2A (Low Stability)")
)
)</f>
        <v>635.90163934426232</v>
      </c>
      <c r="AW15" s="202">
        <f t="array" ref="AW15">AVERAGE(
_xlfn._xlws.FILTER(
Table9[Job created per $Mn],
ISNUMBER(Table9[Job created per $Mn])*
(Table9[Job created per $Mn]&gt;0)*
(Table9[Grouping]="Group 2A (Low Stability)")
)
)</f>
        <v>1178.6231341084631</v>
      </c>
      <c r="AX15" s="15">
        <f>COUNTIFS(
Table9[Job created per $Mn],"&gt;0",
Table9[Grouping],"Group 2A (Low Stability)"
)</f>
        <v>13</v>
      </c>
      <c r="AY15" s="195">
        <f t="array" ref="AY15">_xlfn.LET(
_xlpm.data,
_xlfn._xlws.FILTER(
Table9[Job created per $Mn],
ISNUMBER(Table9[Job created per $Mn])*
(Table9[Job created per $Mn]&gt;0)*
(Table9[Grouping]="Group 2A (Low Stability)")
),
_xlpm.med,
MEDIAN(_xlpm.data),
_xlpm.mad,
MEDIAN(ABS(_xlpm.data-_xlpm.med)),
SUMPRODUCT(--(ABS(_xlpm.data-_xlpm.med)&gt;2.5*_xlpm.mad))/COUNT(_xlpm.data)
)</f>
        <v>0.30769230769230771</v>
      </c>
      <c r="AZ15" s="15">
        <f t="array" ref="AZ15">_xlfn.LET(
_xlpm.data,
_xlfn._xlws.FILTER(
Table9[Job created per $Mn],
ISNUMBER(Table9[Job created per $Mn])*
(Table9[Job created per $Mn]&gt;0)*
(Table9[Grouping]="Group 2A (Low Stability)")
),
_xlpm.med,
MEDIAN(_xlpm.data),
_xlpm.mad,
MEDIAN(ABS(_xlpm.data-_xlpm.med)),
SUMPRODUCT(--(ABS(_xlpm.data-_xlpm.med)&gt;2.5*_xlpm.mad))
)</f>
        <v>4</v>
      </c>
      <c r="BA15" s="202">
        <f t="array" ref="BA15">_xlfn.LET(
_xlpm.data,
_xlfn._xlws.FILTER(
Table9[Job created per $Mn],
ISNUMBER(Table9[Job created per $Mn])*
(Table9[Job created per $Mn]&gt;0)*
(Table9[Grouping]="Group 2A (Low Stability)")
),
_xlpm.med,
MEDIAN(_xlpm.data),
_xlpm.mad,
MEDIAN(ABS(_xlpm.data-_xlpm.med)),
AVERAGE(
_xlfn._xlws.FILTER(
_xlpm.data,
ABS(_xlpm.data-_xlpm.med)&lt;=2.5*_xlpm.mad
)
)
)</f>
        <v>517.55639485739061</v>
      </c>
      <c r="BB15" s="15">
        <f>AX15-AZ15</f>
        <v>9</v>
      </c>
      <c r="BD15" s="206" t="s">
        <v>658</v>
      </c>
      <c r="BE15" s="202">
        <f t="array" ref="BE15">MEDIAN(
_xlfn._xlws.FILTER(
Table9[Job improved per $Mn],
ISNUMBER(Table9[Job improved per $Mn])*
(Table9[Job improved per $Mn]&gt;0)*
(Table9[Grouping]="Group 2A (Low Stability)")
)
)</f>
        <v>2497.840827596086</v>
      </c>
      <c r="BF15" s="202">
        <f t="array" ref="BF15">AVERAGE(
_xlfn._xlws.FILTER(
Table9[Job improved per $Mn],
ISNUMBER(Table9[Job improved per $Mn])*
(Table9[Job improved per $Mn]&gt;0)*
(Table9[Grouping]="Group 2A (Low Stability)")
)
)</f>
        <v>7368.4274706699925</v>
      </c>
      <c r="BG15" s="15">
        <f>COUNTIFS(
Table9[Job improved per $Mn],"&gt;0",
Table9[Grouping],"Group 2A (Low Stability)"
)</f>
        <v>21</v>
      </c>
      <c r="BH15" s="195">
        <f t="array" ref="BH15">_xlfn.LET(
_xlpm.data,
_xlfn._xlws.FILTER(
Table9[Job improved per $Mn],
ISNUMBER(Table9[Job improved per $Mn])*
(Table9[Job improved per $Mn]&gt;0)*
(Table9[Grouping]="Group 2A (Low Stability)")
),
_xlpm.med,
MEDIAN(_xlpm.data),
_xlpm.mad,
MEDIAN(ABS(_xlpm.data-_xlpm.med)),
SUMPRODUCT(--(ABS(_xlpm.data-_xlpm.med)&gt;2.5*_xlpm.mad))/COUNT(_xlpm.data)
)</f>
        <v>0.2857142857142857</v>
      </c>
      <c r="BI15" s="15">
        <f t="array" ref="BI15">_xlfn.LET(
_xlpm.data,
_xlfn._xlws.FILTER(
Table9[Job improved per $Mn],
ISNUMBER(Table9[Job improved per $Mn])*
(Table9[Job improved per $Mn]&gt;0)*
(Table9[Grouping]="Group 2A (Low Stability)")
),
_xlpm.med,
MEDIAN(_xlpm.data),
_xlpm.mad,
MEDIAN(ABS(_xlpm.data-_xlpm.med)),
SUMPRODUCT(--(ABS(_xlpm.data-_xlpm.med)&gt;2.5*_xlpm.mad))
)</f>
        <v>6</v>
      </c>
      <c r="BJ15" s="202">
        <f t="array" ref="BJ15">_xlfn.LET(
_xlpm.data,
_xlfn._xlws.FILTER(
Table9[Job improved per $Mn],
ISNUMBER(Table9[Job improved per $Mn])*
(Table9[Job improved per $Mn]&gt;0)*
(Table9[Grouping]="Group 2A (Low Stability)")
),
_xlpm.med,
MEDIAN(_xlpm.data),
_xlpm.mad,
MEDIAN(ABS(_xlpm.data-_xlpm.med)),
AVERAGE(
_xlfn._xlws.FILTER(
_xlpm.data,
ABS(_xlpm.data-_xlpm.med)&lt;=2.5*_xlpm.mad
)
)
)</f>
        <v>2579.2045060776695</v>
      </c>
      <c r="BK15" s="15">
        <f>BG15-BI15</f>
        <v>15</v>
      </c>
      <c r="BM15" s="206" t="s">
        <v>658</v>
      </c>
      <c r="BN15" s="203">
        <f t="array" ref="BN15">MEDIAN(
_xlfn._xlws.FILTER(
Table9[Beneficiary Income (USD) / Project Cost],
ISNUMBER(Table9[Beneficiary Income (USD) / Project Cost])*
(Table9[Beneficiary Income (USD) / Project Cost]&gt;0)*
(Table9[Grouping]="Group 2A (Low Stability)")
)
)</f>
        <v>1.2907713052836876</v>
      </c>
      <c r="BO15" s="203">
        <f t="array" ref="BO15">AVERAGE(
_xlfn._xlws.FILTER(
Table9[Beneficiary Income (USD) / Project Cost],
ISNUMBER(Table9[Beneficiary Income (USD) / Project Cost])*
(Table9[Beneficiary Income (USD) / Project Cost]&gt;0)*
(Table9[Grouping]="Group 2A (Low Stability)")
)
)</f>
        <v>1.8985462700689286</v>
      </c>
      <c r="BP15" s="15">
        <f>COUNTIFS(
Table9[Beneficiary Income (USD) / Project Cost],"&gt;0",
Table9[Grouping],"Group 2A (Low Stability)"
)</f>
        <v>16</v>
      </c>
      <c r="BQ15" s="195">
        <f t="array" ref="BQ15">_xlfn.LET(
_xlpm.data,
_xlfn._xlws.FILTER(
Table9[Beneficiary Income (USD) / Project Cost],
ISNUMBER(Table9[Beneficiary Income (USD) / Project Cost])*
(Table9[Beneficiary Income (USD) / Project Cost]&gt;0)*
(Table9[Grouping]="Group 2A (Low Stability)")
),
_xlpm.med,
MEDIAN(_xlpm.data),
_xlpm.mad,
MEDIAN(ABS(_xlpm.data-_xlpm.med)),
SUMPRODUCT(--(ABS(_xlpm.data-_xlpm.med)&gt;2.5*_xlpm.mad))/COUNT(_xlpm.data)
)</f>
        <v>0.1875</v>
      </c>
      <c r="BR15" s="15">
        <f t="array" ref="BR15">_xlfn.LET(
_xlpm.data,
_xlfn._xlws.FILTER(
Table9[Beneficiary Income (USD) / Project Cost],
ISNUMBER(Table9[Beneficiary Income (USD) / Project Cost])*
(Table9[Beneficiary Income (USD) / Project Cost]&gt;0)*
(Table9[Grouping]="Group 2A (Low Stability)")
),
_xlpm.med,
MEDIAN(_xlpm.data),
_xlpm.mad,
MEDIAN(ABS(_xlpm.data-_xlpm.med)),
SUMPRODUCT(--(ABS(_xlpm.data-_xlpm.med)&gt;2.5*_xlpm.mad))
)</f>
        <v>3</v>
      </c>
      <c r="BS15" s="203">
        <f t="array" ref="BS15">_xlfn.LET(
_xlpm.data,
_xlfn._xlws.FILTER(
Table9[Beneficiary Income (USD) / Project Cost],
ISNUMBER(Table9[Beneficiary Income (USD) / Project Cost])*
(Table9[Beneficiary Income (USD) / Project Cost]&gt;0)*
(Table9[Grouping]="Group 2A (Low Stability)")
),
_xlpm.med,
MEDIAN(_xlpm.data),
_xlpm.mad,
MEDIAN(ABS(_xlpm.data-_xlpm.med)),
AVERAGE(
_xlfn._xlws.FILTER(
_xlpm.data,
ABS(_xlpm.data-_xlpm.med)&lt;=2.5*_xlpm.mad
)
)
)</f>
        <v>1.1550785110267823</v>
      </c>
      <c r="BT15" s="15">
        <f>BP15-BR15</f>
        <v>13</v>
      </c>
    </row>
    <row r="16" spans="2:72" x14ac:dyDescent="0.25">
      <c r="B16" s="206" t="s">
        <v>659</v>
      </c>
      <c r="C16" s="202">
        <f t="array" ref="C16">MEDIAN(_xlfn._xlws.FILTER(Table9[Income per beneficiary (USD)], (Table9[Income per beneficiary (USD)]&gt;0)*(Table9[Grouping]="Group 2B (High Inflation)")))</f>
        <v>270.83958837772394</v>
      </c>
      <c r="D16" s="202">
        <f t="array" ref="D16">AVERAGE(_xlfn._xlws.FILTER(Table9[Income per beneficiary (USD)], (Table9[Income per beneficiary (USD)]&gt;0)*(Table9[Grouping]="Group 2B (High Inflation)")))</f>
        <v>661.73081046561924</v>
      </c>
      <c r="E16" s="15">
        <f>COUNTIFS(Table9[Income per beneficiary (USD)],"&gt;0", Table9[Grouping],"Group 2B (High Inflation)")</f>
        <v>18</v>
      </c>
      <c r="F16" s="195">
        <f t="array" ref="F16">_xlfn.LET(
_xlpm.data,_xlfn._xlws.FILTER(
Table9[Income per beneficiary (USD)],
(Table9[Income per beneficiary (USD)]&gt;0)*
(Table9[Grouping]="Group 2B (High Inflation)")
),
_xlpm.med,MEDIAN(_xlpm.data),
_xlpm.mad,MEDIAN(ABS(_xlpm.data-_xlpm.med)),
SUMPRODUCT(--(ABS(_xlpm.data-_xlpm.med)&gt;2.5*_xlpm.mad))/COUNT(_xlpm.data)
)</f>
        <v>0.22222222222222221</v>
      </c>
      <c r="G16" s="15">
        <f t="array" ref="G16">_xlfn.LET(
_xlpm.data,_xlfn._xlws.FILTER(
Table9[Income per beneficiary (USD)],
(Table9[Income per beneficiary (USD)]&gt;0)*
(Table9[Grouping]="Group 2B (High Inflation)")
),
_xlpm.med,MEDIAN(_xlpm.data),
_xlpm.mad,MEDIAN(ABS(_xlpm.data-_xlpm.med)),
SUMPRODUCT(--(ABS(_xlpm.data-_xlpm.med)&gt;2.5*_xlpm.mad))
)</f>
        <v>4</v>
      </c>
      <c r="H16" s="202">
        <f t="array" ref="H16">_xlfn.LET(
_xlpm.data,_xlfn._xlws.FILTER(
Table9[Income per beneficiary (USD)],
(Table9[Income per beneficiary (USD)]&gt;0)*
(Table9[Grouping]="Group 2B (High Inflation)")
),
_xlpm.med,MEDIAN(_xlpm.data),
_xlpm.mad,MEDIAN(ABS(_xlpm.data-_xlpm.med)),
AVERAGE(_xlfn._xlws.FILTER(_xlpm.data,ABS(_xlpm.data-_xlpm.med)&lt;=2.5*_xlpm.mad))
)</f>
        <v>241.83368626197085</v>
      </c>
      <c r="I16" s="202">
        <f>E16-G16</f>
        <v>14</v>
      </c>
      <c r="J16" s="130"/>
      <c r="K16" s="206" t="s">
        <v>659</v>
      </c>
      <c r="L16" s="203">
        <f t="array" ref="L16">MEDIAN(
_xlfn._xlws.FILTER(
Table9[Normalised Income Impact Ratio],
ISNUMBER(Table9[Normalised Income Impact Ratio])*
(Table9[Normalised Income Impact Ratio]&gt;0)*
(Table9[Grouping]="Group 2B (High Inflation)")
)
)</f>
        <v>3.923450788381494E-2</v>
      </c>
      <c r="M16" s="203">
        <f t="array" ref="M16">AVERAGE(
_xlfn._xlws.FILTER(
Table9[Normalised Income Impact Ratio],
ISNUMBER(Table9[Normalised Income Impact Ratio])*
(Table9[Normalised Income Impact Ratio]&gt;0)*
(Table9[Grouping]="Group 2B (High Inflation)")
)
)</f>
        <v>0.10712433822763731</v>
      </c>
      <c r="N16" s="202">
        <f>COUNTIFS(
Table9[Normalised Income Impact Ratio],"&gt;0",
Table9[Grouping],"Group 2B (High Inflation)"
)</f>
        <v>18</v>
      </c>
      <c r="O16" s="195">
        <f t="array" ref="O16">_xlfn.LET(
_xlpm.data,_xlfn._xlws.FILTER(
Table9[Normalised Income Impact Ratio],
ISNUMBER(Table9[Normalised Income Impact Ratio])*
(Table9[Normalised Income Impact Ratio]&gt;0)*
(Table9[Grouping]="Group 2B (High Inflation)")
),
_xlpm.med,MEDIAN(_xlpm.data),
_xlpm.mad,MEDIAN(ABS(_xlpm.data-_xlpm.med)),
SUMPRODUCT(--(ABS(_xlpm.data-_xlpm.med)&gt;2.5*_xlpm.mad))/COUNT(_xlpm.data)
)</f>
        <v>0.16666666666666666</v>
      </c>
      <c r="P16" s="202">
        <f t="array" ref="P16">_xlfn.LET(
_xlpm.data,_xlfn._xlws.FILTER(
Table9[Normalised Income Impact Ratio],
ISNUMBER(Table9[Normalised Income Impact Ratio])*
(Table9[Normalised Income Impact Ratio]&gt;0)*
(Table9[Grouping]="Group 2B (High Inflation)")
),
_xlpm.med,MEDIAN(_xlpm.data),
_xlpm.mad,MEDIAN(ABS(_xlpm.data-_xlpm.med)),
SUMPRODUCT(--(ABS(_xlpm.data-_xlpm.med)&gt;2.5*_xlpm.mad))
)</f>
        <v>3</v>
      </c>
      <c r="Q16" s="203">
        <f t="array" ref="Q16">_xlfn.LET(
_xlpm.data,_xlfn._xlws.FILTER(
Table9[Normalised Income Impact Ratio],
ISNUMBER(Table9[Normalised Income Impact Ratio])*
(Table9[Normalised Income Impact Ratio]&gt;0)*
(Table9[Grouping]="Group 2B (High Inflation)")
),
_xlpm.med,MEDIAN(_xlpm.data),
_xlpm.mad,MEDIAN(ABS(_xlpm.data-_xlpm.med)),
AVERAGE(_xlfn._xlws.FILTER(_xlpm.data,ABS(_xlpm.data-_xlpm.med)&lt;=2.5*_xlpm.mad))
)</f>
        <v>4.0689375319343697E-2</v>
      </c>
      <c r="R16" s="202">
        <f>N16-P16</f>
        <v>15</v>
      </c>
      <c r="S16" s="130"/>
      <c r="T16" s="206" t="s">
        <v>659</v>
      </c>
      <c r="U16" s="203">
        <f t="array" ref="U16">MEDIAN(
_xlfn._xlws.FILTER(
Table9[Private Sector Investment (USD) / Project cost ],
ISNUMBER(Table9[Private Sector Investment (USD) / Project cost ])*
(Table9[Private Sector Investment (USD) / Project cost ]&gt;0)*
(Table9[Grouping]="Group 2B (High Inflation)")
)
)</f>
        <v>0.52782178217821785</v>
      </c>
      <c r="V16" s="203">
        <f t="array" ref="V16">AVERAGE(
_xlfn._xlws.FILTER(
Table9[Private Sector Investment (USD) / Project cost ],
ISNUMBER(Table9[Private Sector Investment (USD) / Project cost ])*
(Table9[Private Sector Investment (USD) / Project cost ]&gt;0)*
(Table9[Grouping]="Group 2B (High Inflation)")
)
)</f>
        <v>1.9500804970893983</v>
      </c>
      <c r="W16" s="15">
        <f>COUNTIFS(
Table9[Private Sector Investment (USD) / Project cost ],"&gt;0",
Table9[Grouping],"Group 2B (High Inflation)"
)</f>
        <v>27</v>
      </c>
      <c r="X16" s="195">
        <f t="array" ref="X16">_xlfn.LET(
_xlpm.data,_xlfn._xlws.FILTER(
Table9[Private Sector Investment (USD) / Project cost ],
ISNUMBER(Table9[Private Sector Investment (USD) / Project cost ])*
(Table9[Private Sector Investment (USD) / Project cost ]&gt;0)*
(Table9[Grouping]="Group 2B (High Inflation)")
),
_xlpm.med,MEDIAN(_xlpm.data),
_xlpm.mad,MEDIAN(ABS(_xlpm.data-_xlpm.med)),
SUMPRODUCT(--(ABS(_xlpm.data-_xlpm.med)&gt;2.5*_xlpm.mad))/COUNT(_xlpm.data)
)</f>
        <v>0.18518518518518517</v>
      </c>
      <c r="Y16" s="15">
        <f t="array" ref="Y16">_xlfn.LET(
_xlpm.data,_xlfn._xlws.FILTER(
Table9[Private Sector Investment (USD) / Project cost ],
ISNUMBER(Table9[Private Sector Investment (USD) / Project cost ])*
(Table9[Private Sector Investment (USD) / Project cost ]&gt;0)*
(Table9[Grouping]="Group 2B (High Inflation)")
),
_xlpm.med,MEDIAN(_xlpm.data),
_xlpm.mad,MEDIAN(ABS(_xlpm.data-_xlpm.med)),
SUMPRODUCT(--(ABS(_xlpm.data-_xlpm.med)&gt;2.5*_xlpm.mad))
)</f>
        <v>5</v>
      </c>
      <c r="Z16" s="203">
        <f t="array" ref="Z16">_xlfn.LET(
_xlpm.data,_xlfn._xlws.FILTER(
Table9[Private Sector Investment (USD) / Project cost ],
ISNUMBER(Table9[Private Sector Investment (USD) / Project cost ])*
(Table9[Private Sector Investment (USD) / Project cost ]&gt;0)*
(Table9[Grouping]="Group 2B (High Inflation)")
),
_xlpm.med,MEDIAN(_xlpm.data),
_xlpm.mad,MEDIAN(ABS(_xlpm.data-_xlpm.med)),
AVERAGE(_xlfn._xlws.FILTER(_xlpm.data,ABS(_xlpm.data-_xlpm.med)&lt;=2.5*_xlpm.mad))
)</f>
        <v>0.48740605038359769</v>
      </c>
      <c r="AA16" s="15">
        <f>W16-Y16</f>
        <v>22</v>
      </c>
      <c r="AC16" s="206" t="s">
        <v>659</v>
      </c>
      <c r="AD16" s="203">
        <f t="array" ref="AD16">MEDIAN(
_xlfn._xlws.FILTER(
Table9[Private Sector Revenues Generated (USD) / Project cost],
ISNUMBER(Table9[Private Sector Revenues Generated (USD) / Project cost])*
(Table9[Private Sector Revenues Generated (USD) / Project cost]&gt;0)*
(Table9[Grouping]="Group 2B (High Inflation)")
)
)</f>
        <v>1.2038596491228071</v>
      </c>
      <c r="AE16" s="203">
        <f t="array" ref="AE16">AVERAGE(
_xlfn._xlws.FILTER(
Table9[Private Sector Revenues Generated (USD) / Project cost],
ISNUMBER(Table9[Private Sector Revenues Generated (USD) / Project cost])*
(Table9[Private Sector Revenues Generated (USD) / Project cost]&gt;0)*
(Table9[Grouping]="Group 2B (High Inflation)")
)
)</f>
        <v>2.2916841184073014</v>
      </c>
      <c r="AF16" s="15">
        <f>COUNTIFS(
Table9[Private Sector Revenues Generated (USD) / Project cost],"&gt;0",
Table9[Grouping],"Group 2B (High Inflation)"
)</f>
        <v>22</v>
      </c>
      <c r="AG16" s="195">
        <f t="array" ref="AG16">_xlfn.LET(
_xlpm.data,_xlfn._xlws.FILTER(
Table9[Private Sector Revenues Generated (USD) / Project cost],
ISNUMBER(Table9[Private Sector Revenues Generated (USD) / Project cost])*
(Table9[Private Sector Revenues Generated (USD) / Project cost]&gt;0)*
(Table9[Grouping]="Group 2B (High Inflation)")
),
_xlpm.med,MEDIAN(_xlpm.data),
_xlpm.mad,MEDIAN(ABS(_xlpm.data-_xlpm.med)),
SUMPRODUCT(--(ABS(_xlpm.data-_xlpm.med)&gt;2.5*_xlpm.mad))/COUNT(_xlpm.data)
)</f>
        <v>0.18181818181818182</v>
      </c>
      <c r="AH16" s="15">
        <f t="array" ref="AH16">_xlfn.LET(
_xlpm.data,_xlfn._xlws.FILTER(
Table9[Private Sector Revenues Generated (USD) / Project cost],
ISNUMBER(Table9[Private Sector Revenues Generated (USD) / Project cost])*
(Table9[Private Sector Revenues Generated (USD) / Project cost]&gt;0)*
(Table9[Grouping]="Group 2B (High Inflation)")
),
_xlpm.med,MEDIAN(_xlpm.data),
_xlpm.mad,MEDIAN(ABS(_xlpm.data-_xlpm.med)),
SUMPRODUCT(--(ABS(_xlpm.data-_xlpm.med)&gt;2.5*_xlpm.mad))
)</f>
        <v>4</v>
      </c>
      <c r="AI16" s="203">
        <f t="array" ref="AI16">_xlfn.LET(
_xlpm.data,_xlfn._xlws.FILTER(
Table9[Private Sector Revenues Generated (USD) / Project cost],
ISNUMBER(Table9[Private Sector Revenues Generated (USD) / Project cost])*
(Table9[Private Sector Revenues Generated (USD) / Project cost]&gt;0)*
(Table9[Grouping]="Group 2B (High Inflation)")
),
_xlpm.med,MEDIAN(_xlpm.data),
_xlpm.mad,MEDIAN(ABS(_xlpm.data-_xlpm.med)),
AVERAGE(_xlfn._xlws.FILTER(_xlpm.data,ABS(_xlpm.data-_xlpm.med)&lt;=2.5*_xlpm.mad))
)</f>
        <v>0.97906527533860199</v>
      </c>
      <c r="AJ16" s="15">
        <f>AF16-AH16</f>
        <v>18</v>
      </c>
      <c r="AL16" s="206" t="s">
        <v>659</v>
      </c>
      <c r="AM16" s="203">
        <f t="array" ref="AM16">MEDIAN(
_xlfn._xlws.FILTER(
Table9[Export Revenue Generated (USD) /Project Cost],
ISNUMBER(Table9[Export Revenue Generated (USD) /Project Cost])*
(Table9[Export Revenue Generated (USD) /Project Cost]&gt;0)*
(Table9[Grouping]="Group 2B (High Inflation)")
)
)</f>
        <v>0.39370681069663382</v>
      </c>
      <c r="AN16" s="203">
        <f t="array" ref="AN16">AVERAGE(
_xlfn._xlws.FILTER(
Table9[Export Revenue Generated (USD) /Project Cost],
ISNUMBER(Table9[Export Revenue Generated (USD) /Project Cost])*
(Table9[Export Revenue Generated (USD) /Project Cost]&gt;0)*
(Table9[Grouping]="Group 2B (High Inflation)")
)
)</f>
        <v>13.874419124609432</v>
      </c>
      <c r="AO16" s="15">
        <f>COUNTIFS(
Table9[Export Revenue Generated (USD) /Project Cost],"&gt;0",
Table9[Grouping],"Group 2B (High Inflation)"
)</f>
        <v>6</v>
      </c>
      <c r="AP16" s="195">
        <f t="array" ref="AP16">_xlfn.LET(
_xlpm.data,_xlfn._xlws.FILTER(
Table9[Export Revenue Generated (USD) /Project Cost],
ISNUMBER(Table9[Export Revenue Generated (USD) /Project Cost])*
(Table9[Export Revenue Generated (USD) /Project Cost]&gt;0)*
(Table9[Grouping]="Group 2B (High Inflation)")
),
_xlpm.med,MEDIAN(_xlpm.data),
_xlpm.mad,MEDIAN(ABS(_xlpm.data-_xlpm.med)),
SUMPRODUCT(--(ABS(_xlpm.data-_xlpm.med)&gt;2.5*_xlpm.mad))/COUNT(_xlpm.data)
)</f>
        <v>0.33333333333333331</v>
      </c>
      <c r="AQ16" s="15">
        <f t="array" ref="AQ16">_xlfn.LET(
_xlpm.data,_xlfn._xlws.FILTER(
Table9[Export Revenue Generated (USD) /Project Cost],
ISNUMBER(Table9[Export Revenue Generated (USD) /Project Cost])*
(Table9[Export Revenue Generated (USD) /Project Cost]&gt;0)*
(Table9[Grouping]="Group 2B (High Inflation)")
),
_xlpm.med,MEDIAN(_xlpm.data),
_xlpm.mad,MEDIAN(ABS(_xlpm.data-_xlpm.med)),
SUMPRODUCT(--(ABS(_xlpm.data-_xlpm.med)&gt;2.5*_xlpm.mad))
)</f>
        <v>2</v>
      </c>
      <c r="AR16" s="203">
        <f t="array" ref="AR16">_xlfn.LET(
_xlpm.data,_xlfn._xlws.FILTER(
Table9[Export Revenue Generated (USD) /Project Cost],
ISNUMBER(Table9[Export Revenue Generated (USD) /Project Cost])*
(Table9[Export Revenue Generated (USD) /Project Cost]&gt;0)*
(Table9[Grouping]="Group 2B (High Inflation)")
),
_xlpm.med,MEDIAN(_xlpm.data),
_xlpm.mad,MEDIAN(ABS(_xlpm.data-_xlpm.med)),
AVERAGE(_xlfn._xlws.FILTER(_xlpm.data,ABS(_xlpm.data-_xlpm.med)&lt;=2.5*_xlpm.mad))
)</f>
        <v>0.24743156432833674</v>
      </c>
      <c r="AS16" s="15">
        <f>AO16-AQ16</f>
        <v>4</v>
      </c>
      <c r="AU16" s="206" t="s">
        <v>659</v>
      </c>
      <c r="AV16" s="202">
        <f t="array" ref="AV16">MEDIAN(
_xlfn._xlws.FILTER(
Table9[Job created per $Mn],
ISNUMBER(Table9[Job created per $Mn])*
(Table9[Job created per $Mn]&gt;0)*
(Table9[Grouping]="Group 2B (High Inflation)")
)
)</f>
        <v>198.89429824764571</v>
      </c>
      <c r="AW16" s="202">
        <f t="array" ref="AW16">AVERAGE(
_xlfn._xlws.FILTER(
Table9[Job created per $Mn],
ISNUMBER(Table9[Job created per $Mn])*
(Table9[Job created per $Mn]&gt;0)*
(Table9[Grouping]="Group 2B (High Inflation)")
)
)</f>
        <v>468.40171088838571</v>
      </c>
      <c r="AX16" s="15">
        <f>COUNTIFS(
Table9[Job created per $Mn],"&gt;0",
Table9[Grouping],"Group 2B (High Inflation)"
)</f>
        <v>19</v>
      </c>
      <c r="AY16" s="195">
        <f t="array" ref="AY16">_xlfn.LET(
_xlpm.data,
_xlfn._xlws.FILTER(
Table9[Job created per $Mn],
ISNUMBER(Table9[Job created per $Mn])*
(Table9[Job created per $Mn]&gt;0)*
(Table9[Grouping]="Group 2B (High Inflation)")
),
_xlpm.med,
MEDIAN(_xlpm.data),
_xlpm.mad,
MEDIAN(ABS(_xlpm.data-_xlpm.med)),
SUMPRODUCT(--(ABS(_xlpm.data-_xlpm.med)&gt;2.5*_xlpm.mad))/COUNT(_xlpm.data)
)</f>
        <v>0.21052631578947367</v>
      </c>
      <c r="AZ16" s="15">
        <f t="array" ref="AZ16">_xlfn.LET(
_xlpm.data,
_xlfn._xlws.FILTER(
Table9[Job created per $Mn],
ISNUMBER(Table9[Job created per $Mn])*
(Table9[Job created per $Mn]&gt;0)*
(Table9[Grouping]="Group 2B (High Inflation)")
),
_xlpm.med,
MEDIAN(_xlpm.data),
_xlpm.mad,
MEDIAN(ABS(_xlpm.data-_xlpm.med)),
SUMPRODUCT(--(ABS(_xlpm.data-_xlpm.med)&gt;2.5*_xlpm.mad))
)</f>
        <v>4</v>
      </c>
      <c r="BA16" s="202">
        <f t="array" ref="BA16">_xlfn.LET(
_xlpm.data,
_xlfn._xlws.FILTER(
Table9[Job created per $Mn],
ISNUMBER(Table9[Job created per $Mn])*
(Table9[Job created per $Mn]&gt;0)*
(Table9[Grouping]="Group 2B (High Inflation)")
),
_xlpm.med,
MEDIAN(_xlpm.data),
_xlpm.mad,
MEDIAN(ABS(_xlpm.data-_xlpm.med)),
AVERAGE(
_xlfn._xlws.FILTER(
_xlpm.data,
ABS(_xlpm.data-_xlpm.med)&lt;=2.5*_xlpm.mad
)
)
)</f>
        <v>155.02880321389327</v>
      </c>
      <c r="BB16" s="15">
        <f>AX16-AZ16</f>
        <v>15</v>
      </c>
      <c r="BD16" s="206" t="s">
        <v>659</v>
      </c>
      <c r="BE16" s="202">
        <f t="array" ref="BE16">MEDIAN(
_xlfn._xlws.FILTER(
Table9[Job improved per $Mn],
ISNUMBER(Table9[Job improved per $Mn])*
(Table9[Job improved per $Mn]&gt;0)*
(Table9[Grouping]="Group 2B (High Inflation)")
)
)</f>
        <v>1761.5542521994134</v>
      </c>
      <c r="BF16" s="202">
        <f t="array" ref="BF16">AVERAGE(
_xlfn._xlws.FILTER(
Table9[Job improved per $Mn],
ISNUMBER(Table9[Job improved per $Mn])*
(Table9[Job improved per $Mn]&gt;0)*
(Table9[Grouping]="Group 2B (High Inflation)")
)
)</f>
        <v>3933.9055049233202</v>
      </c>
      <c r="BG16" s="15">
        <f>COUNTIFS(
Table9[Job improved per $Mn],"&gt;0",
Table9[Grouping],"Group 2B (High Inflation)"
)</f>
        <v>28</v>
      </c>
      <c r="BH16" s="195">
        <f t="array" ref="BH16">_xlfn.LET(
_xlpm.data,
_xlfn._xlws.FILTER(
Table9[Job improved per $Mn],
ISNUMBER(Table9[Job improved per $Mn])*
(Table9[Job improved per $Mn]&gt;0)*
(Table9[Grouping]="Group 2B (High Inflation)")
),
_xlpm.med,
MEDIAN(_xlpm.data),
_xlpm.mad,
MEDIAN(ABS(_xlpm.data-_xlpm.med)),
SUMPRODUCT(--(ABS(_xlpm.data-_xlpm.med)&gt;2.5*_xlpm.mad))/COUNT(_xlpm.data)
)</f>
        <v>0.25</v>
      </c>
      <c r="BI16" s="15">
        <f t="array" ref="BI16">_xlfn.LET(
_xlpm.data,
_xlfn._xlws.FILTER(
Table9[Job improved per $Mn],
ISNUMBER(Table9[Job improved per $Mn])*
(Table9[Job improved per $Mn]&gt;0)*
(Table9[Grouping]="Group 2B (High Inflation)")
),
_xlpm.med,
MEDIAN(_xlpm.data),
_xlpm.mad,
MEDIAN(ABS(_xlpm.data-_xlpm.med)),
SUMPRODUCT(--(ABS(_xlpm.data-_xlpm.med)&gt;2.5*_xlpm.mad))
)</f>
        <v>7</v>
      </c>
      <c r="BJ16" s="202">
        <f t="array" ref="BJ16">_xlfn.LET(
_xlpm.data,
_xlfn._xlws.FILTER(
Table9[Job improved per $Mn],
ISNUMBER(Table9[Job improved per $Mn])*
(Table9[Job improved per $Mn]&gt;0)*
(Table9[Grouping]="Group 2B (High Inflation)")
),
_xlpm.med,
MEDIAN(_xlpm.data),
_xlpm.mad,
MEDIAN(ABS(_xlpm.data-_xlpm.med)),
AVERAGE(
_xlfn._xlws.FILTER(
_xlpm.data,
ABS(_xlpm.data-_xlpm.med)&lt;=2.5*_xlpm.mad
)
)
)</f>
        <v>1523.4732546657742</v>
      </c>
      <c r="BK16" s="15">
        <f>BG16-BI16</f>
        <v>21</v>
      </c>
      <c r="BM16" s="206" t="s">
        <v>659</v>
      </c>
      <c r="BN16" s="203">
        <f t="array" ref="BN16">MEDIAN(
_xlfn._xlws.FILTER(
Table9[Beneficiary Income (USD) / Project Cost],
ISNUMBER(Table9[Beneficiary Income (USD) / Project Cost])*
(Table9[Beneficiary Income (USD) / Project Cost]&gt;0)*
(Table9[Grouping]="Group 2B (High Inflation)")
)
)</f>
        <v>1.1640735593775156</v>
      </c>
      <c r="BO16" s="203">
        <f t="array" ref="BO16">AVERAGE(
_xlfn._xlws.FILTER(
Table9[Beneficiary Income (USD) / Project Cost],
ISNUMBER(Table9[Beneficiary Income (USD) / Project Cost])*
(Table9[Beneficiary Income (USD) / Project Cost]&gt;0)*
(Table9[Grouping]="Group 2B (High Inflation)")
)
)</f>
        <v>1.4442916054277828</v>
      </c>
      <c r="BP16" s="15">
        <f>COUNTIFS(
Table9[Beneficiary Income (USD) / Project Cost],"&gt;0",
Table9[Grouping],"Group 2B (High Inflation)"
)</f>
        <v>18</v>
      </c>
      <c r="BQ16" s="195">
        <f t="array" ref="BQ16">_xlfn.LET(
_xlpm.data,
_xlfn._xlws.FILTER(
Table9[Beneficiary Income (USD) / Project Cost],
ISNUMBER(Table9[Beneficiary Income (USD) / Project Cost])*
(Table9[Beneficiary Income (USD) / Project Cost]&gt;0)*
(Table9[Grouping]="Group 2B (High Inflation)")
),
_xlpm.med,
MEDIAN(_xlpm.data),
_xlpm.mad,
MEDIAN(ABS(_xlpm.data-_xlpm.med)),
SUMPRODUCT(--(ABS(_xlpm.data-_xlpm.med)&gt;2.5*_xlpm.mad))/COUNT(_xlpm.data)
)</f>
        <v>0.1111111111111111</v>
      </c>
      <c r="BR16" s="15">
        <f t="array" ref="BR16">_xlfn.LET(
_xlpm.data,
_xlfn._xlws.FILTER(
Table9[Beneficiary Income (USD) / Project Cost],
ISNUMBER(Table9[Beneficiary Income (USD) / Project Cost])*
(Table9[Beneficiary Income (USD) / Project Cost]&gt;0)*
(Table9[Grouping]="Group 2B (High Inflation)")
),
_xlpm.med,
MEDIAN(_xlpm.data),
_xlpm.mad,
MEDIAN(ABS(_xlpm.data-_xlpm.med)),
SUMPRODUCT(--(ABS(_xlpm.data-_xlpm.med)&gt;2.5*_xlpm.mad))
)</f>
        <v>2</v>
      </c>
      <c r="BS16" s="203">
        <f t="array" ref="BS16">_xlfn.LET(
_xlpm.data,
_xlfn._xlws.FILTER(
Table9[Beneficiary Income (USD) / Project Cost],
ISNUMBER(Table9[Beneficiary Income (USD) / Project Cost])*
(Table9[Beneficiary Income (USD) / Project Cost]&gt;0)*
(Table9[Grouping]="Group 2B (High Inflation)")
),
_xlpm.med,
MEDIAN(_xlpm.data),
_xlpm.mad,
MEDIAN(ABS(_xlpm.data-_xlpm.med)),
AVERAGE(
_xlfn._xlws.FILTER(
_xlpm.data,
ABS(_xlpm.data-_xlpm.med)&lt;=2.5*_xlpm.mad
)
)
)</f>
        <v>1.0610852274389311</v>
      </c>
      <c r="BT16" s="15">
        <f>BP16-BR16</f>
        <v>16</v>
      </c>
    </row>
    <row r="17" spans="2:72" x14ac:dyDescent="0.25">
      <c r="B17" s="206" t="s">
        <v>571</v>
      </c>
      <c r="C17" s="202">
        <f t="array" ref="C17">MEDIAN(_xlfn._xlws.FILTER(Table9[Income per beneficiary (USD)], (Table9[Income per beneficiary (USD)]&gt;0)*(Table9[Grouping]="Group 3")))</f>
        <v>310.31798831659512</v>
      </c>
      <c r="D17" s="202">
        <f t="array" ref="D17">AVERAGE(_xlfn._xlws.FILTER(Table9[Income per beneficiary (USD)], (Table9[Income per beneficiary (USD)]&gt;0)*(Table9[Grouping]="Group 3")))</f>
        <v>608.53399415829756</v>
      </c>
      <c r="E17" s="15">
        <f>COUNTIFS(Table9[Income per beneficiary (USD)],"&gt;0", Table9[Grouping],"Group 3")</f>
        <v>4</v>
      </c>
      <c r="F17" s="195">
        <f t="array" ref="F17">_xlfn.LET(
_xlpm.data,_xlfn._xlws.FILTER(
Table9[Income per beneficiary (USD)],
(Table9[Income per beneficiary (USD)]&gt;0)*
(Table9[Grouping]="Group 3")
),
_xlpm.med,MEDIAN(_xlpm.data),
_xlpm.mad,MEDIAN(ABS(_xlpm.data-_xlpm.med)),
SUMPRODUCT(--(ABS(_xlpm.data-_xlpm.med)&gt;2.5*_xlpm.mad))/COUNT(_xlpm.data)
)</f>
        <v>0.25</v>
      </c>
      <c r="G17" s="15">
        <f t="array" ref="G17">_xlfn.LET(
_xlpm.data,_xlfn._xlws.FILTER(
Table9[Income per beneficiary (USD)],
(Table9[Income per beneficiary (USD)]&gt;0)*
(Table9[Grouping]="Group 3")
),
_xlpm.med,MEDIAN(_xlpm.data),
_xlpm.mad,MEDIAN(ABS(_xlpm.data-_xlpm.med)),
SUMPRODUCT(--(ABS(_xlpm.data-_xlpm.med)&gt;2.5*_xlpm.mad))
)</f>
        <v>1</v>
      </c>
      <c r="H17" s="202">
        <f t="array" ref="H17">_xlfn.LET(
_xlpm.data,_xlfn._xlws.FILTER(
Table9[Income per beneficiary (USD)],
(Table9[Income per beneficiary (USD)]&gt;0)*
(Table9[Grouping]="Group 3")
),
_xlpm.med,MEDIAN(_xlpm.data),
_xlpm.mad,MEDIAN(ABS(_xlpm.data-_xlpm.med)),
AVERAGE(_xlfn._xlws.FILTER(_xlpm.data,ABS(_xlpm.data-_xlpm.med)&lt;=2.5*_xlpm.mad))
)</f>
        <v>211.37865887773009</v>
      </c>
      <c r="I17" s="202">
        <f>E17-G17</f>
        <v>3</v>
      </c>
      <c r="J17" s="130"/>
      <c r="K17" s="206" t="s">
        <v>571</v>
      </c>
      <c r="L17" s="203">
        <f t="array" ref="L17">MEDIAN(
_xlfn._xlws.FILTER(
Table9[Normalised Income Impact Ratio],
ISNUMBER(Table9[Normalised Income Impact Ratio])*
(Table9[Normalised Income Impact Ratio]&gt;0)*
(Table9[Grouping]="Group 3")
)
)</f>
        <v>1.5295037480412312E-2</v>
      </c>
      <c r="M17" s="203">
        <f t="array" ref="M17">AVERAGE(
_xlfn._xlws.FILTER(
Table9[Normalised Income Impact Ratio],
ISNUMBER(Table9[Normalised Income Impact Ratio])*
(Table9[Normalised Income Impact Ratio]&gt;0)*
(Table9[Grouping]="Group 3")
)
)</f>
        <v>7.2177798243311747E-2</v>
      </c>
      <c r="N17" s="202">
        <f>COUNTIFS(
Table9[Normalised Income Impact Ratio],"&gt;0",
Table9[Grouping],"Group 3"
)</f>
        <v>4</v>
      </c>
      <c r="O17" s="195">
        <f t="array" ref="O17">_xlfn.LET(
_xlpm.data,_xlfn._xlws.FILTER(
Table9[Normalised Income Impact Ratio],
ISNUMBER(Table9[Normalised Income Impact Ratio])*
(Table9[Normalised Income Impact Ratio]&gt;0)*
(Table9[Grouping]="Group 3")
),
_xlpm.med,MEDIAN(_xlpm.data),
_xlpm.mad,MEDIAN(ABS(_xlpm.data-_xlpm.med)),
SUMPRODUCT(--(ABS(_xlpm.data-_xlpm.med)&gt;2.5*_xlpm.mad))/COUNT(_xlpm.data)
)</f>
        <v>0.25</v>
      </c>
      <c r="P17" s="202">
        <f t="array" ref="P17">_xlfn.LET(
_xlpm.data,_xlfn._xlws.FILTER(
Table9[Normalised Income Impact Ratio],
ISNUMBER(Table9[Normalised Income Impact Ratio])*
(Table9[Normalised Income Impact Ratio]&gt;0)*
(Table9[Grouping]="Group 3")
),
_xlpm.med,MEDIAN(_xlpm.data),
_xlpm.mad,MEDIAN(ABS(_xlpm.data-_xlpm.med)),
SUMPRODUCT(--(ABS(_xlpm.data-_xlpm.med)&gt;2.5*_xlpm.mad))
)</f>
        <v>1</v>
      </c>
      <c r="Q17" s="203">
        <f t="array" ref="Q17">_xlfn.LET(
_xlpm.data,_xlfn._xlws.FILTER(
Table9[Normalised Income Impact Ratio],
ISNUMBER(Table9[Normalised Income Impact Ratio])*
(Table9[Normalised Income Impact Ratio]&gt;0)*
(Table9[Grouping]="Group 3")
),
_xlpm.med,MEDIAN(_xlpm.data),
_xlpm.mad,MEDIAN(ABS(_xlpm.data-_xlpm.med)),
AVERAGE(_xlfn._xlws.FILTER(_xlpm.data,ABS(_xlpm.data-_xlpm.med)&lt;=2.5*_xlpm.mad))
)</f>
        <v>1.0522778610129948E-2</v>
      </c>
      <c r="R17" s="202">
        <f>N17-P17</f>
        <v>3</v>
      </c>
      <c r="S17" s="130"/>
      <c r="T17" s="206" t="s">
        <v>571</v>
      </c>
      <c r="U17" s="203">
        <f t="array" ref="U17">MEDIAN(
_xlfn._xlws.FILTER(
Table9[Private Sector Investment (USD) / Project cost ],
ISNUMBER(Table9[Private Sector Investment (USD) / Project cost ])*
(Table9[Private Sector Investment (USD) / Project cost ]&gt;0)*
(Table9[Grouping]="Group 3")
)
)</f>
        <v>1.133113833333333</v>
      </c>
      <c r="V17" s="203">
        <f t="array" ref="V17">AVERAGE(
_xlfn._xlws.FILTER(
Table9[Private Sector Investment (USD) / Project cost ],
ISNUMBER(Table9[Private Sector Investment (USD) / Project cost ])*
(Table9[Private Sector Investment (USD) / Project cost ]&gt;0)*
(Table9[Grouping]="Group 3")
)
)</f>
        <v>3.3985386007176444</v>
      </c>
      <c r="W17" s="15">
        <f>COUNTIFS(
Table9[Private Sector Investment (USD) / Project cost ],"&gt;0",
Table9[Grouping],"Group 3"
)</f>
        <v>3</v>
      </c>
      <c r="X17" s="195">
        <f t="array" ref="X17">_xlfn.LET(
_xlpm.data,_xlfn._xlws.FILTER(
Table9[Private Sector Investment (USD) / Project cost ],
ISNUMBER(Table9[Private Sector Investment (USD) / Project cost ])*
(Table9[Private Sector Investment (USD) / Project cost ]&gt;0)*
(Table9[Grouping]="Group 3")
),
_xlpm.med,MEDIAN(_xlpm.data),
_xlpm.mad,MEDIAN(ABS(_xlpm.data-_xlpm.med)),
SUMPRODUCT(--(ABS(_xlpm.data-_xlpm.med)&gt;2.5*_xlpm.mad))/COUNT(_xlpm.data)
)</f>
        <v>0.33333333333333331</v>
      </c>
      <c r="Y17" s="15">
        <f t="array" ref="Y17">_xlfn.LET(
_xlpm.data,_xlfn._xlws.FILTER(
Table9[Private Sector Investment (USD) / Project cost ],
ISNUMBER(Table9[Private Sector Investment (USD) / Project cost ])*
(Table9[Private Sector Investment (USD) / Project cost ]&gt;0)*
(Table9[Grouping]="Group 3")
),
_xlpm.med,MEDIAN(_xlpm.data),
_xlpm.mad,MEDIAN(ABS(_xlpm.data-_xlpm.med)),
SUMPRODUCT(--(ABS(_xlpm.data-_xlpm.med)&gt;2.5*_xlpm.mad))
)</f>
        <v>1</v>
      </c>
      <c r="Z17" s="203">
        <f t="array" ref="Z17">_xlfn.LET(
_xlpm.data,_xlfn._xlws.FILTER(
Table9[Private Sector Investment (USD) / Project cost ],
ISNUMBER(Table9[Private Sector Investment (USD) / Project cost ])*
(Table9[Private Sector Investment (USD) / Project cost ]&gt;0)*
(Table9[Grouping]="Group 3")
),
_xlpm.med,MEDIAN(_xlpm.data),
_xlpm.mad,MEDIAN(ABS(_xlpm.data-_xlpm.med)),
AVERAGE(_xlfn._xlws.FILTER(_xlpm.data,ABS(_xlpm.data-_xlpm.med)&lt;=2.5*_xlpm.mad))
)</f>
        <v>0.6434649166666665</v>
      </c>
      <c r="AA17" s="15">
        <f>W17-Y17</f>
        <v>2</v>
      </c>
      <c r="AC17" s="206" t="s">
        <v>571</v>
      </c>
      <c r="AD17" s="203">
        <f t="array" ref="AD17">MEDIAN(
_xlfn._xlws.FILTER(
Table9[Private Sector Revenues Generated (USD) / Project cost],
ISNUMBER(Table9[Private Sector Revenues Generated (USD) / Project cost])*
(Table9[Private Sector Revenues Generated (USD) / Project cost]&gt;0)*
(Table9[Grouping]="Group 3")
)
)</f>
        <v>0.53767324166666663</v>
      </c>
      <c r="AE17" s="203">
        <f t="array" ref="AE17">AVERAGE(
_xlfn._xlws.FILTER(
Table9[Private Sector Revenues Generated (USD) / Project cost],
ISNUMBER(Table9[Private Sector Revenues Generated (USD) / Project cost])*
(Table9[Private Sector Revenues Generated (USD) / Project cost]&gt;0)*
(Table9[Grouping]="Group 3")
)
)</f>
        <v>0.53767324166666663</v>
      </c>
      <c r="AF17" s="15">
        <f>COUNTIFS(
Table9[Private Sector Revenues Generated (USD) / Project cost],"&gt;0",
Table9[Grouping],"Group 3"
)</f>
        <v>2</v>
      </c>
      <c r="AG17" s="195">
        <f t="array" ref="AG17">_xlfn.LET(
_xlpm.data,_xlfn._xlws.FILTER(
Table9[Private Sector Revenues Generated (USD) / Project cost],
ISNUMBER(Table9[Private Sector Revenues Generated (USD) / Project cost])*
(Table9[Private Sector Revenues Generated (USD) / Project cost]&gt;0)*
(Table9[Grouping]="Group 3")
),
_xlpm.med,MEDIAN(_xlpm.data),
_xlpm.mad,MEDIAN(ABS(_xlpm.data-_xlpm.med)),
SUMPRODUCT(--(ABS(_xlpm.data-_xlpm.med)&gt;2.5*_xlpm.mad))/COUNT(_xlpm.data)
)</f>
        <v>0</v>
      </c>
      <c r="AH17" s="15">
        <f t="array" ref="AH17">_xlfn.LET(
_xlpm.data,_xlfn._xlws.FILTER(
Table9[Private Sector Revenues Generated (USD) / Project cost],
ISNUMBER(Table9[Private Sector Revenues Generated (USD) / Project cost])*
(Table9[Private Sector Revenues Generated (USD) / Project cost]&gt;0)*
(Table9[Grouping]="Group 3")
),
_xlpm.med,MEDIAN(_xlpm.data),
_xlpm.mad,MEDIAN(ABS(_xlpm.data-_xlpm.med)),
SUMPRODUCT(--(ABS(_xlpm.data-_xlpm.med)&gt;2.5*_xlpm.mad))
)</f>
        <v>0</v>
      </c>
      <c r="AI17" s="203">
        <f t="array" ref="AI17">_xlfn.LET(
_xlpm.data,_xlfn._xlws.FILTER(
Table9[Private Sector Revenues Generated (USD) / Project cost],
ISNUMBER(Table9[Private Sector Revenues Generated (USD) / Project cost])*
(Table9[Private Sector Revenues Generated (USD) / Project cost]&gt;0)*
(Table9[Grouping]="Group 3")
),
_xlpm.med,MEDIAN(_xlpm.data),
_xlpm.mad,MEDIAN(ABS(_xlpm.data-_xlpm.med)),
AVERAGE(_xlfn._xlws.FILTER(_xlpm.data,ABS(_xlpm.data-_xlpm.med)&lt;=2.5*_xlpm.mad))
)</f>
        <v>0.53767324166666663</v>
      </c>
      <c r="AJ17" s="15">
        <f>AF17-AH17</f>
        <v>2</v>
      </c>
      <c r="AL17" s="206" t="s">
        <v>571</v>
      </c>
      <c r="AM17" s="204" t="str" cm="1">
        <f t="array" ref="AM17">IFERROR(
MEDIAN(
_xlfn._xlws.FILTER(
Table9[Export Revenue Generated (USD) /Project Cost],
ISNUMBER(Table9[Export Revenue Generated (USD) /Project Cost])*
(Table9[Export Revenue Generated (USD) /Project Cost]&gt;0)*
(Table9[Grouping]="Group 3")
)
),
"N/A"
)</f>
        <v>N/A</v>
      </c>
      <c r="AN17" s="204" t="str" cm="1">
        <f t="array" ref="AN17">IFERROR(
AVERAGE(
_xlfn._xlws.FILTER(
Table9[Export Revenue Generated (USD) /Project Cost],
ISNUMBER(Table9[Export Revenue Generated (USD) /Project Cost])*
(Table9[Export Revenue Generated (USD) /Project Cost]&gt;0)*
(Table9[Grouping]="Group 3")
)
),
"N/A"
)</f>
        <v>N/A</v>
      </c>
      <c r="AO17" s="204">
        <f>COUNTIFS(
Table9[Export Revenue Generated (USD) /Project Cost],"&gt;0",
Table9[Grouping],"Group 3"
)</f>
        <v>0</v>
      </c>
      <c r="AP17" s="204" t="str" cm="1">
        <f t="array" ref="AP17">IFERROR(
_xlfn.LET(
_xlpm.data,_xlfn._xlws.FILTER(
Table9[Export Revenue Generated (USD) /Project Cost],
ISNUMBER(Table9[Export Revenue Generated (USD) /Project Cost])*
(Table9[Export Revenue Generated (USD) /Project Cost]&gt;0)*
(Table9[Grouping]="Group 3")
),
_xlpm.med,MEDIAN(_xlpm.data),
_xlpm.mad,MEDIAN(ABS(_xlpm.data-_xlpm.med)),
SUMPRODUCT(--(ABS(_xlpm.data-_xlpm.med)&gt;2.5*_xlpm.mad))/COUNT(_xlpm.data)
),
"N/A"
)</f>
        <v>N/A</v>
      </c>
      <c r="AQ17" s="204" t="str" cm="1">
        <f t="array" ref="AQ17">IFERROR(
_xlfn.LET(
_xlpm.data,_xlfn._xlws.FILTER(
Table9[Export Revenue Generated (USD) /Project Cost],
ISNUMBER(Table9[Export Revenue Generated (USD) /Project Cost])*
(Table9[Export Revenue Generated (USD) /Project Cost]&gt;0)*
(Table9[Grouping]="Group 3")
),
_xlpm.med,MEDIAN(_xlpm.data),
_xlpm.mad,MEDIAN(ABS(_xlpm.data-_xlpm.med)),
AVERAGE(_xlfn._xlws.FILTER(_xlpm.data,ABS(_xlpm.data-_xlpm.med)&lt;=2.5*_xlpm.mad))
),
"N/A"
)</f>
        <v>N/A</v>
      </c>
      <c r="AR17" s="198" t="str" cm="1">
        <f t="array" ref="AR17">IFERROR(
_xlfn.LET(
_xlpm.data,_xlfn._xlws.FILTER(
Table9[Export Revenue Generated (USD) /Project Cost],
ISNUMBER(Table9[Export Revenue Generated (USD) /Project Cost])*
(Table9[Export Revenue Generated (USD) /Project Cost]&gt;0)*
(Table9[Grouping]="Group 3")
),
_xlpm.med,MEDIAN(_xlpm.data),
_xlpm.mad,MEDIAN(ABS(_xlpm.data-_xlpm.med)),
AVERAGE(_xlfn._xlws.FILTER(_xlpm.data,ABS(_xlpm.data-_xlpm.med)&lt;=2.5*_xlpm.mad))
),
"N/A"
)</f>
        <v>N/A</v>
      </c>
      <c r="AS17" s="204" t="str">
        <f>IFERROR(AO17-AQ17,"N/A")</f>
        <v>N/A</v>
      </c>
      <c r="AU17" s="206" t="s">
        <v>571</v>
      </c>
      <c r="AV17" s="202">
        <f t="array" ref="AV17">MEDIAN(
_xlfn._xlws.FILTER(
Table9[Job created per $Mn],
ISNUMBER(Table9[Job created per $Mn])*
(Table9[Job created per $Mn]&gt;0)*
(Table9[Grouping]="Group 3")
)
)</f>
        <v>565.18920068027205</v>
      </c>
      <c r="AW17" s="202">
        <f t="array" ref="AW17">AVERAGE(
_xlfn._xlws.FILTER(
Table9[Job created per $Mn],
ISNUMBER(Table9[Job created per $Mn])*
(Table9[Job created per $Mn]&gt;0)*
(Table9[Grouping]="Group 3")
)
)</f>
        <v>565.18920068027205</v>
      </c>
      <c r="AX17" s="15">
        <f>COUNTIFS(
Table9[Job created per $Mn],"&gt;0",
Table9[Grouping],"Group 3"
)</f>
        <v>2</v>
      </c>
      <c r="AY17" s="195">
        <f t="array" ref="AY17">_xlfn.LET(
_xlpm.data,
_xlfn._xlws.FILTER(
Table9[Job created per $Mn],
ISNUMBER(Table9[Job created per $Mn])*
(Table9[Job created per $Mn]&gt;0)*
(Table9[Grouping]="Group 3")
),
_xlpm.med,
MEDIAN(_xlpm.data),
_xlpm.mad,
MEDIAN(ABS(_xlpm.data-_xlpm.med)),
SUMPRODUCT(--(ABS(_xlpm.data-_xlpm.med)&gt;2.5*_xlpm.mad))/COUNT(_xlpm.data)
)</f>
        <v>0</v>
      </c>
      <c r="AZ17" s="15">
        <f t="array" ref="AZ17">_xlfn.LET(
_xlpm.data,
_xlfn._xlws.FILTER(
Table9[Job created per $Mn],
ISNUMBER(Table9[Job created per $Mn])*
(Table9[Job created per $Mn]&gt;0)*
(Table9[Grouping]="Group 3")
),
_xlpm.med,
MEDIAN(_xlpm.data),
_xlpm.mad,
MEDIAN(ABS(_xlpm.data-_xlpm.med)),
SUMPRODUCT(--(ABS(_xlpm.data-_xlpm.med)&gt;2.5*_xlpm.mad))
)</f>
        <v>0</v>
      </c>
      <c r="BA17" s="202">
        <f t="array" ref="BA17">_xlfn.LET(
_xlpm.data,
_xlfn._xlws.FILTER(
Table9[Job created per $Mn],
ISNUMBER(Table9[Job created per $Mn])*
(Table9[Job created per $Mn]&gt;0)*
(Table9[Grouping]="Group 3")
),
_xlpm.med,
MEDIAN(_xlpm.data),
_xlpm.mad,
MEDIAN(ABS(_xlpm.data-_xlpm.med)),
AVERAGE(
_xlfn._xlws.FILTER(
_xlpm.data,
ABS(_xlpm.data-_xlpm.med)&lt;=2.5*_xlpm.mad
)
)
)</f>
        <v>565.18920068027205</v>
      </c>
      <c r="BB17" s="15">
        <f>AX17-AZ17</f>
        <v>2</v>
      </c>
      <c r="BD17" s="206" t="s">
        <v>571</v>
      </c>
      <c r="BE17" s="202">
        <f t="array" ref="BE17">MEDIAN(
_xlfn._xlws.FILTER(
Table9[Job improved per $Mn],
ISNUMBER(Table9[Job improved per $Mn])*
(Table9[Job improved per $Mn]&gt;0)*
(Table9[Grouping]="Group 3")
)
)</f>
        <v>833.85126253891383</v>
      </c>
      <c r="BF17" s="202">
        <f t="array" ref="BF17">AVERAGE(
_xlfn._xlws.FILTER(
Table9[Job improved per $Mn],
ISNUMBER(Table9[Job improved per $Mn])*
(Table9[Job improved per $Mn]&gt;0)*
(Table9[Grouping]="Group 3")
)
)</f>
        <v>1883.4334640572458</v>
      </c>
      <c r="BG17" s="15">
        <f>COUNTIFS(
Table9[Job improved per $Mn],"&gt;0",
Table9[Grouping],"Group 3"
)</f>
        <v>6</v>
      </c>
      <c r="BH17" s="195">
        <f t="array" ref="BH17">_xlfn.LET(
_xlpm.data,
_xlfn._xlws.FILTER(
Table9[Job improved per $Mn],
ISNUMBER(Table9[Job improved per $Mn])*
(Table9[Job improved per $Mn]&gt;0)*
(Table9[Grouping]="Group 3")
),
_xlpm.med,
MEDIAN(_xlpm.data),
_xlpm.mad,
MEDIAN(ABS(_xlpm.data-_xlpm.med)),
SUMPRODUCT(--(ABS(_xlpm.data-_xlpm.med)&gt;2.5*_xlpm.mad))/COUNT(_xlpm.data)
)</f>
        <v>0.33333333333333331</v>
      </c>
      <c r="BI17" s="15">
        <f t="array" ref="BI17">_xlfn.LET(
_xlpm.data,
_xlfn._xlws.FILTER(
Table9[Job improved per $Mn],
ISNUMBER(Table9[Job improved per $Mn])*
(Table9[Job improved per $Mn]&gt;0)*
(Table9[Grouping]="Group 3")
),
_xlpm.med,
MEDIAN(_xlpm.data),
_xlpm.mad,
MEDIAN(ABS(_xlpm.data-_xlpm.med)),
SUMPRODUCT(--(ABS(_xlpm.data-_xlpm.med)&gt;2.5*_xlpm.mad))
)</f>
        <v>2</v>
      </c>
      <c r="BJ17" s="202">
        <f t="array" ref="BJ17">_xlfn.LET(
_xlpm.data,
_xlfn._xlws.FILTER(
Table9[Job improved per $Mn],
ISNUMBER(Table9[Job improved per $Mn])*
(Table9[Job improved per $Mn]&gt;0)*
(Table9[Grouping]="Group 3")
),
_xlpm.med,
MEDIAN(_xlpm.data),
_xlpm.mad,
MEDIAN(ABS(_xlpm.data-_xlpm.med)),
AVERAGE(
_xlfn._xlws.FILTER(
_xlpm.data,
ABS(_xlpm.data-_xlpm.med)&lt;=2.5*_xlpm.mad
)
)
)</f>
        <v>724.83176254156479</v>
      </c>
      <c r="BK17" s="15">
        <f>BG17-BI17</f>
        <v>4</v>
      </c>
      <c r="BM17" s="206" t="s">
        <v>571</v>
      </c>
      <c r="BN17" s="203">
        <f t="array" ref="BN17">MEDIAN(
_xlfn._xlws.FILTER(
Table9[Beneficiary Income (USD) / Project Cost],
ISNUMBER(Table9[Beneficiary Income (USD) / Project Cost])*
(Table9[Beneficiary Income (USD) / Project Cost]&gt;0)*
(Table9[Grouping]="Group 3")
)
)</f>
        <v>0.89272098440677961</v>
      </c>
      <c r="BO17" s="203">
        <f t="array" ref="BO17">AVERAGE(
_xlfn._xlws.FILTER(
Table9[Beneficiary Income (USD) / Project Cost],
ISNUMBER(Table9[Beneficiary Income (USD) / Project Cost])*
(Table9[Beneficiary Income (USD) / Project Cost]&gt;0)*
(Table9[Grouping]="Group 3")
)
)</f>
        <v>1.0914830657328014</v>
      </c>
      <c r="BP17" s="15">
        <f>COUNTIFS(
Table9[Beneficiary Income (USD) / Project Cost],"&gt;0",
Table9[Grouping],"Group 3"
)</f>
        <v>4</v>
      </c>
      <c r="BQ17" s="195">
        <f t="array" ref="BQ17">_xlfn.LET(
_xlpm.data,
_xlfn._xlws.FILTER(
Table9[Beneficiary Income (USD) / Project Cost],
ISNUMBER(Table9[Beneficiary Income (USD) / Project Cost])*
(Table9[Beneficiary Income (USD) / Project Cost]&gt;0)*
(Table9[Grouping]="Group 3")
),
_xlpm.med,
MEDIAN(_xlpm.data),
_xlpm.mad,
MEDIAN(ABS(_xlpm.data-_xlpm.med)),
SUMPRODUCT(--(ABS(_xlpm.data-_xlpm.med)&gt;2.5*_xlpm.mad))/COUNT(_xlpm.data)
)</f>
        <v>0</v>
      </c>
      <c r="BR17" s="15">
        <f t="array" ref="BR17">_xlfn.LET(
_xlpm.data,
_xlfn._xlws.FILTER(
Table9[Beneficiary Income (USD) / Project Cost],
ISNUMBER(Table9[Beneficiary Income (USD) / Project Cost])*
(Table9[Beneficiary Income (USD) / Project Cost]&gt;0)*
(Table9[Grouping]="Group 3")
),
_xlpm.med,
MEDIAN(_xlpm.data),
_xlpm.mad,
MEDIAN(ABS(_xlpm.data-_xlpm.med)),
SUMPRODUCT(--(ABS(_xlpm.data-_xlpm.med)&gt;2.5*_xlpm.mad))
)</f>
        <v>0</v>
      </c>
      <c r="BS17" s="203">
        <f t="array" ref="BS17">_xlfn.LET(
_xlpm.data,
_xlfn._xlws.FILTER(
Table9[Beneficiary Income (USD) / Project Cost],
ISNUMBER(Table9[Beneficiary Income (USD) / Project Cost])*
(Table9[Beneficiary Income (USD) / Project Cost]&gt;0)*
(Table9[Grouping]="Group 3")
),
_xlpm.med,
MEDIAN(_xlpm.data),
_xlpm.mad,
MEDIAN(ABS(_xlpm.data-_xlpm.med)),
AVERAGE(
_xlfn._xlws.FILTER(
_xlpm.data,
ABS(_xlpm.data-_xlpm.med)&lt;=2.5*_xlpm.mad
)
)
)</f>
        <v>1.0914830657328014</v>
      </c>
      <c r="BT17" s="15">
        <f>BP17-BR17</f>
        <v>4</v>
      </c>
    </row>
    <row r="18" spans="2:72" x14ac:dyDescent="0.25">
      <c r="B18" s="373" t="s">
        <v>643</v>
      </c>
      <c r="C18" s="373"/>
      <c r="D18" s="373"/>
      <c r="E18" s="373"/>
      <c r="F18" s="420"/>
      <c r="G18" s="373"/>
      <c r="H18" s="373"/>
      <c r="I18" s="373"/>
      <c r="J18" s="417"/>
      <c r="K18" s="373" t="s">
        <v>643</v>
      </c>
      <c r="L18" s="373"/>
      <c r="M18" s="373"/>
      <c r="N18" s="373"/>
      <c r="O18" s="420"/>
      <c r="P18" s="373"/>
      <c r="Q18" s="373"/>
      <c r="R18" s="373"/>
      <c r="S18" s="417"/>
      <c r="T18" s="373" t="s">
        <v>643</v>
      </c>
      <c r="U18" s="373"/>
      <c r="V18" s="373"/>
      <c r="W18" s="373"/>
      <c r="X18" s="373"/>
      <c r="Y18" s="373"/>
      <c r="Z18" s="373"/>
      <c r="AA18" s="373"/>
      <c r="AB18" s="417"/>
      <c r="AC18" s="373" t="s">
        <v>643</v>
      </c>
      <c r="AD18" s="373"/>
      <c r="AE18" s="373"/>
      <c r="AF18" s="373"/>
      <c r="AG18" s="373"/>
      <c r="AH18" s="373"/>
      <c r="AI18" s="373"/>
      <c r="AJ18" s="373"/>
      <c r="AK18" s="417"/>
      <c r="AL18" s="373" t="s">
        <v>643</v>
      </c>
      <c r="AM18" s="373"/>
      <c r="AN18" s="373"/>
      <c r="AO18" s="373"/>
      <c r="AP18" s="373"/>
      <c r="AQ18" s="373"/>
      <c r="AR18" s="373"/>
      <c r="AS18" s="373"/>
      <c r="AT18" s="417"/>
      <c r="AU18" s="373" t="s">
        <v>643</v>
      </c>
      <c r="AV18" s="373"/>
      <c r="AW18" s="373"/>
      <c r="AX18" s="373"/>
      <c r="AY18" s="373"/>
      <c r="AZ18" s="373"/>
      <c r="BA18" s="373"/>
      <c r="BB18" s="373"/>
      <c r="BC18" s="417"/>
      <c r="BD18" s="373" t="s">
        <v>643</v>
      </c>
      <c r="BE18" s="373"/>
      <c r="BF18" s="373"/>
      <c r="BG18" s="373"/>
      <c r="BH18" s="420"/>
      <c r="BI18" s="373"/>
      <c r="BJ18" s="373"/>
      <c r="BK18" s="373"/>
      <c r="BL18" s="417"/>
      <c r="BM18" s="373" t="s">
        <v>643</v>
      </c>
      <c r="BN18" s="373"/>
      <c r="BO18" s="373"/>
      <c r="BP18" s="373"/>
      <c r="BQ18" s="420"/>
      <c r="BR18" s="373"/>
      <c r="BS18" s="373"/>
      <c r="BT18" s="373"/>
    </row>
    <row r="19" spans="2:72" x14ac:dyDescent="0.25">
      <c r="B19" s="206" t="s">
        <v>586</v>
      </c>
      <c r="C19" s="202">
        <f t="array" ref="C19">MEDIAN(_xlfn._xlws.FILTER(Table9[Income per beneficiary (USD)], (Table9[Income per beneficiary (USD)]&gt;0)*(Table9[Country Income Level]="Low-Income")))</f>
        <v>154.28601015043586</v>
      </c>
      <c r="D19" s="202">
        <f t="array" ref="D19">AVERAGE(_xlfn._xlws.FILTER(Table9[Income per beneficiary (USD)], (Table9[Income per beneficiary (USD)]&gt;0)*(Table9[Country Income Level]="Low-Income")))</f>
        <v>250.80971214545696</v>
      </c>
      <c r="E19" s="15">
        <f>COUNTIFS(Table9[Income per beneficiary (USD)],"&gt;0", Table9[Country Income Level],"Low-Income")</f>
        <v>12</v>
      </c>
      <c r="F19" s="195">
        <f t="array" ref="F19">_xlfn.LET(
_xlpm.data,_xlfn._xlws.FILTER(
Table9[Income per beneficiary (USD)],
(Table9[Income per beneficiary (USD)]&gt;0)*
(Table9[Country Income Level]="Low-Income")
),
_xlpm.med,MEDIAN(_xlpm.data),
_xlpm.mad,MEDIAN(ABS(_xlpm.data-_xlpm.med)),
SUMPRODUCT(--(ABS(_xlpm.data-_xlpm.med)&gt;2.5*_xlpm.mad))/COUNT(_xlpm.data)
)</f>
        <v>0.16666666666666666</v>
      </c>
      <c r="G19" s="15">
        <f t="array" ref="G19">_xlfn.LET(
_xlpm.data,_xlfn._xlws.FILTER(
Table9[Income per beneficiary (USD)],
(Table9[Income per beneficiary (USD)]&gt;0)*
(Table9[Country Income Level]="Low-Income")
),
_xlpm.med,MEDIAN(_xlpm.data),
_xlpm.mad,MEDIAN(ABS(_xlpm.data-_xlpm.med)),
SUMPRODUCT(--(ABS(_xlpm.data-_xlpm.med)&gt;2.5*_xlpm.mad))
)</f>
        <v>2</v>
      </c>
      <c r="H19" s="202">
        <f t="array" ref="H19">_xlfn.LET(
_xlpm.data,_xlfn._xlws.FILTER(
Table9[Income per beneficiary (USD)],
(Table9[Income per beneficiary (USD)]&gt;0)*
(Table9[Country Income Level]="Low-Income")
),
_xlpm.med,MEDIAN(_xlpm.data),
_xlpm.mad,MEDIAN(ABS(_xlpm.data-_xlpm.med)),
AVERAGE(_xlfn._xlws.FILTER(_xlpm.data,ABS(_xlpm.data-_xlpm.med)&lt;=2.5*_xlpm.mad))
)</f>
        <v>159.72542083458265</v>
      </c>
      <c r="I19" s="202">
        <f>E19-G19</f>
        <v>10</v>
      </c>
      <c r="J19" s="130"/>
      <c r="K19" s="206" t="s">
        <v>586</v>
      </c>
      <c r="L19" s="203">
        <f t="array" ref="L19">MEDIAN(
_xlfn._xlws.FILTER(
Table9[Normalised Income Impact Ratio],
ISNUMBER(Table9[Normalised Income Impact Ratio])*
(Table9[Normalised Income Impact Ratio]&gt;0)*
(Table9[Country Income Level]="Low-Income")
)
)</f>
        <v>4.0204608987968862E-2</v>
      </c>
      <c r="M19" s="203">
        <f t="array" ref="M19">AVERAGE(
_xlfn._xlws.FILTER(
Table9[Normalised Income Impact Ratio],
ISNUMBER(Table9[Normalised Income Impact Ratio])*
(Table9[Normalised Income Impact Ratio]&gt;0)*
(Table9[Country Income Level]="Low-Income")
)
)</f>
        <v>0.12864310778802734</v>
      </c>
      <c r="N19" s="15">
        <f>COUNTIFS(
Table9[Normalised Income Impact Ratio],"&gt;0",
Table9[Country Income Level],"Low-Income"
)</f>
        <v>11</v>
      </c>
      <c r="O19" s="195">
        <f t="array" ref="O19">_xlfn.LET(
_xlpm.data,_xlfn._xlws.FILTER(
Table9[Normalised Income Impact Ratio],
ISNUMBER(Table9[Normalised Income Impact Ratio])*
(Table9[Normalised Income Impact Ratio]&gt;0)*
(Table9[Country Income Level]="Low-Income")
),
_xlpm.med,MEDIAN(_xlpm.data),
_xlpm.mad,MEDIAN(ABS(_xlpm.data-_xlpm.med)),
SUMPRODUCT(--(ABS(_xlpm.data-_xlpm.med)&gt;2.5*_xlpm.mad))/COUNT(_xlpm.data)
)</f>
        <v>0.45454545454545453</v>
      </c>
      <c r="P19" s="15">
        <f t="array" ref="P19">_xlfn.LET(
_xlpm.data,_xlfn._xlws.FILTER(
Table9[Normalised Income Impact Ratio],
ISNUMBER(Table9[Normalised Income Impact Ratio])*
(Table9[Normalised Income Impact Ratio]&gt;0)*
(Table9[Country Income Level]="Low-Income")
),
_xlpm.med,MEDIAN(_xlpm.data),
_xlpm.mad,MEDIAN(ABS(_xlpm.data-_xlpm.med)),
SUMPRODUCT(--(ABS(_xlpm.data-_xlpm.med)&gt;2.5*_xlpm.mad))
)</f>
        <v>5</v>
      </c>
      <c r="Q19" s="203">
        <f t="array" ref="Q19">_xlfn.LET(
_xlpm.data,_xlfn._xlws.FILTER(
Table9[Normalised Income Impact Ratio],
ISNUMBER(Table9[Normalised Income Impact Ratio])*
(Table9[Normalised Income Impact Ratio]&gt;0)*
(Table9[Country Income Level]="Low-Income")
),
_xlpm.med,MEDIAN(_xlpm.data),
_xlpm.mad,MEDIAN(ABS(_xlpm.data-_xlpm.med)),
AVERAGE(_xlfn._xlws.FILTER(_xlpm.data,ABS(_xlpm.data-_xlpm.med)&lt;=2.5*_xlpm.mad))
)</f>
        <v>2.6261486063480204E-2</v>
      </c>
      <c r="R19" s="15">
        <f>N19-P19</f>
        <v>6</v>
      </c>
      <c r="T19" s="206" t="s">
        <v>586</v>
      </c>
      <c r="U19" s="203">
        <f t="array" ref="U19">MEDIAN(
_xlfn._xlws.FILTER(
Table9[Private Sector Investment (USD) / Project cost ],
ISNUMBER(Table9[Private Sector Investment (USD) / Project cost ])*
(Table9[Private Sector Investment (USD) / Project cost ]&gt;0)*
(Table9[Country Income Level]="Low-Income")
)
)</f>
        <v>0.31970482897384311</v>
      </c>
      <c r="V19" s="203">
        <f t="array" ref="V19">AVERAGE(
_xlfn._xlws.FILTER(
Table9[Private Sector Investment (USD) / Project cost ],
ISNUMBER(Table9[Private Sector Investment (USD) / Project cost ])*
(Table9[Private Sector Investment (USD) / Project cost ]&gt;0)*
(Table9[Country Income Level]="Low-Income")
)
)</f>
        <v>0.87104922300326193</v>
      </c>
      <c r="W19" s="15">
        <f>COUNTIFS(
Table9[Private Sector Investment (USD) / Project cost ],"&gt;0",
Table9[Country Income Level],"Low-Income"
)</f>
        <v>21</v>
      </c>
      <c r="X19" s="195">
        <f t="array" ref="X19">_xlfn.LET(
_xlpm.data,_xlfn._xlws.FILTER(
Table9[Private Sector Investment (USD) / Project cost ],
ISNUMBER(Table9[Private Sector Investment (USD) / Project cost ])*
(Table9[Private Sector Investment (USD) / Project cost ]&gt;0)*
(Table9[Country Income Level]="Low-Income")
),
_xlpm.med,MEDIAN(_xlpm.data),
_xlpm.mad,MEDIAN(ABS(_xlpm.data-_xlpm.med)),
SUMPRODUCT(--(ABS(_xlpm.data-_xlpm.med)&gt;2.5*_xlpm.mad))/COUNT(_xlpm.data)
)</f>
        <v>0.23809523809523808</v>
      </c>
      <c r="Y19" s="15">
        <f t="array" ref="Y19">_xlfn.LET(
_xlpm.data,_xlfn._xlws.FILTER(
Table9[Private Sector Investment (USD) / Project cost ],
ISNUMBER(Table9[Private Sector Investment (USD) / Project cost ])*
(Table9[Private Sector Investment (USD) / Project cost ]&gt;0)*
(Table9[Country Income Level]="Low-Income")
),
_xlpm.med,MEDIAN(_xlpm.data),
_xlpm.mad,MEDIAN(ABS(_xlpm.data-_xlpm.med)),
SUMPRODUCT(--(ABS(_xlpm.data-_xlpm.med)&gt;2.5*_xlpm.mad))
)</f>
        <v>5</v>
      </c>
      <c r="Z19" s="203">
        <f t="array" ref="Z19">_xlfn.LET(
_xlpm.data,_xlfn._xlws.FILTER(
Table9[Private Sector Investment (USD) / Project cost ],
ISNUMBER(Table9[Private Sector Investment (USD) / Project cost ])*
(Table9[Private Sector Investment (USD) / Project cost ]&gt;0)*
(Table9[Country Income Level]="Low-Income")
),
_xlpm.med,MEDIAN(_xlpm.data),
_xlpm.mad,MEDIAN(ABS(_xlpm.data-_xlpm.med)),
AVERAGE(_xlfn._xlws.FILTER(_xlpm.data,ABS(_xlpm.data-_xlpm.med)&lt;=2.5*_xlpm.mad))
)</f>
        <v>0.29119939462637839</v>
      </c>
      <c r="AA19" s="202">
        <f>W19-Y19</f>
        <v>16</v>
      </c>
      <c r="AB19" s="130"/>
      <c r="AC19" s="206" t="s">
        <v>586</v>
      </c>
      <c r="AD19" s="203">
        <f t="array" ref="AD19">MEDIAN(
_xlfn._xlws.FILTER(
Table9[Private Sector Revenues Generated (USD) / Project cost],
ISNUMBER(Table9[Private Sector Revenues Generated (USD) / Project cost])*
(Table9[Private Sector Revenues Generated (USD) / Project cost]&gt;0)*
(Table9[Country Income Level]="Low-Income")
)
)</f>
        <v>1.1209320865687951</v>
      </c>
      <c r="AE19" s="203">
        <f t="array" ref="AE19">AVERAGE(
_xlfn._xlws.FILTER(
Table9[Private Sector Revenues Generated (USD) / Project cost],
ISNUMBER(Table9[Private Sector Revenues Generated (USD) / Project cost])*
(Table9[Private Sector Revenues Generated (USD) / Project cost]&gt;0)*
(Table9[Country Income Level]="Low-Income")
)
)</f>
        <v>2.3332542906804625</v>
      </c>
      <c r="AF19" s="15">
        <f>COUNTIFS(
Table9[Private Sector Revenues Generated (USD) / Project cost],"&gt;0",
Table9[Country Income Level],"Low-Income"
)</f>
        <v>17</v>
      </c>
      <c r="AG19" s="195">
        <f t="array" ref="AG19">_xlfn.LET(
_xlpm.data,_xlfn._xlws.FILTER(
Table9[Private Sector Revenues Generated (USD) / Project cost],
ISNUMBER(Table9[Private Sector Revenues Generated (USD) / Project cost])*
(Table9[Private Sector Revenues Generated (USD) / Project cost]&gt;0)*
(Table9[Country Income Level]="Low-Income")
),
_xlpm.med,MEDIAN(_xlpm.data),
_xlpm.mad,MEDIAN(ABS(_xlpm.data-_xlpm.med)),
SUMPRODUCT(--(ABS(_xlpm.data-_xlpm.med)&gt;2.5*_xlpm.mad))/COUNT(_xlpm.data)
)</f>
        <v>0.11764705882352941</v>
      </c>
      <c r="AH19" s="15">
        <f t="array" ref="AH19">_xlfn.LET(
_xlpm.data,_xlfn._xlws.FILTER(
Table9[Private Sector Revenues Generated (USD) / Project cost],
ISNUMBER(Table9[Private Sector Revenues Generated (USD) / Project cost])*
(Table9[Private Sector Revenues Generated (USD) / Project cost]&gt;0)*
(Table9[Country Income Level]="Low-Income")
),
_xlpm.med,MEDIAN(_xlpm.data),
_xlpm.mad,MEDIAN(ABS(_xlpm.data-_xlpm.med)),
SUMPRODUCT(--(ABS(_xlpm.data-_xlpm.med)&gt;2.5*_xlpm.mad))
)</f>
        <v>2</v>
      </c>
      <c r="AI19" s="203">
        <f t="array" ref="AI19">_xlfn.LET(
_xlpm.data,_xlfn._xlws.FILTER(
Table9[Private Sector Revenues Generated (USD) / Project cost],
ISNUMBER(Table9[Private Sector Revenues Generated (USD) / Project cost])*
(Table9[Private Sector Revenues Generated (USD) / Project cost]&gt;0)*
(Table9[Country Income Level]="Low-Income")
),
_xlpm.med,MEDIAN(_xlpm.data),
_xlpm.mad,MEDIAN(ABS(_xlpm.data-_xlpm.med)),
AVERAGE(_xlfn._xlws.FILTER(_xlpm.data,ABS(_xlpm.data-_xlpm.med)&lt;=2.5*_xlpm.mad))
)</f>
        <v>0.9812408924125855</v>
      </c>
      <c r="AJ19" s="15">
        <f>AF19-AH19</f>
        <v>15</v>
      </c>
      <c r="AL19" s="206" t="s">
        <v>586</v>
      </c>
      <c r="AM19" s="203">
        <f t="array" ref="AM19">MEDIAN(
_xlfn._xlws.FILTER(
Table9[Export Revenue Generated (USD) /Project Cost],
ISNUMBER(Table9[Export Revenue Generated (USD) /Project Cost])*
(Table9[Export Revenue Generated (USD) /Project Cost]&gt;0)*
(Table9[Country Income Level]="Low-Income")
)
)</f>
        <v>0.10208563993256134</v>
      </c>
      <c r="AN19" s="203">
        <f t="array" ref="AN19">AVERAGE(
_xlfn._xlws.FILTER(
Table9[Export Revenue Generated (USD) /Project Cost],
ISNUMBER(Table9[Export Revenue Generated (USD) /Project Cost])*
(Table9[Export Revenue Generated (USD) /Project Cost]&gt;0)*
(Table9[Country Income Level]="Low-Income")
)
)</f>
        <v>0.13440879336257158</v>
      </c>
      <c r="AO19" s="15">
        <f>COUNTIFS(
Table9[Export Revenue Generated (USD) /Project Cost],"&gt;0",
Table9[Country Income Level],"Low-Income"
)</f>
        <v>6</v>
      </c>
      <c r="AP19" s="195">
        <f t="array" ref="AP19">_xlfn.LET(
_xlpm.data,_xlfn._xlws.FILTER(
Table9[Export Revenue Generated (USD) /Project Cost],
ISNUMBER(Table9[Export Revenue Generated (USD) /Project Cost])*
(Table9[Export Revenue Generated (USD) /Project Cost]&gt;0)*
(Table9[Country Income Level]="Low-Income")
),
_xlpm.med,MEDIAN(_xlpm.data),
_xlpm.mad,MEDIAN(ABS(_xlpm.data-_xlpm.med)),
SUMPRODUCT(--(ABS(_xlpm.data-_xlpm.med)&gt;2.5*_xlpm.mad))/COUNT(_xlpm.data)
)</f>
        <v>0.33333333333333331</v>
      </c>
      <c r="AQ19" s="15">
        <f t="array" ref="AQ19">_xlfn.LET(
_xlpm.data,_xlfn._xlws.FILTER(
Table9[Export Revenue Generated (USD) /Project Cost],
ISNUMBER(Table9[Export Revenue Generated (USD) /Project Cost])*
(Table9[Export Revenue Generated (USD) /Project Cost]&gt;0)*
(Table9[Country Income Level]="Low-Income")
),
_xlpm.med,MEDIAN(_xlpm.data),
_xlpm.mad,MEDIAN(ABS(_xlpm.data-_xlpm.med)),
SUMPRODUCT(--(ABS(_xlpm.data-_xlpm.med)&gt;2.5*_xlpm.mad))
)</f>
        <v>2</v>
      </c>
      <c r="AR19" s="203">
        <f t="array" ref="AR19">_xlfn.LET(
_xlpm.data,_xlfn._xlws.FILTER(
Table9[Export Revenue Generated (USD) /Project Cost],
ISNUMBER(Table9[Export Revenue Generated (USD) /Project Cost])*
(Table9[Export Revenue Generated (USD) /Project Cost]&gt;0)*
(Table9[Country Income Level]="Low-Income")
),
_xlpm.med,MEDIAN(_xlpm.data),
_xlpm.mad,MEDIAN(ABS(_xlpm.data-_xlpm.med)),
AVERAGE(_xlfn._xlws.FILTER(_xlpm.data,ABS(_xlpm.data-_xlpm.med)&lt;=2.5*_xlpm.mad))
)</f>
        <v>0.11392918360264429</v>
      </c>
      <c r="AS19" s="15">
        <f>AO19-AQ19</f>
        <v>4</v>
      </c>
      <c r="AU19" s="206" t="s">
        <v>586</v>
      </c>
      <c r="AV19" s="202">
        <f t="array" ref="AV19">MEDIAN(
_xlfn._xlws.FILTER(
Table9[Job created per $Mn],
ISNUMBER(Table9[Job created per $Mn])*
(Table9[Job created per $Mn]&gt;0)*
(Table9[Country Income Level]="Low-Income")
)
)</f>
        <v>227.74559947095156</v>
      </c>
      <c r="AW19" s="202">
        <f t="array" ref="AW19">AVERAGE(
_xlfn._xlws.FILTER(
Table9[Job created per $Mn],
ISNUMBER(Table9[Job created per $Mn])*
(Table9[Job created per $Mn]&gt;0)*
(Table9[Country Income Level]="Low-Income")
)
)</f>
        <v>1220.4893654124385</v>
      </c>
      <c r="AX19" s="15">
        <f>COUNTIFS(
Table9[Job created per $Mn],"&gt;0",
Table9[Country Income Level],"Low-Income"
)</f>
        <v>14</v>
      </c>
      <c r="AY19" s="195">
        <f t="array" ref="AY19">_xlfn.LET(
_xlpm.data,
_xlfn._xlws.FILTER(
Table9[Job created per $Mn],
ISNUMBER(Table9[Job created per $Mn])*
(Table9[Job created per $Mn]&gt;0)*
(Table9[Country Income Level]="Low-Income")
),
_xlpm.med,
MEDIAN(_xlpm.data),
_xlpm.mad,
MEDIAN(ABS(_xlpm.data-_xlpm.med)),
SUMPRODUCT(--(ABS(_xlpm.data-_xlpm.med)&gt;2.5*_xlpm.mad))/COUNT(_xlpm.data)
)</f>
        <v>0.21428571428571427</v>
      </c>
      <c r="AZ19" s="15">
        <f t="array" ref="AZ19">_xlfn.LET(
_xlpm.data,
_xlfn._xlws.FILTER(
Table9[Job created per $Mn],
ISNUMBER(Table9[Job created per $Mn])*
(Table9[Job created per $Mn]&gt;0)*
(Table9[Country Income Level]="Low-Income")
),
_xlpm.med,
MEDIAN(_xlpm.data),
_xlpm.mad,
MEDIAN(ABS(_xlpm.data-_xlpm.med)),
SUMPRODUCT(--(ABS(_xlpm.data-_xlpm.med)&gt;2.5*_xlpm.mad))
)</f>
        <v>3</v>
      </c>
      <c r="BA19" s="202">
        <f t="array" ref="BA19">_xlfn.LET(
_xlpm.data,
_xlfn._xlws.FILTER(
Table9[Job created per $Mn],
ISNUMBER(Table9[Job created per $Mn])*
(Table9[Job created per $Mn]&gt;0)*
(Table9[Country Income Level]="Low-Income")
),
_xlpm.med,
MEDIAN(_xlpm.data),
_xlpm.mad,
MEDIAN(ABS(_xlpm.data-_xlpm.med)),
AVERAGE(
_xlfn._xlws.FILTER(
_xlpm.data,
ABS(_xlpm.data-_xlpm.med)&lt;=2.5*_xlpm.mad
)
)
)</f>
        <v>219.75291450667294</v>
      </c>
      <c r="BB19" s="15">
        <f>AX19-AZ19</f>
        <v>11</v>
      </c>
      <c r="BD19" s="206" t="s">
        <v>586</v>
      </c>
      <c r="BE19" s="202">
        <f t="array" ref="BE19">MEDIAN(
_xlfn._xlws.FILTER(
Table9[Job improved per $Mn],
ISNUMBER(Table9[Job improved per $Mn])*
(Table9[Job improved per $Mn]&gt;0)*
(Table9[Country Income Level]="Low-Income")
)
)</f>
        <v>2386.5026995573412</v>
      </c>
      <c r="BF19" s="202">
        <f t="array" ref="BF19">AVERAGE(
_xlfn._xlws.FILTER(
Table9[Job improved per $Mn],
ISNUMBER(Table9[Job improved per $Mn])*
(Table9[Job improved per $Mn]&gt;0)*
(Table9[Country Income Level]="Low-Income")
)
)</f>
        <v>4230.7805798577356</v>
      </c>
      <c r="BG19" s="15">
        <f>COUNTIFS(
Table9[Job improved per $Mn],"&gt;0",
Table9[Country Income Level],"Low-Income"
)</f>
        <v>17</v>
      </c>
      <c r="BH19" s="195">
        <f t="array" ref="BH19">_xlfn.LET(
_xlpm.data,
_xlfn._xlws.FILTER(
Table9[Job improved per $Mn],
ISNUMBER(Table9[Job improved per $Mn])*
(Table9[Job improved per $Mn]&gt;0)*
(Table9[Country Income Level]="Low-Income")
),
_xlpm.med,
MEDIAN(_xlpm.data),
_xlpm.mad,
MEDIAN(ABS(_xlpm.data-_xlpm.med)),
SUMPRODUCT(--(ABS(_xlpm.data-_xlpm.med)&gt;2.5*_xlpm.mad))/COUNT(_xlpm.data)
)</f>
        <v>0.11764705882352941</v>
      </c>
      <c r="BI19" s="15">
        <f t="array" ref="BI19">_xlfn.LET(
_xlpm.data,
_xlfn._xlws.FILTER(
Table9[Job improved per $Mn],
ISNUMBER(Table9[Job improved per $Mn])*
(Table9[Job improved per $Mn]&gt;0)*
(Table9[Country Income Level]="Low-Income")
),
_xlpm.med,
MEDIAN(_xlpm.data),
_xlpm.mad,
MEDIAN(ABS(_xlpm.data-_xlpm.med)),
SUMPRODUCT(--(ABS(_xlpm.data-_xlpm.med)&gt;2.5*_xlpm.mad))
)</f>
        <v>2</v>
      </c>
      <c r="BJ19" s="202">
        <f t="array" ref="BJ19">_xlfn.LET(
_xlpm.data,
_xlfn._xlws.FILTER(
Table9[Job improved per $Mn],
ISNUMBER(Table9[Job improved per $Mn])*
(Table9[Job improved per $Mn]&gt;0)*
(Table9[Country Income Level]="Low-Income")
),
_xlpm.med,
MEDIAN(_xlpm.data),
_xlpm.mad,
MEDIAN(ABS(_xlpm.data-_xlpm.med)),
AVERAGE(
_xlfn._xlws.FILTER(
_xlpm.data,
ABS(_xlpm.data-_xlpm.med)&lt;=2.5*_xlpm.mad
)
)
)</f>
        <v>2357.6192103151984</v>
      </c>
      <c r="BK19" s="15">
        <f>BG19-BI19</f>
        <v>15</v>
      </c>
      <c r="BM19" s="206" t="s">
        <v>586</v>
      </c>
      <c r="BN19" s="203">
        <f t="array" ref="BN19">MEDIAN(
_xlfn._xlws.FILTER(
Table9[Beneficiary Income (USD) / Project Cost],
ISNUMBER(Table9[Beneficiary Income (USD) / Project Cost])*
(Table9[Beneficiary Income (USD) / Project Cost]&gt;0)*
(Table9[Country Income Level]="Low-Income")
)
)</f>
        <v>0.82986517142857141</v>
      </c>
      <c r="BO19" s="203">
        <f t="array" ref="BO19">AVERAGE(
_xlfn._xlws.FILTER(
Table9[Beneficiary Income (USD) / Project Cost],
ISNUMBER(Table9[Beneficiary Income (USD) / Project Cost])*
(Table9[Beneficiary Income (USD) / Project Cost]&gt;0)*
(Table9[Country Income Level]="Low-Income")
)
)</f>
        <v>1.0781688199705626</v>
      </c>
      <c r="BP19" s="15">
        <f>COUNTIFS(
Table9[Beneficiary Income (USD) / Project Cost],"&gt;0",
Table9[Country Income Level],"Low-Income"
)</f>
        <v>12</v>
      </c>
      <c r="BQ19" s="195">
        <f t="array" ref="BQ19">_xlfn.LET(
_xlpm.data,
_xlfn._xlws.FILTER(
Table9[Beneficiary Income (USD) / Project Cost],
ISNUMBER(Table9[Beneficiary Income (USD) / Project Cost])*
(Table9[Beneficiary Income (USD) / Project Cost]&gt;0)*
(Table9[Country Income Level]="Low-Income")
),
_xlpm.med,
MEDIAN(_xlpm.data),
_xlpm.mad,
MEDIAN(ABS(_xlpm.data-_xlpm.med)),
SUMPRODUCT(--(ABS(_xlpm.data-_xlpm.med)&gt;2.5*_xlpm.mad))/COUNT(_xlpm.data)
)</f>
        <v>8.3333333333333329E-2</v>
      </c>
      <c r="BR19" s="15">
        <f t="array" ref="BR19">_xlfn.LET(
_xlpm.data,
_xlfn._xlws.FILTER(
Table9[Beneficiary Income (USD) / Project Cost],
ISNUMBER(Table9[Beneficiary Income (USD) / Project Cost])*
(Table9[Beneficiary Income (USD) / Project Cost]&gt;0)*
(Table9[Country Income Level]="Low-Income")
),
_xlpm.med,
MEDIAN(_xlpm.data),
_xlpm.mad,
MEDIAN(ABS(_xlpm.data-_xlpm.med)),
SUMPRODUCT(--(ABS(_xlpm.data-_xlpm.med)&gt;2.5*_xlpm.mad))
)</f>
        <v>1</v>
      </c>
      <c r="BS19" s="203">
        <f t="array" ref="BS19">_xlfn.LET(
_xlpm.data,
_xlfn._xlws.FILTER(
Table9[Beneficiary Income (USD) / Project Cost],
ISNUMBER(Table9[Beneficiary Income (USD) / Project Cost])*
(Table9[Beneficiary Income (USD) / Project Cost]&gt;0)*
(Table9[Country Income Level]="Low-Income")
),
_xlpm.med,
MEDIAN(_xlpm.data),
_xlpm.mad,
MEDIAN(ABS(_xlpm.data-_xlpm.med)),
AVERAGE(
_xlfn._xlws.FILTER(
_xlpm.data,
ABS(_xlpm.data-_xlpm.med)&lt;=2.5*_xlpm.mad
)
)
)</f>
        <v>0.87556732389550163</v>
      </c>
      <c r="BT19" s="15">
        <f>BP19-BR19</f>
        <v>11</v>
      </c>
    </row>
    <row r="20" spans="2:72" x14ac:dyDescent="0.25">
      <c r="B20" s="206" t="s">
        <v>583</v>
      </c>
      <c r="C20" s="202">
        <f t="array" ref="C20">MEDIAN(_xlfn._xlws.FILTER(Table9[Income per beneficiary (USD)], (Table9[Income per beneficiary (USD)]&gt;0)*(Table9[Country Income Level]="Lower-Middle Income")))</f>
        <v>191.32203389830511</v>
      </c>
      <c r="D20" s="202">
        <f t="array" ref="D20">AVERAGE(_xlfn._xlws.FILTER(Table9[Income per beneficiary (USD)], (Table9[Income per beneficiary (USD)]&gt;0)*(Table9[Country Income Level]="Lower-Middle Income")))</f>
        <v>608.00698818317051</v>
      </c>
      <c r="E20" s="15">
        <f>COUNTIFS(Table9[Income per beneficiary (USD)],"&gt;0", Table9[Country Income Level],"Lower-Middle Income")</f>
        <v>21</v>
      </c>
      <c r="F20" s="195">
        <f t="array" ref="F20">_xlfn.LET(
_xlpm.data,_xlfn._xlws.FILTER(
Table9[Income per beneficiary (USD)],
(Table9[Income per beneficiary (USD)]&gt;0)*
(Table9[Country Income Level]="Lower-Middle Income")
),
_xlpm.med,MEDIAN(_xlpm.data),
_xlpm.mad,MEDIAN(ABS(_xlpm.data-_xlpm.med)),
SUMPRODUCT(--(ABS(_xlpm.data-_xlpm.med)&gt;2.5*_xlpm.mad))/COUNT(_xlpm.data)
)</f>
        <v>0.33333333333333331</v>
      </c>
      <c r="G20" s="15">
        <f t="array" ref="G20">_xlfn.LET(
_xlpm.data,_xlfn._xlws.FILTER(
Table9[Income per beneficiary (USD)],
(Table9[Income per beneficiary (USD)]&gt;0)*
(Table9[Country Income Level]="Lower-Middle Income")
),
_xlpm.med,MEDIAN(_xlpm.data),
_xlpm.mad,MEDIAN(ABS(_xlpm.data-_xlpm.med)),
SUMPRODUCT(--(ABS(_xlpm.data-_xlpm.med)&gt;2.5*_xlpm.mad))
)</f>
        <v>7</v>
      </c>
      <c r="H20" s="202">
        <f t="array" ref="H20">_xlfn.LET(
_xlpm.data,_xlfn._xlws.FILTER(
Table9[Income per beneficiary (USD)],
(Table9[Income per beneficiary (USD)]&gt;0)*
(Table9[Country Income Level]="Lower-Middle Income")
),
_xlpm.med,MEDIAN(_xlpm.data),
_xlpm.mad,MEDIAN(ABS(_xlpm.data-_xlpm.med)),
AVERAGE(_xlfn._xlws.FILTER(_xlpm.data,ABS(_xlpm.data-_xlpm.med)&lt;=2.5*_xlpm.mad))
)</f>
        <v>176.82506634490929</v>
      </c>
      <c r="I20" s="202">
        <f>E20-G20</f>
        <v>14</v>
      </c>
      <c r="J20" s="130"/>
      <c r="K20" s="206" t="s">
        <v>583</v>
      </c>
      <c r="L20" s="203">
        <f t="array" ref="L20">MEDIAN(
_xlfn._xlws.FILTER(
Table9[Normalised Income Impact Ratio],
ISNUMBER(Table9[Normalised Income Impact Ratio])*
(Table9[Normalised Income Impact Ratio]&gt;0)*
(Table9[Country Income Level]="Lower-Middle Income")
)
)</f>
        <v>2.6493124495294999E-2</v>
      </c>
      <c r="M20" s="203">
        <f t="array" ref="M20">AVERAGE(
_xlfn._xlws.FILTER(
Table9[Normalised Income Impact Ratio],
ISNUMBER(Table9[Normalised Income Impact Ratio])*
(Table9[Normalised Income Impact Ratio]&gt;0)*
(Table9[Country Income Level]="Lower-Middle Income")
)
)</f>
        <v>7.6219569692980257E-2</v>
      </c>
      <c r="N20" s="15">
        <f>COUNTIFS(
Table9[Normalised Income Impact Ratio],"&gt;0",
Table9[Country Income Level],"Lower-Middle Income"
)</f>
        <v>21</v>
      </c>
      <c r="O20" s="195">
        <f t="array" ref="O20">_xlfn.LET(
_xlpm.data,_xlfn._xlws.FILTER(
Table9[Normalised Income Impact Ratio],
ISNUMBER(Table9[Normalised Income Impact Ratio])*
(Table9[Normalised Income Impact Ratio]&gt;0)*
(Table9[Country Income Level]="Lower-Middle Income")
),
_xlpm.med,MEDIAN(_xlpm.data),
_xlpm.mad,MEDIAN(ABS(_xlpm.data-_xlpm.med)),
SUMPRODUCT(--(ABS(_xlpm.data-_xlpm.med)&gt;2.5*_xlpm.mad))/COUNT(_xlpm.data)
)</f>
        <v>0.2857142857142857</v>
      </c>
      <c r="P20" s="15">
        <f t="array" ref="P20">_xlfn.LET(
_xlpm.data,_xlfn._xlws.FILTER(
Table9[Normalised Income Impact Ratio],
ISNUMBER(Table9[Normalised Income Impact Ratio])*
(Table9[Normalised Income Impact Ratio]&gt;0)*
(Table9[Country Income Level]="Lower-Middle Income")
),
_xlpm.med,MEDIAN(_xlpm.data),
_xlpm.mad,MEDIAN(ABS(_xlpm.data-_xlpm.med)),
SUMPRODUCT(--(ABS(_xlpm.data-_xlpm.med)&gt;2.5*_xlpm.mad))
)</f>
        <v>6</v>
      </c>
      <c r="Q20" s="203">
        <f t="array" ref="Q20">_xlfn.LET(
_xlpm.data,_xlfn._xlws.FILTER(
Table9[Normalised Income Impact Ratio],
ISNUMBER(Table9[Normalised Income Impact Ratio])*
(Table9[Normalised Income Impact Ratio]&gt;0)*
(Table9[Country Income Level]="Lower-Middle Income")
),
_xlpm.med,MEDIAN(_xlpm.data),
_xlpm.mad,MEDIAN(ABS(_xlpm.data-_xlpm.med)),
AVERAGE(_xlfn._xlws.FILTER(_xlpm.data,ABS(_xlpm.data-_xlpm.med)&lt;=2.5*_xlpm.mad))
)</f>
        <v>2.3891690454265181E-2</v>
      </c>
      <c r="R20" s="15">
        <f>N20-P20</f>
        <v>15</v>
      </c>
      <c r="T20" s="206" t="s">
        <v>583</v>
      </c>
      <c r="U20" s="203">
        <f t="array" ref="U20">MEDIAN(
_xlfn._xlws.FILTER(
Table9[Private Sector Investment (USD) / Project cost ],
ISNUMBER(Table9[Private Sector Investment (USD) / Project cost ])*
(Table9[Private Sector Investment (USD) / Project cost ]&gt;0)*
(Table9[Country Income Level]="Lower-Middle Income")
)
)</f>
        <v>0.48347128953771279</v>
      </c>
      <c r="V20" s="203">
        <f t="array" ref="V20">AVERAGE(
_xlfn._xlws.FILTER(
Table9[Private Sector Investment (USD) / Project cost ],
ISNUMBER(Table9[Private Sector Investment (USD) / Project cost ])*
(Table9[Private Sector Investment (USD) / Project cost ]&gt;0)*
(Table9[Country Income Level]="Lower-Middle Income")
)
)</f>
        <v>2.233384209280294</v>
      </c>
      <c r="W20" s="15">
        <f>COUNTIFS(
Table9[Private Sector Investment (USD) / Project cost ],"&gt;0",
Table9[Country Income Level],"Lower-Middle Income"
)</f>
        <v>22</v>
      </c>
      <c r="X20" s="195">
        <f t="array" ref="X20">_xlfn.LET(
_xlpm.data,_xlfn._xlws.FILTER(
Table9[Private Sector Investment (USD) / Project cost ],
ISNUMBER(Table9[Private Sector Investment (USD) / Project cost ])*
(Table9[Private Sector Investment (USD) / Project cost ]&gt;0)*
(Table9[Country Income Level]="Lower-Middle Income")
),
_xlpm.med,MEDIAN(_xlpm.data),
_xlpm.mad,MEDIAN(ABS(_xlpm.data-_xlpm.med)),
SUMPRODUCT(--(ABS(_xlpm.data-_xlpm.med)&gt;2.5*_xlpm.mad))/COUNT(_xlpm.data)
)</f>
        <v>0.18181818181818182</v>
      </c>
      <c r="Y20" s="15">
        <f t="array" ref="Y20">_xlfn.LET(
_xlpm.data,_xlfn._xlws.FILTER(
Table9[Private Sector Investment (USD) / Project cost ],
ISNUMBER(Table9[Private Sector Investment (USD) / Project cost ])*
(Table9[Private Sector Investment (USD) / Project cost ]&gt;0)*
(Table9[Country Income Level]="Lower-Middle Income")
),
_xlpm.med,MEDIAN(_xlpm.data),
_xlpm.mad,MEDIAN(ABS(_xlpm.data-_xlpm.med)),
SUMPRODUCT(--(ABS(_xlpm.data-_xlpm.med)&gt;2.5*_xlpm.mad))
)</f>
        <v>4</v>
      </c>
      <c r="Z20" s="203">
        <f t="array" ref="Z20">_xlfn.LET(
_xlpm.data,_xlfn._xlws.FILTER(
Table9[Private Sector Investment (USD) / Project cost ],
ISNUMBER(Table9[Private Sector Investment (USD) / Project cost ])*
(Table9[Private Sector Investment (USD) / Project cost ]&gt;0)*
(Table9[Country Income Level]="Lower-Middle Income")
),
_xlpm.med,MEDIAN(_xlpm.data),
_xlpm.mad,MEDIAN(ABS(_xlpm.data-_xlpm.med)),
AVERAGE(_xlfn._xlws.FILTER(_xlpm.data,ABS(_xlpm.data-_xlpm.med)&lt;=2.5*_xlpm.mad))
)</f>
        <v>0.45013482465486071</v>
      </c>
      <c r="AA20" s="202">
        <f>W20-Y20</f>
        <v>18</v>
      </c>
      <c r="AB20" s="130"/>
      <c r="AC20" s="206" t="s">
        <v>583</v>
      </c>
      <c r="AD20" s="203">
        <f t="array" ref="AD20">MEDIAN(
_xlfn._xlws.FILTER(
Table9[Private Sector Revenues Generated (USD) / Project cost],
ISNUMBER(Table9[Private Sector Revenues Generated (USD) / Project cost])*
(Table9[Private Sector Revenues Generated (USD) / Project cost]&gt;0)*
(Table9[Country Income Level]="Lower-Middle Income")
)
)</f>
        <v>1.959925063457816</v>
      </c>
      <c r="AE20" s="203">
        <f t="array" ref="AE20">AVERAGE(
_xlfn._xlws.FILTER(
Table9[Private Sector Revenues Generated (USD) / Project cost],
ISNUMBER(Table9[Private Sector Revenues Generated (USD) / Project cost])*
(Table9[Private Sector Revenues Generated (USD) / Project cost]&gt;0)*
(Table9[Country Income Level]="Lower-Middle Income")
)
)</f>
        <v>4.1551942776728099</v>
      </c>
      <c r="AF20" s="15">
        <f>COUNTIFS(
Table9[Private Sector Revenues Generated (USD) / Project cost],"&gt;0",
Table9[Country Income Level],"Lower-Middle Income"
)</f>
        <v>21</v>
      </c>
      <c r="AG20" s="195">
        <f t="array" ref="AG20">_xlfn.LET(
_xlpm.data,_xlfn._xlws.FILTER(
Table9[Private Sector Revenues Generated (USD) / Project cost],
ISNUMBER(Table9[Private Sector Revenues Generated (USD) / Project cost])*
(Table9[Private Sector Revenues Generated (USD) / Project cost]&gt;0)*
(Table9[Country Income Level]="Lower-Middle Income")
),
_xlpm.med,MEDIAN(_xlpm.data),
_xlpm.mad,MEDIAN(ABS(_xlpm.data-_xlpm.med)),
SUMPRODUCT(--(ABS(_xlpm.data-_xlpm.med)&gt;2.5*_xlpm.mad))/COUNT(_xlpm.data)
)</f>
        <v>0.23809523809523808</v>
      </c>
      <c r="AH20" s="15">
        <f t="array" ref="AH20">_xlfn.LET(
_xlpm.data,_xlfn._xlws.FILTER(
Table9[Private Sector Revenues Generated (USD) / Project cost],
ISNUMBER(Table9[Private Sector Revenues Generated (USD) / Project cost])*
(Table9[Private Sector Revenues Generated (USD) / Project cost]&gt;0)*
(Table9[Country Income Level]="Lower-Middle Income")
),
_xlpm.med,MEDIAN(_xlpm.data),
_xlpm.mad,MEDIAN(ABS(_xlpm.data-_xlpm.med)),
SUMPRODUCT(--(ABS(_xlpm.data-_xlpm.med)&gt;2.5*_xlpm.mad))
)</f>
        <v>5</v>
      </c>
      <c r="AI20" s="203">
        <f t="array" ref="AI20">_xlfn.LET(
_xlpm.data,_xlfn._xlws.FILTER(
Table9[Private Sector Revenues Generated (USD) / Project cost],
ISNUMBER(Table9[Private Sector Revenues Generated (USD) / Project cost])*
(Table9[Private Sector Revenues Generated (USD) / Project cost]&gt;0)*
(Table9[Country Income Level]="Lower-Middle Income")
),
_xlpm.med,MEDIAN(_xlpm.data),
_xlpm.mad,MEDIAN(ABS(_xlpm.data-_xlpm.med)),
AVERAGE(_xlfn._xlws.FILTER(_xlpm.data,ABS(_xlpm.data-_xlpm.med)&lt;=2.5*_xlpm.mad))
)</f>
        <v>1.266577466416499</v>
      </c>
      <c r="AJ20" s="15">
        <f>AF20-AH20</f>
        <v>16</v>
      </c>
      <c r="AL20" s="206" t="s">
        <v>583</v>
      </c>
      <c r="AM20" s="203">
        <f t="array" ref="AM20">MEDIAN(
_xlfn._xlws.FILTER(
Table9[Export Revenue Generated (USD) /Project Cost],
ISNUMBER(Table9[Export Revenue Generated (USD) /Project Cost])*
(Table9[Export Revenue Generated (USD) /Project Cost]&gt;0)*
(Table9[Country Income Level]="Lower-Middle Income")
)
)</f>
        <v>0.29210173529411765</v>
      </c>
      <c r="AN20" s="203">
        <f t="array" ref="AN20">AVERAGE(
_xlfn._xlws.FILTER(
Table9[Export Revenue Generated (USD) /Project Cost],
ISNUMBER(Table9[Export Revenue Generated (USD) /Project Cost])*
(Table9[Export Revenue Generated (USD) /Project Cost]&gt;0)*
(Table9[Country Income Level]="Lower-Middle Income")
)
)</f>
        <v>3.1060050609918179</v>
      </c>
      <c r="AO20" s="15">
        <f>COUNTIFS(
Table9[Export Revenue Generated (USD) /Project Cost],"&gt;0",
Table9[Country Income Level],"Lower-Middle Income"
)</f>
        <v>6</v>
      </c>
      <c r="AP20" s="195">
        <f t="array" ref="AP20">_xlfn.LET(
_xlpm.data,_xlfn._xlws.FILTER(
Table9[Export Revenue Generated (USD) /Project Cost],
ISNUMBER(Table9[Export Revenue Generated (USD) /Project Cost])*
(Table9[Export Revenue Generated (USD) /Project Cost]&gt;0)*
(Table9[Country Income Level]="Lower-Middle Income")
),
_xlpm.med,MEDIAN(_xlpm.data),
_xlpm.mad,MEDIAN(ABS(_xlpm.data-_xlpm.med)),
SUMPRODUCT(--(ABS(_xlpm.data-_xlpm.med)&gt;2.5*_xlpm.mad))/COUNT(_xlpm.data)
)</f>
        <v>0.33333333333333331</v>
      </c>
      <c r="AQ20" s="15">
        <f t="array" ref="AQ20">_xlfn.LET(
_xlpm.data,_xlfn._xlws.FILTER(
Table9[Export Revenue Generated (USD) /Project Cost],
ISNUMBER(Table9[Export Revenue Generated (USD) /Project Cost])*
(Table9[Export Revenue Generated (USD) /Project Cost]&gt;0)*
(Table9[Country Income Level]="Lower-Middle Income")
),
_xlpm.med,MEDIAN(_xlpm.data),
_xlpm.mad,MEDIAN(ABS(_xlpm.data-_xlpm.med)),
SUMPRODUCT(--(ABS(_xlpm.data-_xlpm.med)&gt;2.5*_xlpm.mad))
)</f>
        <v>2</v>
      </c>
      <c r="AR20" s="203">
        <f t="array" ref="AR20">_xlfn.LET(
_xlpm.data,_xlfn._xlws.FILTER(
Table9[Export Revenue Generated (USD) /Project Cost],
ISNUMBER(Table9[Export Revenue Generated (USD) /Project Cost])*
(Table9[Export Revenue Generated (USD) /Project Cost]&gt;0)*
(Table9[Country Income Level]="Lower-Middle Income")
),
_xlpm.med,MEDIAN(_xlpm.data),
_xlpm.mad,MEDIAN(ABS(_xlpm.data-_xlpm.med)),
AVERAGE(_xlfn._xlws.FILTER(_xlpm.data,ABS(_xlpm.data-_xlpm.med)&lt;=2.5*_xlpm.mad))
)</f>
        <v>0.15530701710452899</v>
      </c>
      <c r="AS20" s="15">
        <f>AO20-AQ20</f>
        <v>4</v>
      </c>
      <c r="AU20" s="206" t="s">
        <v>583</v>
      </c>
      <c r="AV20" s="202">
        <f t="array" ref="AV20">MEDIAN(
_xlfn._xlws.FILTER(
Table9[Job created per $Mn],
ISNUMBER(Table9[Job created per $Mn])*
(Table9[Job created per $Mn]&gt;0)*
(Table9[Country Income Level]="Lower-Middle Income")
)
)</f>
        <v>629.30083333333323</v>
      </c>
      <c r="AW20" s="202">
        <f t="array" ref="AW20">AVERAGE(
_xlfn._xlws.FILTER(
Table9[Job created per $Mn],
ISNUMBER(Table9[Job created per $Mn])*
(Table9[Job created per $Mn]&gt;0)*
(Table9[Country Income Level]="Lower-Middle Income")
)
)</f>
        <v>1108.0422469671544</v>
      </c>
      <c r="AX20" s="15">
        <f>COUNTIFS(
Table9[Job created per $Mn],"&gt;0",
Table9[Country Income Level],"Lower-Middle Income"
)</f>
        <v>16</v>
      </c>
      <c r="AY20" s="195">
        <f t="array" ref="AY20">_xlfn.LET(
_xlpm.data,
_xlfn._xlws.FILTER(
Table9[Job created per $Mn],
ISNUMBER(Table9[Job created per $Mn])*
(Table9[Job created per $Mn]&gt;0)*
(Table9[Country Income Level]="Lower-Middle Income")
),
_xlpm.med,
MEDIAN(_xlpm.data),
_xlpm.mad,
MEDIAN(ABS(_xlpm.data-_xlpm.med)),
SUMPRODUCT(--(ABS(_xlpm.data-_xlpm.med)&gt;2.5*_xlpm.mad))/COUNT(_xlpm.data)
)</f>
        <v>0.25</v>
      </c>
      <c r="AZ20" s="15">
        <f t="array" ref="AZ20">_xlfn.LET(
_xlpm.data,
_xlfn._xlws.FILTER(
Table9[Job created per $Mn],
ISNUMBER(Table9[Job created per $Mn])*
(Table9[Job created per $Mn]&gt;0)*
(Table9[Country Income Level]="Lower-Middle Income")
),
_xlpm.med,
MEDIAN(_xlpm.data),
_xlpm.mad,
MEDIAN(ABS(_xlpm.data-_xlpm.med)),
SUMPRODUCT(--(ABS(_xlpm.data-_xlpm.med)&gt;2.5*_xlpm.mad))
)</f>
        <v>4</v>
      </c>
      <c r="BA20" s="202">
        <f t="array" ref="BA20">_xlfn.LET(
_xlpm.data,
_xlfn._xlws.FILTER(
Table9[Job created per $Mn],
ISNUMBER(Table9[Job created per $Mn])*
(Table9[Job created per $Mn]&gt;0)*
(Table9[Country Income Level]="Lower-Middle Income")
),
_xlpm.med,
MEDIAN(_xlpm.data),
_xlpm.mad,
MEDIAN(ABS(_xlpm.data-_xlpm.med)),
AVERAGE(
_xlfn._xlws.FILTER(
_xlpm.data,
ABS(_xlpm.data-_xlpm.med)&lt;=2.5*_xlpm.mad
)
)
)</f>
        <v>588.71523014841364</v>
      </c>
      <c r="BB20" s="15">
        <f>AX20-AZ20</f>
        <v>12</v>
      </c>
      <c r="BD20" s="206" t="s">
        <v>583</v>
      </c>
      <c r="BE20" s="202">
        <f t="array" ref="BE20">MEDIAN(
_xlfn._xlws.FILTER(
Table9[Job improved per $Mn],
ISNUMBER(Table9[Job improved per $Mn])*
(Table9[Job improved per $Mn]&gt;0)*
(Table9[Country Income Level]="Lower-Middle Income")
)
)</f>
        <v>3189.769846249128</v>
      </c>
      <c r="BF20" s="202">
        <f t="array" ref="BF20">AVERAGE(
_xlfn._xlws.FILTER(
Table9[Job improved per $Mn],
ISNUMBER(Table9[Job improved per $Mn])*
(Table9[Job improved per $Mn]&gt;0)*
(Table9[Country Income Level]="Lower-Middle Income")
)
)</f>
        <v>7202.5512224812655</v>
      </c>
      <c r="BG20" s="15">
        <f>COUNTIFS(
Table9[Job improved per $Mn],"&gt;0",
Table9[Country Income Level],"Lower-Middle Income"
)</f>
        <v>33</v>
      </c>
      <c r="BH20" s="195">
        <f t="array" ref="BH20">_xlfn.LET(
_xlpm.data,
_xlfn._xlws.FILTER(
Table9[Job improved per $Mn],
ISNUMBER(Table9[Job improved per $Mn])*
(Table9[Job improved per $Mn]&gt;0)*
(Table9[Country Income Level]="Lower-Middle Income")
),
_xlpm.med,
MEDIAN(_xlpm.data),
_xlpm.mad,
MEDIAN(ABS(_xlpm.data-_xlpm.med)),
SUMPRODUCT(--(ABS(_xlpm.data-_xlpm.med)&gt;2.5*_xlpm.mad))/COUNT(_xlpm.data)
)</f>
        <v>0.30303030303030304</v>
      </c>
      <c r="BI20" s="15">
        <f t="array" ref="BI20">_xlfn.LET(
_xlpm.data,
_xlfn._xlws.FILTER(
Table9[Job improved per $Mn],
ISNUMBER(Table9[Job improved per $Mn])*
(Table9[Job improved per $Mn]&gt;0)*
(Table9[Country Income Level]="Lower-Middle Income")
),
_xlpm.med,
MEDIAN(_xlpm.data),
_xlpm.mad,
MEDIAN(ABS(_xlpm.data-_xlpm.med)),
SUMPRODUCT(--(ABS(_xlpm.data-_xlpm.med)&gt;2.5*_xlpm.mad))
)</f>
        <v>10</v>
      </c>
      <c r="BJ20" s="202">
        <f t="array" ref="BJ20">_xlfn.LET(
_xlpm.data,
_xlfn._xlws.FILTER(
Table9[Job improved per $Mn],
ISNUMBER(Table9[Job improved per $Mn])*
(Table9[Job improved per $Mn]&gt;0)*
(Table9[Country Income Level]="Lower-Middle Income")
),
_xlpm.med,
MEDIAN(_xlpm.data),
_xlpm.mad,
MEDIAN(ABS(_xlpm.data-_xlpm.med)),
AVERAGE(
_xlfn._xlws.FILTER(
_xlpm.data,
ABS(_xlpm.data-_xlpm.med)&lt;=2.5*_xlpm.mad
)
)
)</f>
        <v>2592.8889018296109</v>
      </c>
      <c r="BK20" s="15">
        <f>BG20-BI20</f>
        <v>23</v>
      </c>
      <c r="BM20" s="206" t="s">
        <v>583</v>
      </c>
      <c r="BN20" s="203">
        <f t="array" ref="BN20">MEDIAN(
_xlfn._xlws.FILTER(
Table9[Beneficiary Income (USD) / Project Cost],
ISNUMBER(Table9[Beneficiary Income (USD) / Project Cost])*
(Table9[Beneficiary Income (USD) / Project Cost]&gt;0)*
(Table9[Country Income Level]="Lower-Middle Income")
)
)</f>
        <v>1.832535885167464</v>
      </c>
      <c r="BO20" s="203">
        <f t="array" ref="BO20">AVERAGE(
_xlfn._xlws.FILTER(
Table9[Beneficiary Income (USD) / Project Cost],
ISNUMBER(Table9[Beneficiary Income (USD) / Project Cost])*
(Table9[Beneficiary Income (USD) / Project Cost]&gt;0)*
(Table9[Country Income Level]="Lower-Middle Income")
)
)</f>
        <v>2.0983228796146611</v>
      </c>
      <c r="BP20" s="15">
        <f>COUNTIFS(
Table9[Beneficiary Income (USD) / Project Cost],"&gt;0",
Table9[Country Income Level],"Lower-Middle Income"
)</f>
        <v>21</v>
      </c>
      <c r="BQ20" s="195">
        <f t="array" ref="BQ20">_xlfn.LET(
_xlpm.data,
_xlfn._xlws.FILTER(
Table9[Beneficiary Income (USD) / Project Cost],
ISNUMBER(Table9[Beneficiary Income (USD) / Project Cost])*
(Table9[Beneficiary Income (USD) / Project Cost]&gt;0)*
(Table9[Country Income Level]="Lower-Middle Income")
),
_xlpm.med,
MEDIAN(_xlpm.data),
_xlpm.mad,
MEDIAN(ABS(_xlpm.data-_xlpm.med)),
SUMPRODUCT(--(ABS(_xlpm.data-_xlpm.med)&gt;2.5*_xlpm.mad))/COUNT(_xlpm.data)
)</f>
        <v>9.5238095238095233E-2</v>
      </c>
      <c r="BR20" s="15">
        <f t="array" ref="BR20">_xlfn.LET(
_xlpm.data,
_xlfn._xlws.FILTER(
Table9[Beneficiary Income (USD) / Project Cost],
ISNUMBER(Table9[Beneficiary Income (USD) / Project Cost])*
(Table9[Beneficiary Income (USD) / Project Cost]&gt;0)*
(Table9[Country Income Level]="Lower-Middle Income")
),
_xlpm.med,
MEDIAN(_xlpm.data),
_xlpm.mad,
MEDIAN(ABS(_xlpm.data-_xlpm.med)),
SUMPRODUCT(--(ABS(_xlpm.data-_xlpm.med)&gt;2.5*_xlpm.mad))
)</f>
        <v>2</v>
      </c>
      <c r="BS20" s="203">
        <f t="array" ref="BS20">_xlfn.LET(
_xlpm.data,
_xlfn._xlws.FILTER(
Table9[Beneficiary Income (USD) / Project Cost],
ISNUMBER(Table9[Beneficiary Income (USD) / Project Cost])*
(Table9[Beneficiary Income (USD) / Project Cost]&gt;0)*
(Table9[Country Income Level]="Lower-Middle Income")
),
_xlpm.med,
MEDIAN(_xlpm.data),
_xlpm.mad,
MEDIAN(ABS(_xlpm.data-_xlpm.med)),
AVERAGE(
_xlfn._xlws.FILTER(
_xlpm.data,
ABS(_xlpm.data-_xlpm.med)&lt;=2.5*_xlpm.mad
)
)
)</f>
        <v>1.6853982482269858</v>
      </c>
      <c r="BT20" s="15">
        <f>BP20-BR20</f>
        <v>19</v>
      </c>
    </row>
    <row r="21" spans="2:72" x14ac:dyDescent="0.25">
      <c r="B21" s="206" t="s">
        <v>589</v>
      </c>
      <c r="C21" s="202">
        <f t="array" ref="C21">MEDIAN(_xlfn._xlws.FILTER(Table9[Income per beneficiary (USD)], (Table9[Income per beneficiary (USD)]&gt;0)*(Table9[Country Income Level]="Upper-Middle Income")))</f>
        <v>116.634423977346</v>
      </c>
      <c r="D21" s="202">
        <f t="array" ref="D21">AVERAGE(_xlfn._xlws.FILTER(Table9[Income per beneficiary (USD)], (Table9[Income per beneficiary (USD)]&gt;0)*(Table9[Country Income Level]="Upper-Middle Income")))</f>
        <v>417.23937507792834</v>
      </c>
      <c r="E21" s="15">
        <f>COUNTIFS(Table9[Income per beneficiary (USD)],"&gt;0", Table9[Country Income Level],"Upper-Middle Income")</f>
        <v>7</v>
      </c>
      <c r="F21" s="195">
        <f t="array" ref="F21">_xlfn.LET(
_xlpm.data,_xlfn._xlws.FILTER(
Table9[Income per beneficiary (USD)],
(Table9[Income per beneficiary (USD)]&gt;0)*
(Table9[Country Income Level]="Upper-Middle Income")
),
_xlpm.med,MEDIAN(_xlpm.data),
_xlpm.mad,MEDIAN(ABS(_xlpm.data-_xlpm.med)),
SUMPRODUCT(--(ABS(_xlpm.data-_xlpm.med)&gt;2.5*_xlpm.mad))/COUNT(_xlpm.data)
)</f>
        <v>0.42857142857142855</v>
      </c>
      <c r="G21" s="15">
        <f t="array" ref="G21">_xlfn.LET(
_xlpm.data,_xlfn._xlws.FILTER(
Table9[Income per beneficiary (USD)],
(Table9[Income per beneficiary (USD)]&gt;0)*
(Table9[Country Income Level]="Upper-Middle Income")
),
_xlpm.med,MEDIAN(_xlpm.data),
_xlpm.mad,MEDIAN(ABS(_xlpm.data-_xlpm.med)),
SUMPRODUCT(--(ABS(_xlpm.data-_xlpm.med)&gt;2.5*_xlpm.mad))
)</f>
        <v>3</v>
      </c>
      <c r="H21" s="202">
        <f t="array" ref="H21">_xlfn.LET(
_xlpm.data,_xlfn._xlws.FILTER(
Table9[Income per beneficiary (USD)],
(Table9[Income per beneficiary (USD)]&gt;0)*
(Table9[Country Income Level]="Upper-Middle Income")
),
_xlpm.med,MEDIAN(_xlpm.data),
_xlpm.mad,MEDIAN(ABS(_xlpm.data-_xlpm.med)),
AVERAGE(_xlfn._xlws.FILTER(_xlpm.data,ABS(_xlpm.data-_xlpm.med)&lt;=2.5*_xlpm.mad))
)</f>
        <v>88.927485070643755</v>
      </c>
      <c r="I21" s="202">
        <f>E21-G21</f>
        <v>4</v>
      </c>
      <c r="J21" s="130"/>
      <c r="K21" s="206" t="s">
        <v>589</v>
      </c>
      <c r="L21" s="203">
        <f t="array" ref="L21">MEDIAN(
_xlfn._xlws.FILTER(
Table9[Normalised Income Impact Ratio],
ISNUMBER(Table9[Normalised Income Impact Ratio])*
(Table9[Normalised Income Impact Ratio]&gt;0)*
(Table9[Country Income Level]="Upper-Middle Income")
)
)</f>
        <v>8.0074098435085287E-3</v>
      </c>
      <c r="M21" s="203">
        <f t="array" ref="M21">AVERAGE(
_xlfn._xlws.FILTER(
Table9[Normalised Income Impact Ratio],
ISNUMBER(Table9[Normalised Income Impact Ratio])*
(Table9[Normalised Income Impact Ratio]&gt;0)*
(Table9[Country Income Level]="Upper-Middle Income")
)
)</f>
        <v>2.2234429866227718E-2</v>
      </c>
      <c r="N21" s="15">
        <f>COUNTIFS(
Table9[Normalised Income Impact Ratio],"&gt;0",
Table9[Country Income Level],"Upper-Middle Income"
)</f>
        <v>7</v>
      </c>
      <c r="O21" s="195">
        <f t="array" ref="O21">_xlfn.LET(
_xlpm.data,_xlfn._xlws.FILTER(
Table9[Normalised Income Impact Ratio],
ISNUMBER(Table9[Normalised Income Impact Ratio])*
(Table9[Normalised Income Impact Ratio]&gt;0)*
(Table9[Country Income Level]="Upper-Middle Income")
),
_xlpm.med,MEDIAN(_xlpm.data),
_xlpm.mad,MEDIAN(ABS(_xlpm.data-_xlpm.med)),
SUMPRODUCT(--(ABS(_xlpm.data-_xlpm.med)&gt;2.5*_xlpm.mad))/COUNT(_xlpm.data)
)</f>
        <v>0.42857142857142855</v>
      </c>
      <c r="P21" s="15">
        <f t="array" ref="P21">_xlfn.LET(
_xlpm.data,_xlfn._xlws.FILTER(
Table9[Normalised Income Impact Ratio],
ISNUMBER(Table9[Normalised Income Impact Ratio])*
(Table9[Normalised Income Impact Ratio]&gt;0)*
(Table9[Country Income Level]="Upper-Middle Income")
),
_xlpm.med,MEDIAN(_xlpm.data),
_xlpm.mad,MEDIAN(ABS(_xlpm.data-_xlpm.med)),
SUMPRODUCT(--(ABS(_xlpm.data-_xlpm.med)&gt;2.5*_xlpm.mad))
)</f>
        <v>3</v>
      </c>
      <c r="Q21" s="203">
        <f t="array" ref="Q21">_xlfn.LET(
_xlpm.data,_xlfn._xlws.FILTER(
Table9[Normalised Income Impact Ratio],
ISNUMBER(Table9[Normalised Income Impact Ratio])*
(Table9[Normalised Income Impact Ratio]&gt;0)*
(Table9[Country Income Level]="Upper-Middle Income")
),
_xlpm.med,MEDIAN(_xlpm.data),
_xlpm.mad,MEDIAN(ABS(_xlpm.data-_xlpm.med)),
AVERAGE(_xlfn._xlws.FILTER(_xlpm.data,ABS(_xlpm.data-_xlpm.med)&lt;=2.5*_xlpm.mad))
)</f>
        <v>5.3804514356055244E-3</v>
      </c>
      <c r="R21" s="15">
        <f>N21-P21</f>
        <v>4</v>
      </c>
      <c r="T21" s="206" t="s">
        <v>589</v>
      </c>
      <c r="U21" s="203">
        <f t="array" ref="U21">MEDIAN(
_xlfn._xlws.FILTER(
Table9[Private Sector Investment (USD) / Project cost ],
ISNUMBER(Table9[Private Sector Investment (USD) / Project cost ])*
(Table9[Private Sector Investment (USD) / Project cost ]&gt;0)*
(Table9[Country Income Level]="Upper-Middle Income")
)
)</f>
        <v>0.97482539682539682</v>
      </c>
      <c r="V21" s="203">
        <f t="array" ref="V21">AVERAGE(
_xlfn._xlws.FILTER(
Table9[Private Sector Investment (USD) / Project cost ],
ISNUMBER(Table9[Private Sector Investment (USD) / Project cost ])*
(Table9[Private Sector Investment (USD) / Project cost ]&gt;0)*
(Table9[Country Income Level]="Upper-Middle Income")
)
)</f>
        <v>0.89403108386060404</v>
      </c>
      <c r="W21" s="15">
        <f>COUNTIFS(
Table9[Private Sector Investment (USD) / Project cost ],"&gt;0",
Table9[Country Income Level],"Upper-Middle Income"
)</f>
        <v>10</v>
      </c>
      <c r="X21" s="195">
        <f t="array" ref="X21">_xlfn.LET(
_xlpm.data,_xlfn._xlws.FILTER(
Table9[Private Sector Investment (USD) / Project cost ],
ISNUMBER(Table9[Private Sector Investment (USD) / Project cost ])*
(Table9[Private Sector Investment (USD) / Project cost ]&gt;0)*
(Table9[Country Income Level]="Upper-Middle Income")
),
_xlpm.med,MEDIAN(_xlpm.data),
_xlpm.mad,MEDIAN(ABS(_xlpm.data-_xlpm.med)),
SUMPRODUCT(--(ABS(_xlpm.data-_xlpm.med)&gt;2.5*_xlpm.mad))/COUNT(_xlpm.data)
)</f>
        <v>0.1</v>
      </c>
      <c r="Y21" s="15">
        <f t="array" ref="Y21">_xlfn.LET(
_xlpm.data,_xlfn._xlws.FILTER(
Table9[Private Sector Investment (USD) / Project cost ],
ISNUMBER(Table9[Private Sector Investment (USD) / Project cost ])*
(Table9[Private Sector Investment (USD) / Project cost ]&gt;0)*
(Table9[Country Income Level]="Upper-Middle Income")
),
_xlpm.med,MEDIAN(_xlpm.data),
_xlpm.mad,MEDIAN(ABS(_xlpm.data-_xlpm.med)),
SUMPRODUCT(--(ABS(_xlpm.data-_xlpm.med)&gt;2.5*_xlpm.mad))
)</f>
        <v>1</v>
      </c>
      <c r="Z21" s="203">
        <f t="array" ref="Z21">_xlfn.LET(
_xlpm.data,_xlfn._xlws.FILTER(
Table9[Private Sector Investment (USD) / Project cost ],
ISNUMBER(Table9[Private Sector Investment (USD) / Project cost ])*
(Table9[Private Sector Investment (USD) / Project cost ]&gt;0)*
(Table9[Country Income Level]="Upper-Middle Income")
),
_xlpm.med,MEDIAN(_xlpm.data),
_xlpm.mad,MEDIAN(ABS(_xlpm.data-_xlpm.med)),
AVERAGE(_xlfn._xlws.FILTER(_xlpm.data,ABS(_xlpm.data-_xlpm.med)&lt;=2.5*_xlpm.mad))
)</f>
        <v>0.74640468125869674</v>
      </c>
      <c r="AA21" s="202">
        <f>W21-Y21</f>
        <v>9</v>
      </c>
      <c r="AB21" s="130"/>
      <c r="AC21" s="206" t="s">
        <v>589</v>
      </c>
      <c r="AD21" s="203">
        <f t="array" ref="AD21">MEDIAN(
_xlfn._xlws.FILTER(
Table9[Private Sector Revenues Generated (USD) / Project cost],
ISNUMBER(Table9[Private Sector Revenues Generated (USD) / Project cost])*
(Table9[Private Sector Revenues Generated (USD) / Project cost]&gt;0)*
(Table9[Country Income Level]="Upper-Middle Income")
)
)</f>
        <v>0.8147368421052632</v>
      </c>
      <c r="AE21" s="203">
        <f t="array" ref="AE21">AVERAGE(
_xlfn._xlws.FILTER(
Table9[Private Sector Revenues Generated (USD) / Project cost],
ISNUMBER(Table9[Private Sector Revenues Generated (USD) / Project cost])*
(Table9[Private Sector Revenues Generated (USD) / Project cost]&gt;0)*
(Table9[Country Income Level]="Upper-Middle Income")
)
)</f>
        <v>0.93151765706417322</v>
      </c>
      <c r="AF21" s="15">
        <f>COUNTIFS(
Table9[Private Sector Revenues Generated (USD) / Project cost],"&gt;0",
Table9[Country Income Level],"Upper-Middle Income"
)</f>
        <v>7</v>
      </c>
      <c r="AG21" s="195">
        <f t="array" ref="AG21">_xlfn.LET(
_xlpm.data,_xlfn._xlws.FILTER(
Table9[Private Sector Revenues Generated (USD) / Project cost],
ISNUMBER(Table9[Private Sector Revenues Generated (USD) / Project cost])*
(Table9[Private Sector Revenues Generated (USD) / Project cost]&gt;0)*
(Table9[Country Income Level]="Upper-Middle Income")
),
_xlpm.med,MEDIAN(_xlpm.data),
_xlpm.mad,MEDIAN(ABS(_xlpm.data-_xlpm.med)),
SUMPRODUCT(--(ABS(_xlpm.data-_xlpm.med)&gt;2.5*_xlpm.mad))/COUNT(_xlpm.data)
)</f>
        <v>0.14285714285714285</v>
      </c>
      <c r="AH21" s="15">
        <f t="array" ref="AH21">_xlfn.LET(
_xlpm.data,_xlfn._xlws.FILTER(
Table9[Private Sector Revenues Generated (USD) / Project cost],
ISNUMBER(Table9[Private Sector Revenues Generated (USD) / Project cost])*
(Table9[Private Sector Revenues Generated (USD) / Project cost]&gt;0)*
(Table9[Country Income Level]="Upper-Middle Income")
),
_xlpm.med,MEDIAN(_xlpm.data),
_xlpm.mad,MEDIAN(ABS(_xlpm.data-_xlpm.med)),
SUMPRODUCT(--(ABS(_xlpm.data-_xlpm.med)&gt;2.5*_xlpm.mad))
)</f>
        <v>1</v>
      </c>
      <c r="AI21" s="203">
        <f t="array" ref="AI21">_xlfn.LET(
_xlpm.data,_xlfn._xlws.FILTER(
Table9[Private Sector Revenues Generated (USD) / Project cost],
ISNUMBER(Table9[Private Sector Revenues Generated (USD) / Project cost])*
(Table9[Private Sector Revenues Generated (USD) / Project cost]&gt;0)*
(Table9[Country Income Level]="Upper-Middle Income")
),
_xlpm.med,MEDIAN(_xlpm.data),
_xlpm.mad,MEDIAN(ABS(_xlpm.data-_xlpm.med)),
AVERAGE(_xlfn._xlws.FILTER(_xlpm.data,ABS(_xlpm.data-_xlpm.med)&lt;=2.5*_xlpm.mad))
)</f>
        <v>0.65143726657486856</v>
      </c>
      <c r="AJ21" s="15">
        <f>AF21-AH21</f>
        <v>6</v>
      </c>
      <c r="AL21" s="206" t="s">
        <v>589</v>
      </c>
      <c r="AM21" s="203">
        <f t="array" ref="AM21">MEDIAN(
_xlfn._xlws.FILTER(
Table9[Export Revenue Generated (USD) /Project Cost],
ISNUMBER(Table9[Export Revenue Generated (USD) /Project Cost])*
(Table9[Export Revenue Generated (USD) /Project Cost]&gt;0)*
(Table9[Country Income Level]="Upper-Middle Income")
)
)</f>
        <v>39.888838136141864</v>
      </c>
      <c r="AN21" s="203">
        <f t="array" ref="AN21">AVERAGE(
_xlfn._xlws.FILTER(
Table9[Export Revenue Generated (USD) /Project Cost],
ISNUMBER(Table9[Export Revenue Generated (USD) /Project Cost])*
(Table9[Export Revenue Generated (USD) /Project Cost]&gt;0)*
(Table9[Country Income Level]="Upper-Middle Income")
)
)</f>
        <v>39.888838136141857</v>
      </c>
      <c r="AO21" s="15">
        <f>COUNTIFS(
Table9[Export Revenue Generated (USD) /Project Cost],"&gt;0",
Table9[Country Income Level],"Upper-Middle Income"
)</f>
        <v>2</v>
      </c>
      <c r="AP21" s="15">
        <f t="array" ref="AP21">_xlfn.LET(
_xlpm.data,_xlfn._xlws.FILTER(
Table9[Export Revenue Generated (USD) /Project Cost],
ISNUMBER(Table9[Export Revenue Generated (USD) /Project Cost])*
(Table9[Export Revenue Generated (USD) /Project Cost]&gt;0)*
(Table9[Country Income Level]="Upper-Middle Income")
),
_xlpm.med,MEDIAN(_xlpm.data),
_xlpm.mad,MEDIAN(ABS(_xlpm.data-_xlpm.med)),
SUMPRODUCT(--(ABS(_xlpm.data-_xlpm.med)&gt;2.5*_xlpm.mad))/COUNT(_xlpm.data)
)</f>
        <v>0</v>
      </c>
      <c r="AQ21" s="15">
        <f t="array" ref="AQ21">_xlfn.LET(
_xlpm.data,_xlfn._xlws.FILTER(
Table9[Export Revenue Generated (USD) /Project Cost],
ISNUMBER(Table9[Export Revenue Generated (USD) /Project Cost])*
(Table9[Export Revenue Generated (USD) /Project Cost]&gt;0)*
(Table9[Country Income Level]="Upper-Middle Income")
),
_xlpm.med,MEDIAN(_xlpm.data),
_xlpm.mad,MEDIAN(ABS(_xlpm.data-_xlpm.med)),
SUMPRODUCT(--(ABS(_xlpm.data-_xlpm.med)&gt;2.5*_xlpm.mad))
)</f>
        <v>0</v>
      </c>
      <c r="AR21" s="203">
        <f t="array" ref="AR21">_xlfn.LET(
_xlpm.data,_xlfn._xlws.FILTER(
Table9[Export Revenue Generated (USD) /Project Cost],
ISNUMBER(Table9[Export Revenue Generated (USD) /Project Cost])*
(Table9[Export Revenue Generated (USD) /Project Cost]&gt;0)*
(Table9[Country Income Level]="Upper-Middle Income")
),
_xlpm.med,MEDIAN(_xlpm.data),
_xlpm.mad,MEDIAN(ABS(_xlpm.data-_xlpm.med)),
AVERAGE(_xlfn._xlws.FILTER(_xlpm.data,ABS(_xlpm.data-_xlpm.med)&lt;=2.5*_xlpm.mad))
)</f>
        <v>39.888838136141857</v>
      </c>
      <c r="AS21" s="15">
        <f>AO21-AQ21</f>
        <v>2</v>
      </c>
      <c r="AU21" s="206" t="s">
        <v>589</v>
      </c>
      <c r="AV21" s="202">
        <f t="array" ref="AV21">MEDIAN(
_xlfn._xlws.FILTER(
Table9[Job created per $Mn],
ISNUMBER(Table9[Job created per $Mn])*
(Table9[Job created per $Mn]&gt;0)*
(Table9[Country Income Level]="Upper-Middle Income")
)
)</f>
        <v>196.64</v>
      </c>
      <c r="AW21" s="202">
        <f t="array" ref="AW21">AVERAGE(
_xlfn._xlws.FILTER(
Table9[Job created per $Mn],
ISNUMBER(Table9[Job created per $Mn])*
(Table9[Job created per $Mn]&gt;0)*
(Table9[Country Income Level]="Upper-Middle Income")
)
)</f>
        <v>180.43696184074571</v>
      </c>
      <c r="AX21" s="15">
        <f>COUNTIFS(
Table9[Job created per $Mn],"&gt;0",
Table9[Country Income Level],"Upper-Middle Income"
)</f>
        <v>9</v>
      </c>
      <c r="AY21" s="195">
        <f t="array" ref="AY21">_xlfn.LET(
_xlpm.data,
_xlfn._xlws.FILTER(
Table9[Job created per $Mn],
ISNUMBER(Table9[Job created per $Mn])*
(Table9[Job created per $Mn]&gt;0)*
(Table9[Country Income Level]="Upper-Middle Income")
),
_xlpm.med,
MEDIAN(_xlpm.data),
_xlpm.mad,
MEDIAN(ABS(_xlpm.data-_xlpm.med)),
SUMPRODUCT(--(ABS(_xlpm.data-_xlpm.med)&gt;2.5*_xlpm.mad))/COUNT(_xlpm.data)
)</f>
        <v>0</v>
      </c>
      <c r="AZ21" s="15">
        <f t="array" ref="AZ21">_xlfn.LET(
_xlpm.data,
_xlfn._xlws.FILTER(
Table9[Job created per $Mn],
ISNUMBER(Table9[Job created per $Mn])*
(Table9[Job created per $Mn]&gt;0)*
(Table9[Country Income Level]="Upper-Middle Income")
),
_xlpm.med,
MEDIAN(_xlpm.data),
_xlpm.mad,
MEDIAN(ABS(_xlpm.data-_xlpm.med)),
SUMPRODUCT(--(ABS(_xlpm.data-_xlpm.med)&gt;2.5*_xlpm.mad))
)</f>
        <v>0</v>
      </c>
      <c r="BA21" s="202">
        <f t="array" ref="BA21">_xlfn.LET(
_xlpm.data,
_xlfn._xlws.FILTER(
Table9[Job created per $Mn],
ISNUMBER(Table9[Job created per $Mn])*
(Table9[Job created per $Mn]&gt;0)*
(Table9[Country Income Level]="Upper-Middle Income")
),
_xlpm.med,
MEDIAN(_xlpm.data),
_xlpm.mad,
MEDIAN(ABS(_xlpm.data-_xlpm.med)),
AVERAGE(
_xlfn._xlws.FILTER(
_xlpm.data,
ABS(_xlpm.data-_xlpm.med)&lt;=2.5*_xlpm.mad
)
)
)</f>
        <v>180.43696184074571</v>
      </c>
      <c r="BB21" s="15">
        <f>AX21-AZ21</f>
        <v>9</v>
      </c>
      <c r="BD21" s="206" t="s">
        <v>589</v>
      </c>
      <c r="BE21" s="202">
        <f t="array" ref="BE21">MEDIAN(
_xlfn._xlws.FILTER(
Table9[Job improved per $Mn],
ISNUMBER(Table9[Job improved per $Mn])*
(Table9[Job improved per $Mn]&gt;0)*
(Table9[Country Income Level]="Upper-Middle Income")
)
)</f>
        <v>1411.6709671323986</v>
      </c>
      <c r="BF21" s="202">
        <f t="array" ref="BF21">AVERAGE(
_xlfn._xlws.FILTER(
Table9[Job improved per $Mn],
ISNUMBER(Table9[Job improved per $Mn])*
(Table9[Job improved per $Mn]&gt;0)*
(Table9[Country Income Level]="Upper-Middle Income")
)
)</f>
        <v>5204.3963067729519</v>
      </c>
      <c r="BG21" s="15">
        <f>COUNTIFS(
Table9[Job improved per $Mn],"&gt;0",
Table9[Country Income Level],"Upper-Middle Income"
)</f>
        <v>10</v>
      </c>
      <c r="BH21" s="195">
        <f t="array" ref="BH21">_xlfn.LET(
_xlpm.data,
_xlfn._xlws.FILTER(
Table9[Job improved per $Mn],
ISNUMBER(Table9[Job improved per $Mn])*
(Table9[Job improved per $Mn]&gt;0)*
(Table9[Country Income Level]="Upper-Middle Income")
),
_xlpm.med,
MEDIAN(_xlpm.data),
_xlpm.mad,
MEDIAN(ABS(_xlpm.data-_xlpm.med)),
SUMPRODUCT(--(ABS(_xlpm.data-_xlpm.med)&gt;2.5*_xlpm.mad))/COUNT(_xlpm.data)
)</f>
        <v>0.4</v>
      </c>
      <c r="BI21" s="15">
        <f t="array" ref="BI21">_xlfn.LET(
_xlpm.data,
_xlfn._xlws.FILTER(
Table9[Job improved per $Mn],
ISNUMBER(Table9[Job improved per $Mn])*
(Table9[Job improved per $Mn]&gt;0)*
(Table9[Country Income Level]="Upper-Middle Income")
),
_xlpm.med,
MEDIAN(_xlpm.data),
_xlpm.mad,
MEDIAN(ABS(_xlpm.data-_xlpm.med)),
SUMPRODUCT(--(ABS(_xlpm.data-_xlpm.med)&gt;2.5*_xlpm.mad))
)</f>
        <v>4</v>
      </c>
      <c r="BJ21" s="202">
        <f t="array" ref="BJ21">_xlfn.LET(
_xlpm.data,
_xlfn._xlws.FILTER(
Table9[Job improved per $Mn],
ISNUMBER(Table9[Job improved per $Mn])*
(Table9[Job improved per $Mn]&gt;0)*
(Table9[Country Income Level]="Upper-Middle Income")
),
_xlpm.med,
MEDIAN(_xlpm.data),
_xlpm.mad,
MEDIAN(ABS(_xlpm.data-_xlpm.med)),
AVERAGE(
_xlfn._xlws.FILTER(
_xlpm.data,
ABS(_xlpm.data-_xlpm.med)&lt;=2.5*_xlpm.mad
)
)
)</f>
        <v>724.23056380779747</v>
      </c>
      <c r="BK21" s="15">
        <f>BG21-BI21</f>
        <v>6</v>
      </c>
      <c r="BM21" s="206" t="s">
        <v>589</v>
      </c>
      <c r="BN21" s="203">
        <f t="array" ref="BN21">MEDIAN(
_xlfn._xlws.FILTER(
Table9[Beneficiary Income (USD) / Project Cost],
ISNUMBER(Table9[Beneficiary Income (USD) / Project Cost])*
(Table9[Beneficiary Income (USD) / Project Cost]&gt;0)*
(Table9[Country Income Level]="Upper-Middle Income")
)
)</f>
        <v>0.80423280423280419</v>
      </c>
      <c r="BO21" s="203">
        <f t="array" ref="BO21">AVERAGE(
_xlfn._xlws.FILTER(
Table9[Beneficiary Income (USD) / Project Cost],
ISNUMBER(Table9[Beneficiary Income (USD) / Project Cost])*
(Table9[Beneficiary Income (USD) / Project Cost]&gt;0)*
(Table9[Country Income Level]="Upper-Middle Income")
)
)</f>
        <v>1.2437037868737504</v>
      </c>
      <c r="BP21" s="15">
        <f>COUNTIFS(
Table9[Beneficiary Income (USD) / Project Cost],"&gt;0",
Table9[Country Income Level],"Upper-Middle Income"
)</f>
        <v>7</v>
      </c>
      <c r="BQ21" s="195">
        <f t="array" ref="BQ21">_xlfn.LET(
_xlpm.data,
_xlfn._xlws.FILTER(
Table9[Beneficiary Income (USD) / Project Cost],
ISNUMBER(Table9[Beneficiary Income (USD) / Project Cost])*
(Table9[Beneficiary Income (USD) / Project Cost]&gt;0)*
(Table9[Country Income Level]="Upper-Middle Income")
),
_xlpm.med,
MEDIAN(_xlpm.data),
_xlpm.mad,
MEDIAN(ABS(_xlpm.data-_xlpm.med)),
SUMPRODUCT(--(ABS(_xlpm.data-_xlpm.med)&gt;2.5*_xlpm.mad))/COUNT(_xlpm.data)
)</f>
        <v>0.14285714285714285</v>
      </c>
      <c r="BR21" s="15">
        <f t="array" ref="BR21">_xlfn.LET(
_xlpm.data,
_xlfn._xlws.FILTER(
Table9[Beneficiary Income (USD) / Project Cost],
ISNUMBER(Table9[Beneficiary Income (USD) / Project Cost])*
(Table9[Beneficiary Income (USD) / Project Cost]&gt;0)*
(Table9[Country Income Level]="Upper-Middle Income")
),
_xlpm.med,
MEDIAN(_xlpm.data),
_xlpm.mad,
MEDIAN(ABS(_xlpm.data-_xlpm.med)),
SUMPRODUCT(--(ABS(_xlpm.data-_xlpm.med)&gt;2.5*_xlpm.mad))
)</f>
        <v>1</v>
      </c>
      <c r="BS21" s="203">
        <f t="array" ref="BS21">_xlfn.LET(
_xlpm.data,
_xlfn._xlws.FILTER(
Table9[Beneficiary Income (USD) / Project Cost],
ISNUMBER(Table9[Beneficiary Income (USD) / Project Cost])*
(Table9[Beneficiary Income (USD) / Project Cost]&gt;0)*
(Table9[Country Income Level]="Upper-Middle Income")
),
_xlpm.med,
MEDIAN(_xlpm.data),
_xlpm.mad,
MEDIAN(ABS(_xlpm.data-_xlpm.med)),
AVERAGE(
_xlfn._xlws.FILTER(
_xlpm.data,
ABS(_xlpm.data-_xlpm.med)&lt;=2.5*_xlpm.mad
)
)
)</f>
        <v>0.69513979813633442</v>
      </c>
      <c r="BT21" s="15">
        <f>BP21-BR21</f>
        <v>6</v>
      </c>
    </row>
    <row r="22" spans="2:72" x14ac:dyDescent="0.25">
      <c r="B22" s="206" t="s">
        <v>597</v>
      </c>
      <c r="C22" s="202">
        <f t="array" ref="C22">MEDIAN(_xlfn._xlws.FILTER(Table9[Income per beneficiary (USD)], (Table9[Income per beneficiary (USD)]&gt;0)*(Table9[Country Income Level]="Mixed")))</f>
        <v>212.87799860937119</v>
      </c>
      <c r="D22" s="202">
        <f t="array" ref="D22">AVERAGE(_xlfn._xlws.FILTER(Table9[Income per beneficiary (USD)], (Table9[Income per beneficiary (USD)]&gt;0)*(Table9[Country Income Level]="Mixed")))</f>
        <v>232.91370595749353</v>
      </c>
      <c r="E22" s="15">
        <f>COUNTIFS(Table9[Income per beneficiary (USD)],"&gt;0", Table9[Country Income Level],"Mixed")</f>
        <v>4</v>
      </c>
      <c r="F22" s="195">
        <f t="array" ref="F22">_xlfn.LET(
_xlpm.data,_xlfn._xlws.FILTER(
Table9[Income per beneficiary (USD)],
(Table9[Income per beneficiary (USD)]&gt;0)*
(Table9[Country Income Level]="Mixed")
),
_xlpm.med,MEDIAN(_xlpm.data),
_xlpm.mad,MEDIAN(ABS(_xlpm.data-_xlpm.med)),
SUMPRODUCT(--(ABS(_xlpm.data-_xlpm.med)&gt;2.5*_xlpm.mad))/COUNT(_xlpm.data)
)</f>
        <v>0</v>
      </c>
      <c r="G22" s="15">
        <f t="array" ref="G22">_xlfn.LET(
_xlpm.data,_xlfn._xlws.FILTER(
Table9[Income per beneficiary (USD)],
(Table9[Income per beneficiary (USD)]&gt;0)*
(Table9[Country Income Level]="Mixed")
),
_xlpm.med,MEDIAN(_xlpm.data),
_xlpm.mad,MEDIAN(ABS(_xlpm.data-_xlpm.med)),
SUMPRODUCT(--(ABS(_xlpm.data-_xlpm.med)&gt;2.5*_xlpm.mad))
)</f>
        <v>0</v>
      </c>
      <c r="H22" s="202">
        <f t="array" ref="H22">_xlfn.LET(
_xlpm.data,_xlfn._xlws.FILTER(
Table9[Income per beneficiary (USD)],
(Table9[Income per beneficiary (USD)]&gt;0)*
(Table9[Country Income Level]="Mixed")
),
_xlpm.med,MEDIAN(_xlpm.data),
_xlpm.mad,MEDIAN(ABS(_xlpm.data-_xlpm.med)),
AVERAGE(_xlfn._xlws.FILTER(_xlpm.data,ABS(_xlpm.data-_xlpm.med)&lt;=2.5*_xlpm.mad))
)</f>
        <v>232.91370595749353</v>
      </c>
      <c r="I22" s="202">
        <f>E22-G22</f>
        <v>4</v>
      </c>
      <c r="J22" s="130"/>
      <c r="K22" s="206" t="s">
        <v>597</v>
      </c>
      <c r="L22" s="203">
        <f t="array" ref="L22">MEDIAN(
_xlfn._xlws.FILTER(
Table9[Normalised Income Impact Ratio],
ISNUMBER(Table9[Normalised Income Impact Ratio])*
(Table9[Normalised Income Impact Ratio]&gt;0)*
(Table9[Country Income Level]="Mixed")
)
)</f>
        <v>1.8363905735518514E-2</v>
      </c>
      <c r="M22" s="203">
        <f t="array" ref="M22">AVERAGE(
_xlfn._xlws.FILTER(
Table9[Normalised Income Impact Ratio],
ISNUMBER(Table9[Normalised Income Impact Ratio])*
(Table9[Normalised Income Impact Ratio]&gt;0)*
(Table9[Country Income Level]="Mixed")
)
)</f>
        <v>2.1150299671132272E-2</v>
      </c>
      <c r="N22" s="15">
        <f>COUNTIFS(
Table9[Normalised Income Impact Ratio],"&gt;0",
Table9[Country Income Level],"Mixed"
)</f>
        <v>4</v>
      </c>
      <c r="O22" s="195">
        <f t="array" ref="O22">_xlfn.LET(
_xlpm.data,_xlfn._xlws.FILTER(
Table9[Normalised Income Impact Ratio],
ISNUMBER(Table9[Normalised Income Impact Ratio])*
(Table9[Normalised Income Impact Ratio]&gt;0)*
(Table9[Country Income Level]="Mixed")
),
_xlpm.med,MEDIAN(_xlpm.data),
_xlpm.mad,MEDIAN(ABS(_xlpm.data-_xlpm.med)),
SUMPRODUCT(--(ABS(_xlpm.data-_xlpm.med)&gt;2.5*_xlpm.mad))/COUNT(_xlpm.data)
)</f>
        <v>0</v>
      </c>
      <c r="P22" s="15">
        <f t="array" ref="P22">_xlfn.LET(
_xlpm.data,_xlfn._xlws.FILTER(
Table9[Normalised Income Impact Ratio],
ISNUMBER(Table9[Normalised Income Impact Ratio])*
(Table9[Normalised Income Impact Ratio]&gt;0)*
(Table9[Country Income Level]="Mixed")
),
_xlpm.med,MEDIAN(_xlpm.data),
_xlpm.mad,MEDIAN(ABS(_xlpm.data-_xlpm.med)),
SUMPRODUCT(--(ABS(_xlpm.data-_xlpm.med)&gt;2.5*_xlpm.mad))
)</f>
        <v>0</v>
      </c>
      <c r="Q22" s="203">
        <f t="array" ref="Q22">_xlfn.LET(
_xlpm.data,_xlfn._xlws.FILTER(
Table9[Normalised Income Impact Ratio],
ISNUMBER(Table9[Normalised Income Impact Ratio])*
(Table9[Normalised Income Impact Ratio]&gt;0)*
(Table9[Country Income Level]="Mixed")
),
_xlpm.med,MEDIAN(_xlpm.data),
_xlpm.mad,MEDIAN(ABS(_xlpm.data-_xlpm.med)),
AVERAGE(_xlfn._xlws.FILTER(_xlpm.data,ABS(_xlpm.data-_xlpm.med)&lt;=2.5*_xlpm.mad))
)</f>
        <v>2.1150299671132272E-2</v>
      </c>
      <c r="R22" s="15">
        <f>N22-P22</f>
        <v>4</v>
      </c>
      <c r="T22" s="206" t="s">
        <v>597</v>
      </c>
      <c r="U22" s="203">
        <f t="array" ref="U22">MEDIAN(
_xlfn._xlws.FILTER(
Table9[Private Sector Investment (USD) / Project cost ],
ISNUMBER(Table9[Private Sector Investment (USD) / Project cost ])*
(Table9[Private Sector Investment (USD) / Project cost ]&gt;0)*
(Table9[Country Income Level]="Mixed")
)
)</f>
        <v>0.29404642185850494</v>
      </c>
      <c r="V22" s="203">
        <f t="array" ref="V22">AVERAGE(
_xlfn._xlws.FILTER(
Table9[Private Sector Investment (USD) / Project cost ],
ISNUMBER(Table9[Private Sector Investment (USD) / Project cost ])*
(Table9[Private Sector Investment (USD) / Project cost ]&gt;0)*
(Table9[Country Income Level]="Mixed")
)
)</f>
        <v>2.3888200849205456</v>
      </c>
      <c r="W22" s="15">
        <f>COUNTIFS(
Table9[Private Sector Investment (USD) / Project cost ],"&gt;0",
Table9[Country Income Level],"Mixed"
)</f>
        <v>4</v>
      </c>
      <c r="X22" s="195">
        <f t="array" ref="X22">_xlfn.LET(
_xlpm.data,_xlfn._xlws.FILTER(
Table9[Private Sector Investment (USD) / Project cost ],
ISNUMBER(Table9[Private Sector Investment (USD) / Project cost ])*
(Table9[Private Sector Investment (USD) / Project cost ]&gt;0)*
(Table9[Country Income Level]="Mixed")
),
_xlpm.med,MEDIAN(_xlpm.data),
_xlpm.mad,MEDIAN(ABS(_xlpm.data-_xlpm.med)),
SUMPRODUCT(--(ABS(_xlpm.data-_xlpm.med)&gt;2.5*_xlpm.mad))/COUNT(_xlpm.data)
)</f>
        <v>0.25</v>
      </c>
      <c r="Y22" s="15">
        <f t="array" ref="Y22">_xlfn.LET(
_xlpm.data,_xlfn._xlws.FILTER(
Table9[Private Sector Investment (USD) / Project cost ],
ISNUMBER(Table9[Private Sector Investment (USD) / Project cost ])*
(Table9[Private Sector Investment (USD) / Project cost ]&gt;0)*
(Table9[Country Income Level]="Mixed")
),
_xlpm.med,MEDIAN(_xlpm.data),
_xlpm.mad,MEDIAN(ABS(_xlpm.data-_xlpm.med)),
SUMPRODUCT(--(ABS(_xlpm.data-_xlpm.med)&gt;2.5*_xlpm.mad))
)</f>
        <v>1</v>
      </c>
      <c r="Z22" s="203">
        <f t="array" ref="Z22">_xlfn.LET(
_xlpm.data,_xlfn._xlws.FILTER(
Table9[Private Sector Investment (USD) / Project cost ],
ISNUMBER(Table9[Private Sector Investment (USD) / Project cost ])*
(Table9[Private Sector Investment (USD) / Project cost ]&gt;0)*
(Table9[Country Income Level]="Mixed")
),
_xlpm.med,MEDIAN(_xlpm.data),
_xlpm.mad,MEDIAN(ABS(_xlpm.data-_xlpm.med)),
AVERAGE(_xlfn._xlws.FILTER(_xlpm.data,ABS(_xlpm.data-_xlpm.med)&lt;=2.5*_xlpm.mad))
)</f>
        <v>0.21553145695419498</v>
      </c>
      <c r="AA22" s="202">
        <f>W22-Y22</f>
        <v>3</v>
      </c>
      <c r="AB22" s="130"/>
      <c r="AC22" s="206" t="s">
        <v>597</v>
      </c>
      <c r="AD22" s="203">
        <f t="array" ref="AD22">MEDIAN(
_xlfn._xlws.FILTER(
Table9[Private Sector Revenues Generated (USD) / Project cost],
ISNUMBER(Table9[Private Sector Revenues Generated (USD) / Project cost])*
(Table9[Private Sector Revenues Generated (USD) / Project cost]&gt;0)*
(Table9[Country Income Level]="Mixed")
)
)</f>
        <v>1.8035812692425064</v>
      </c>
      <c r="AE22" s="203">
        <f t="array" ref="AE22">AVERAGE(
_xlfn._xlws.FILTER(
Table9[Private Sector Revenues Generated (USD) / Project cost],
ISNUMBER(Table9[Private Sector Revenues Generated (USD) / Project cost])*
(Table9[Private Sector Revenues Generated (USD) / Project cost]&gt;0)*
(Table9[Country Income Level]="Mixed")
)
)</f>
        <v>1.8035812692425066</v>
      </c>
      <c r="AF22" s="15">
        <f>COUNTIFS(
Table9[Private Sector Revenues Generated (USD) / Project cost],"&gt;0",
Table9[Country Income Level],"Mixed"
)</f>
        <v>2</v>
      </c>
      <c r="AG22" s="195">
        <f t="array" ref="AG22">_xlfn.LET(
_xlpm.data,_xlfn._xlws.FILTER(
Table9[Private Sector Revenues Generated (USD) / Project cost],
ISNUMBER(Table9[Private Sector Revenues Generated (USD) / Project cost])*
(Table9[Private Sector Revenues Generated (USD) / Project cost]&gt;0)*
(Table9[Country Income Level]="Mixed")
),
_xlpm.med,MEDIAN(_xlpm.data),
_xlpm.mad,MEDIAN(ABS(_xlpm.data-_xlpm.med)),
SUMPRODUCT(--(ABS(_xlpm.data-_xlpm.med)&gt;2.5*_xlpm.mad))/COUNT(_xlpm.data)
)</f>
        <v>0</v>
      </c>
      <c r="AH22" s="15">
        <f t="array" ref="AH22">_xlfn.LET(
_xlpm.data,_xlfn._xlws.FILTER(
Table9[Private Sector Revenues Generated (USD) / Project cost],
ISNUMBER(Table9[Private Sector Revenues Generated (USD) / Project cost])*
(Table9[Private Sector Revenues Generated (USD) / Project cost]&gt;0)*
(Table9[Country Income Level]="Mixed")
),
_xlpm.med,MEDIAN(_xlpm.data),
_xlpm.mad,MEDIAN(ABS(_xlpm.data-_xlpm.med)),
SUMPRODUCT(--(ABS(_xlpm.data-_xlpm.med)&gt;2.5*_xlpm.mad))
)</f>
        <v>0</v>
      </c>
      <c r="AI22" s="203">
        <f t="array" ref="AI22">_xlfn.LET(
_xlpm.data,_xlfn._xlws.FILTER(
Table9[Private Sector Revenues Generated (USD) / Project cost],
ISNUMBER(Table9[Private Sector Revenues Generated (USD) / Project cost])*
(Table9[Private Sector Revenues Generated (USD) / Project cost]&gt;0)*
(Table9[Country Income Level]="Mixed")
),
_xlpm.med,MEDIAN(_xlpm.data),
_xlpm.mad,MEDIAN(ABS(_xlpm.data-_xlpm.med)),
AVERAGE(_xlfn._xlws.FILTER(_xlpm.data,ABS(_xlpm.data-_xlpm.med)&lt;=2.5*_xlpm.mad))
)</f>
        <v>1.8035812692425066</v>
      </c>
      <c r="AJ22" s="15">
        <f>AF22-AH22</f>
        <v>2</v>
      </c>
      <c r="AL22" s="206" t="s">
        <v>597</v>
      </c>
      <c r="AM22" s="204" t="str" cm="1">
        <f t="array" ref="AM22">IFERROR(
MEDIAN(
_xlfn._xlws.FILTER(
Table9[Export Revenue Generated (USD) /Project Cost],
ISNUMBER(Table9[Export Revenue Generated (USD) /Project Cost])*
(Table9[Export Revenue Generated (USD) /Project Cost]&gt;0)*
(Table9[Country Income Level]="Mixed")
)
),
"N/A"
)</f>
        <v>N/A</v>
      </c>
      <c r="AN22" s="204" t="str" cm="1">
        <f t="array" ref="AN22">IFERROR(
AVERAGE(
_xlfn._xlws.FILTER(
Table9[Export Revenue Generated (USD) /Project Cost],
ISNUMBER(Table9[Export Revenue Generated (USD) /Project Cost])*
(Table9[Export Revenue Generated (USD) /Project Cost]&gt;0)*
(Table9[Country Income Level]="Mixed")
)
),
"N/A"
)</f>
        <v>N/A</v>
      </c>
      <c r="AO22" s="15">
        <f>COUNTIFS(
Table9[Export Revenue Generated (USD) /Project Cost],"&gt;0",
Table9[Country Income Level],"Mixed"
)</f>
        <v>0</v>
      </c>
      <c r="AP22" s="204" t="str" cm="1">
        <f t="array" ref="AP22">IFERROR(
_xlfn.LET(
_xlpm.data,_xlfn._xlws.FILTER(
Table9[Export Revenue Generated (USD) /Project Cost],
ISNUMBER(Table9[Export Revenue Generated (USD) /Project Cost])*
(Table9[Export Revenue Generated (USD) /Project Cost]&gt;0)*
(Table9[Country Income Level]="Mixed")
),
_xlpm.med,MEDIAN(_xlpm.data),
_xlpm.mad,MEDIAN(ABS(_xlpm.data-_xlpm.med)),
SUMPRODUCT(--(ABS(_xlpm.data-_xlpm.med)&gt;2.5*_xlpm.mad))/COUNT(_xlpm.data)
),
"N/A"
)</f>
        <v>N/A</v>
      </c>
      <c r="AQ22" s="204" t="str" cm="1">
        <f t="array" ref="AQ22">IFERROR(
_xlfn.LET(
_xlpm.data,_xlfn._xlws.FILTER(
Table9[Export Revenue Generated (USD) /Project Cost],
ISNUMBER(Table9[Export Revenue Generated (USD) /Project Cost])*
(Table9[Export Revenue Generated (USD) /Project Cost]&gt;0)*
(Table9[Country Income Level]="Mixed")
),
_xlpm.med,MEDIAN(_xlpm.data),
_xlpm.mad,MEDIAN(ABS(_xlpm.data-_xlpm.med)),
SUMPRODUCT(--(ABS(_xlpm.data-_xlpm.med)&gt;2.5*_xlpm.mad))
),
"N/A"
)</f>
        <v>N/A</v>
      </c>
      <c r="AR22" s="204" t="str" cm="1">
        <f t="array" ref="AR22">IFERROR(
_xlfn.LET(
_xlpm.data,_xlfn._xlws.FILTER(
Table9[Export Revenue Generated (USD) /Project Cost],
ISNUMBER(Table9[Export Revenue Generated (USD) /Project Cost])*
(Table9[Export Revenue Generated (USD) /Project Cost]&gt;0)*
(Table9[Country Income Level]="Mixed")
),
_xlpm.med,MEDIAN(_xlpm.data),
_xlpm.mad,MEDIAN(ABS(_xlpm.data-_xlpm.med)),
AVERAGE(_xlfn._xlws.FILTER(_xlpm.data,ABS(_xlpm.data-_xlpm.med)&lt;=2.5*_xlpm.mad))
),
"N/A"
)</f>
        <v>N/A</v>
      </c>
      <c r="AS22" s="204" t="str">
        <f>IFERROR(IF(AO22-AQ22=0,"N/A",AO22-AQ22),"N/A")</f>
        <v>N/A</v>
      </c>
      <c r="AU22" s="206" t="s">
        <v>597</v>
      </c>
      <c r="AV22" s="202">
        <f t="array" ref="AV22">MEDIAN(
_xlfn._xlws.FILTER(
Table9[Job created per $Mn],
ISNUMBER(Table9[Job created per $Mn])*
(Table9[Job created per $Mn]&gt;0)*
(Table9[Country Income Level]="Mixed")
)
)</f>
        <v>737.890410958904</v>
      </c>
      <c r="AW22" s="202">
        <f t="array" ref="AW22">AVERAGE(
_xlfn._xlws.FILTER(
Table9[Job created per $Mn],
ISNUMBER(Table9[Job created per $Mn])*
(Table9[Job created per $Mn]&gt;0)*
(Table9[Country Income Level]="Mixed")
)
)</f>
        <v>737.890410958904</v>
      </c>
      <c r="AX22" s="15">
        <f>COUNTIFS(
Table9[Job created per $Mn],"&gt;0",
Table9[Country Income Level],"Mixed"
)</f>
        <v>2</v>
      </c>
      <c r="AY22" s="195">
        <f t="array" ref="AY22">_xlfn.LET(
_xlpm.data,
_xlfn._xlws.FILTER(
Table9[Job created per $Mn],
ISNUMBER(Table9[Job created per $Mn])*
(Table9[Job created per $Mn]&gt;0)*
(Table9[Country Income Level]="Mixed")
),
_xlpm.med,
MEDIAN(_xlpm.data),
_xlpm.mad,
MEDIAN(ABS(_xlpm.data-_xlpm.med)),
SUMPRODUCT(--(ABS(_xlpm.data-_xlpm.med)&gt;2.5*_xlpm.mad))/COUNT(_xlpm.data)
)</f>
        <v>0</v>
      </c>
      <c r="AZ22" s="15">
        <f t="array" ref="AZ22">_xlfn.LET(
_xlpm.data,
_xlfn._xlws.FILTER(
Table9[Job created per $Mn],
ISNUMBER(Table9[Job created per $Mn])*
(Table9[Job created per $Mn]&gt;0)*
(Table9[Country Income Level]="Mixed")
),
_xlpm.med,
MEDIAN(_xlpm.data),
_xlpm.mad,
MEDIAN(ABS(_xlpm.data-_xlpm.med)),
SUMPRODUCT(--(ABS(_xlpm.data-_xlpm.med)&gt;2.5*_xlpm.mad))
)</f>
        <v>0</v>
      </c>
      <c r="BA22" s="202">
        <f t="array" ref="BA22">_xlfn.LET(
_xlpm.data,
_xlfn._xlws.FILTER(
Table9[Job created per $Mn],
ISNUMBER(Table9[Job created per $Mn])*
(Table9[Job created per $Mn]&gt;0)*
(Table9[Country Income Level]="Mixed")
),
_xlpm.med,
MEDIAN(_xlpm.data),
_xlpm.mad,
MEDIAN(ABS(_xlpm.data-_xlpm.med)),
AVERAGE(
_xlfn._xlws.FILTER(
_xlpm.data,
ABS(_xlpm.data-_xlpm.med)&lt;=2.5*_xlpm.mad
)
)
)</f>
        <v>737.890410958904</v>
      </c>
      <c r="BB22" s="15">
        <f>AX22-AZ22</f>
        <v>2</v>
      </c>
      <c r="BD22" s="206" t="s">
        <v>597</v>
      </c>
      <c r="BE22" s="202">
        <f t="array" ref="BE22">MEDIAN(
_xlfn._xlws.FILTER(
Table9[Job improved per $Mn],
ISNUMBER(Table9[Job improved per $Mn])*
(Table9[Job improved per $Mn]&gt;0)*
(Table9[Country Income Level]="Mixed")
)
)</f>
        <v>518.20000000000005</v>
      </c>
      <c r="BF22" s="202">
        <f t="array" ref="BF22">AVERAGE(
_xlfn._xlws.FILTER(
Table9[Job improved per $Mn],
ISNUMBER(Table9[Job improved per $Mn])*
(Table9[Job improved per $Mn]&gt;0)*
(Table9[Country Income Level]="Mixed")
)
)</f>
        <v>892.32907171766533</v>
      </c>
      <c r="BG22" s="15">
        <f>COUNTIFS(
Table9[Job improved per $Mn],"&gt;0",
Table9[Country Income Level],"Mixed"
)</f>
        <v>5</v>
      </c>
      <c r="BH22" s="195">
        <f t="array" ref="BH22">_xlfn.LET(
_xlpm.data,
_xlfn._xlws.FILTER(
Table9[Job improved per $Mn],
ISNUMBER(Table9[Job improved per $Mn])*
(Table9[Job improved per $Mn]&gt;0)*
(Table9[Country Income Level]="Mixed")
),
_xlpm.med,
MEDIAN(_xlpm.data),
_xlpm.mad,
MEDIAN(ABS(_xlpm.data-_xlpm.med)),
SUMPRODUCT(--(ABS(_xlpm.data-_xlpm.med)&gt;2.5*_xlpm.mad))/COUNT(_xlpm.data)
)</f>
        <v>0.2</v>
      </c>
      <c r="BI22" s="15">
        <f t="array" ref="BI22">_xlfn.LET(
_xlpm.data,
_xlfn._xlws.FILTER(
Table9[Job improved per $Mn],
ISNUMBER(Table9[Job improved per $Mn])*
(Table9[Job improved per $Mn]&gt;0)*
(Table9[Country Income Level]="Mixed")
),
_xlpm.med,
MEDIAN(_xlpm.data),
_xlpm.mad,
MEDIAN(ABS(_xlpm.data-_xlpm.med)),
SUMPRODUCT(--(ABS(_xlpm.data-_xlpm.med)&gt;2.5*_xlpm.mad))
)</f>
        <v>1</v>
      </c>
      <c r="BJ22" s="202">
        <f t="array" ref="BJ22">_xlfn.LET(
_xlpm.data,
_xlfn._xlws.FILTER(
Table9[Job improved per $Mn],
ISNUMBER(Table9[Job improved per $Mn])*
(Table9[Job improved per $Mn]&gt;0)*
(Table9[Country Income Level]="Mixed")
),
_xlpm.med,
MEDIAN(_xlpm.data),
_xlpm.mad,
MEDIAN(ABS(_xlpm.data-_xlpm.med)),
AVERAGE(
_xlfn._xlws.FILTER(
_xlpm.data,
ABS(_xlpm.data-_xlpm.med)&lt;=2.5*_xlpm.mad
)
)
)</f>
        <v>490.95113274806022</v>
      </c>
      <c r="BK22" s="15">
        <f>BG22-BI22</f>
        <v>4</v>
      </c>
      <c r="BM22" s="206" t="s">
        <v>597</v>
      </c>
      <c r="BN22" s="203">
        <f t="array" ref="BN22">MEDIAN(
_xlfn._xlws.FILTER(
Table9[Beneficiary Income (USD) / Project Cost],
ISNUMBER(Table9[Beneficiary Income (USD) / Project Cost])*
(Table9[Beneficiary Income (USD) / Project Cost]&gt;0)*
(Table9[Country Income Level]="Mixed")
)
)</f>
        <v>0.5791622575831703</v>
      </c>
      <c r="BO22" s="203">
        <f t="array" ref="BO22">AVERAGE(
_xlfn._xlws.FILTER(
Table9[Beneficiary Income (USD) / Project Cost],
ISNUMBER(Table9[Beneficiary Income (USD) / Project Cost])*
(Table9[Beneficiary Income (USD) / Project Cost]&gt;0)*
(Table9[Country Income Level]="Mixed")
)
)</f>
        <v>0.91196505936670491</v>
      </c>
      <c r="BP22" s="15">
        <f>COUNTIFS(
Table9[Beneficiary Income (USD) / Project Cost],"&gt;0",
Table9[Country Income Level],"Mixed"
)</f>
        <v>4</v>
      </c>
      <c r="BQ22" s="195">
        <f t="array" ref="BQ22">_xlfn.LET(
_xlpm.data,
_xlfn._xlws.FILTER(
Table9[Beneficiary Income (USD) / Project Cost],
ISNUMBER(Table9[Beneficiary Income (USD) / Project Cost])*
(Table9[Beneficiary Income (USD) / Project Cost]&gt;0)*
(Table9[Country Income Level]="Mixed")
),
_xlpm.med,
MEDIAN(_xlpm.data),
_xlpm.mad,
MEDIAN(ABS(_xlpm.data-_xlpm.med)),
SUMPRODUCT(--(ABS(_xlpm.data-_xlpm.med)&gt;2.5*_xlpm.mad))/COUNT(_xlpm.data)
)</f>
        <v>0.25</v>
      </c>
      <c r="BR22" s="15">
        <f t="array" ref="BR22">_xlfn.LET(
_xlpm.data,
_xlfn._xlws.FILTER(
Table9[Beneficiary Income (USD) / Project Cost],
ISNUMBER(Table9[Beneficiary Income (USD) / Project Cost])*
(Table9[Beneficiary Income (USD) / Project Cost]&gt;0)*
(Table9[Country Income Level]="Mixed")
),
_xlpm.med,
MEDIAN(_xlpm.data),
_xlpm.mad,
MEDIAN(ABS(_xlpm.data-_xlpm.med)),
SUMPRODUCT(--(ABS(_xlpm.data-_xlpm.med)&gt;2.5*_xlpm.mad))
)</f>
        <v>1</v>
      </c>
      <c r="BS22" s="203">
        <f t="array" ref="BS22">_xlfn.LET(
_xlpm.data,
_xlfn._xlws.FILTER(
Table9[Beneficiary Income (USD) / Project Cost],
ISNUMBER(Table9[Beneficiary Income (USD) / Project Cost])*
(Table9[Beneficiary Income (USD) / Project Cost]&gt;0)*
(Table9[Country Income Level]="Mixed")
),
_xlpm.med,
MEDIAN(_xlpm.data),
_xlpm.mad,
MEDIAN(ABS(_xlpm.data-_xlpm.med)),
AVERAGE(
_xlfn._xlws.FILTER(
_xlpm.data,
ABS(_xlpm.data-_xlpm.med)&lt;=2.5*_xlpm.mad
)
)
)</f>
        <v>0.38960493642799587</v>
      </c>
      <c r="BT22" s="15">
        <f>BP22-BR22</f>
        <v>3</v>
      </c>
    </row>
    <row r="23" spans="2:72" ht="16.5" customHeight="1" x14ac:dyDescent="0.25">
      <c r="B23" s="373" t="s">
        <v>719</v>
      </c>
      <c r="C23" s="373"/>
      <c r="D23" s="373"/>
      <c r="E23" s="373"/>
      <c r="F23" s="420"/>
      <c r="G23" s="373"/>
      <c r="H23" s="373"/>
      <c r="I23" s="373"/>
      <c r="J23" s="417"/>
      <c r="K23" s="373" t="s">
        <v>719</v>
      </c>
      <c r="L23" s="373"/>
      <c r="M23" s="373"/>
      <c r="N23" s="373"/>
      <c r="O23" s="420"/>
      <c r="P23" s="373"/>
      <c r="Q23" s="373"/>
      <c r="R23" s="373"/>
      <c r="S23" s="417"/>
      <c r="T23" s="374" t="s">
        <v>719</v>
      </c>
      <c r="U23" s="373"/>
      <c r="V23" s="373"/>
      <c r="W23" s="373"/>
      <c r="X23" s="373"/>
      <c r="Y23" s="373"/>
      <c r="Z23" s="373"/>
      <c r="AA23" s="373"/>
      <c r="AB23" s="417"/>
      <c r="AC23" s="374" t="s">
        <v>719</v>
      </c>
      <c r="AD23" s="373"/>
      <c r="AE23" s="373"/>
      <c r="AF23" s="373"/>
      <c r="AG23" s="373"/>
      <c r="AH23" s="373"/>
      <c r="AI23" s="373"/>
      <c r="AJ23" s="373"/>
      <c r="AK23" s="417"/>
      <c r="AL23" s="374" t="s">
        <v>719</v>
      </c>
      <c r="AM23" s="373"/>
      <c r="AN23" s="373"/>
      <c r="AO23" s="373"/>
      <c r="AP23" s="373"/>
      <c r="AQ23" s="373"/>
      <c r="AR23" s="373"/>
      <c r="AS23" s="373"/>
      <c r="AT23" s="417"/>
      <c r="AU23" s="374" t="s">
        <v>719</v>
      </c>
      <c r="AV23" s="373"/>
      <c r="AW23" s="373"/>
      <c r="AX23" s="373"/>
      <c r="AY23" s="373"/>
      <c r="AZ23" s="373"/>
      <c r="BA23" s="373"/>
      <c r="BB23" s="373"/>
      <c r="BC23" s="417"/>
      <c r="BD23" s="374" t="s">
        <v>719</v>
      </c>
      <c r="BE23" s="373"/>
      <c r="BF23" s="373"/>
      <c r="BG23" s="373"/>
      <c r="BH23" s="420"/>
      <c r="BI23" s="373"/>
      <c r="BJ23" s="373"/>
      <c r="BK23" s="373"/>
      <c r="BL23" s="417"/>
      <c r="BM23" s="374" t="s">
        <v>719</v>
      </c>
      <c r="BN23" s="373"/>
      <c r="BO23" s="373"/>
      <c r="BP23" s="373"/>
      <c r="BQ23" s="420"/>
      <c r="BR23" s="373"/>
      <c r="BS23" s="373"/>
      <c r="BT23" s="373"/>
    </row>
    <row r="24" spans="2:72" x14ac:dyDescent="0.25">
      <c r="B24" s="206" t="s">
        <v>720</v>
      </c>
      <c r="C24" s="202">
        <f t="array" ref="C24">MEDIAN(_xlfn._xlws.FILTER(Table9[Income per beneficiary (USD)], (Table9[Income per beneficiary (USD)]&gt;0)*(Table9[Cost Quartiles]="1st Quartile (Lowest 25%)")))</f>
        <v>261.03095479055395</v>
      </c>
      <c r="D24" s="202">
        <f t="array" ref="D24">AVERAGE(_xlfn._xlws.FILTER(Table9[Income per beneficiary (USD)], (Table9[Income per beneficiary (USD)]&gt;0)*(Table9[Cost Quartiles]="1st Quartile (Lowest 25%)")))</f>
        <v>276.58226598274604</v>
      </c>
      <c r="E24" s="15">
        <f>COUNTIFS(Table9[Income per beneficiary (USD)],"&gt;0",Table9[Cost Quartiles],"1st Quartile (Lowest 25%)")</f>
        <v>16</v>
      </c>
      <c r="F24" s="195">
        <f t="array" ref="F24">_xlfn.LET(
_xlpm.data,_xlfn._xlws.FILTER(
Table9[Income per beneficiary (USD)],
(Table9[Income per beneficiary (USD)]&gt;0)*
(Table9[Cost Quartiles]="1st Quartile (Lowest 25%)")
),
_xlpm.med,MEDIAN(_xlpm.data),
_xlpm.mad,MEDIAN(ABS(_xlpm.data-_xlpm.med)),
SUMPRODUCT(--(ABS(_xlpm.data-_xlpm.med)&gt;2.5*_xlpm.mad))/COUNT(_xlpm.data)
)</f>
        <v>0</v>
      </c>
      <c r="G24" s="15">
        <f t="array" ref="G24">_xlfn.LET(
_xlpm.data,_xlfn._xlws.FILTER(
Table9[Income per beneficiary (USD)],
(Table9[Income per beneficiary (USD)]&gt;0)*
(Table9[Cost Quartiles]="1st Quartile (Lowest 25%)")
),
_xlpm.med,MEDIAN(_xlpm.data),
_xlpm.mad,MEDIAN(ABS(_xlpm.data-_xlpm.med)),
SUMPRODUCT(--(ABS(_xlpm.data-_xlpm.med)&gt;2.5*_xlpm.mad))
)</f>
        <v>0</v>
      </c>
      <c r="H24" s="202">
        <f t="array" ref="H24">_xlfn.LET(
_xlpm.data,_xlfn._xlws.FILTER(
Table9[Income per beneficiary (USD)],
(Table9[Income per beneficiary (USD)]&gt;0)*
(Table9[Cost Quartiles]="1st Quartile (Lowest 25%)")
),
_xlpm.med,MEDIAN(_xlpm.data),
_xlpm.mad,MEDIAN(ABS(_xlpm.data-_xlpm.med)),
AVERAGE(_xlfn._xlws.FILTER(_xlpm.data,ABS(_xlpm.data-_xlpm.med)&lt;=2.5*_xlpm.mad))
)</f>
        <v>276.58226598274604</v>
      </c>
      <c r="I24" s="202">
        <f>E24-G24</f>
        <v>16</v>
      </c>
      <c r="J24" s="130"/>
      <c r="K24" s="206" t="s">
        <v>720</v>
      </c>
      <c r="L24" s="203">
        <f t="array" ref="L24">MEDIAN(
_xlfn._xlws.FILTER(
Table9[Normalised Income Impact Ratio],
ISNUMBER(Table9[Normalised Income Impact Ratio])*
(Table9[Normalised Income Impact Ratio]&gt;0)*
(Table9[Cost Quartiles]="1st Quartile (Lowest 25%)")
)
)</f>
        <v>2.1857319389547651E-2</v>
      </c>
      <c r="M24" s="203">
        <f t="array" ref="M24">AVERAGE(
_xlfn._xlws.FILTER(
Table9[Normalised Income Impact Ratio],
ISNUMBER(Table9[Normalised Income Impact Ratio])*
(Table9[Normalised Income Impact Ratio]&gt;0)*
(Table9[Cost Quartiles]="1st Quartile (Lowest 25%)")
)
)</f>
        <v>2.9125500420513411E-2</v>
      </c>
      <c r="N24" s="15">
        <f>COUNTIFS(
Table9[Normalised Income Impact Ratio],"&gt;0",
Table9[Cost Quartiles],"1st Quartile (Lowest 25%)"
)</f>
        <v>15</v>
      </c>
      <c r="O24" s="195">
        <f t="array" ref="O24">_xlfn.LET(
_xlpm.data,_xlfn._xlws.FILTER(
Table9[Normalised Income Impact Ratio],
ISNUMBER(Table9[Normalised Income Impact Ratio])*
(Table9[Normalised Income Impact Ratio]&gt;0)*
(Table9[Cost Quartiles]="1st Quartile (Lowest 25%)")
),
_xlpm.med,MEDIAN(_xlpm.data),
_xlpm.mad,MEDIAN(ABS(_xlpm.data-_xlpm.med)),
SUMPRODUCT(--(ABS(_xlpm.data-_xlpm.med)&gt;2.5*_xlpm.mad))/COUNT(_xlpm.data)
)</f>
        <v>0.2</v>
      </c>
      <c r="P24" s="15">
        <f t="array" ref="P24">_xlfn.LET(
_xlpm.data,_xlfn._xlws.FILTER(
Table9[Normalised Income Impact Ratio],
ISNUMBER(Table9[Normalised Income Impact Ratio])*
(Table9[Normalised Income Impact Ratio]&gt;0)*
(Table9[Cost Quartiles]="1st Quartile (Lowest 25%)")
),
_xlpm.med,MEDIAN(_xlpm.data),
_xlpm.mad,MEDIAN(ABS(_xlpm.data-_xlpm.med)),
SUMPRODUCT(--(ABS(_xlpm.data-_xlpm.med)&gt;2.5*_xlpm.mad))
)</f>
        <v>3</v>
      </c>
      <c r="Q24" s="203">
        <f t="array" ref="Q24">_xlfn.LET(
_xlpm.data,_xlfn._xlws.FILTER(
Table9[Normalised Income Impact Ratio],
ISNUMBER(Table9[Normalised Income Impact Ratio])*
(Table9[Normalised Income Impact Ratio]&gt;0)*
(Table9[Cost Quartiles]="1st Quartile (Lowest 25%)")
),
_xlpm.med,MEDIAN(_xlpm.data),
_xlpm.mad,MEDIAN(ABS(_xlpm.data-_xlpm.med)),
AVERAGE(_xlfn._xlws.FILTER(_xlpm.data,ABS(_xlpm.data-_xlpm.med)&lt;=2.5*_xlpm.mad))
)</f>
        <v>1.7255451541505821E-2</v>
      </c>
      <c r="R24" s="15">
        <f>N24-P24</f>
        <v>12</v>
      </c>
      <c r="T24" s="206" t="s">
        <v>720</v>
      </c>
      <c r="U24" s="203">
        <f t="array" ref="U24">MEDIAN(
_xlfn._xlws.FILTER(
Table9[Private Sector Investment (USD) / Project cost ],
ISNUMBER(Table9[Private Sector Investment (USD) / Project cost ])*
(Table9[Private Sector Investment (USD) / Project cost ]&gt;0)*
(Table9[Cost Quartiles]="1st Quartile (Lowest 25%)")
)
)</f>
        <v>0.29726449999999999</v>
      </c>
      <c r="V24" s="203">
        <f t="array" ref="V24">AVERAGE(
_xlfn._xlws.FILTER(
Table9[Private Sector Investment (USD) / Project cost ],
ISNUMBER(Table9[Private Sector Investment (USD) / Project cost ])*
(Table9[Private Sector Investment (USD) / Project cost ]&gt;0)*
(Table9[Cost Quartiles]="1st Quartile (Lowest 25%)")
)
)</f>
        <v>1.351754471956375</v>
      </c>
      <c r="W24" s="15">
        <f>COUNTIFS(
Table9[Private Sector Investment (USD) / Project cost ],"&gt;0",
Table9[Cost Quartiles],"1st Quartile (Lowest 25%)"
)</f>
        <v>9</v>
      </c>
      <c r="X24" s="195">
        <f t="array" ref="X24">_xlfn.LET(
_xlpm.data,_xlfn._xlws.FILTER(
Table9[Private Sector Investment (USD) / Project cost ],
ISNUMBER(Table9[Private Sector Investment (USD) / Project cost ])*
(Table9[Private Sector Investment (USD) / Project cost ]&gt;0)*
(Table9[Cost Quartiles]="1st Quartile (Lowest 25%)")
),
_xlpm.med,MEDIAN(_xlpm.data),
_xlpm.mad,MEDIAN(ABS(_xlpm.data-_xlpm.med)),
SUMPRODUCT(--(ABS(_xlpm.data-_xlpm.med)&gt;2.5*_xlpm.mad))/COUNT(_xlpm.data)
)</f>
        <v>0.22222222222222221</v>
      </c>
      <c r="Y24" s="15">
        <f t="array" ref="Y24">_xlfn.LET(
_xlpm.data,_xlfn._xlws.FILTER(
Table9[Private Sector Investment (USD) / Project cost ],
ISNUMBER(Table9[Private Sector Investment (USD) / Project cost ])*
(Table9[Private Sector Investment (USD) / Project cost ]&gt;0)*
(Table9[Cost Quartiles]="1st Quartile (Lowest 25%)")
),
_xlpm.med,MEDIAN(_xlpm.data),
_xlpm.mad,MEDIAN(ABS(_xlpm.data-_xlpm.med)),
SUMPRODUCT(--(ABS(_xlpm.data-_xlpm.med)&gt;2.5*_xlpm.mad))
)</f>
        <v>2</v>
      </c>
      <c r="Z24" s="203">
        <f t="array" ref="Z24">_xlfn.LET(
_xlpm.data,_xlfn._xlws.FILTER(
Table9[Private Sector Investment (USD) / Project cost ],
ISNUMBER(Table9[Private Sector Investment (USD) / Project cost ])*
(Table9[Private Sector Investment (USD) / Project cost ]&gt;0)*
(Table9[Cost Quartiles]="1st Quartile (Lowest 25%)")
),
_xlpm.med,MEDIAN(_xlpm.data),
_xlpm.mad,MEDIAN(ABS(_xlpm.data-_xlpm.med)),
AVERAGE(_xlfn._xlws.FILTER(_xlpm.data,ABS(_xlpm.data-_xlpm.med)&lt;=2.5*_xlpm.mad))
)</f>
        <v>0.26989244799009021</v>
      </c>
      <c r="AA24" s="15">
        <f>W24-Y24</f>
        <v>7</v>
      </c>
      <c r="AC24" s="206" t="s">
        <v>720</v>
      </c>
      <c r="AD24" s="203">
        <f t="array" ref="AD24">MEDIAN(
_xlfn._xlws.FILTER(
Table9[Private Sector Revenues Generated (USD) / Project cost],
ISNUMBER(Table9[Private Sector Revenues Generated (USD) / Project cost])*
(Table9[Private Sector Revenues Generated (USD) / Project cost]&gt;0)*
(Table9[Cost Quartiles]="1st Quartile (Lowest 25%)")
)
)</f>
        <v>0.27511904761904765</v>
      </c>
      <c r="AE24" s="203">
        <f t="array" ref="AE24">AVERAGE(
_xlfn._xlws.FILTER(
Table9[Private Sector Revenues Generated (USD) / Project cost],
ISNUMBER(Table9[Private Sector Revenues Generated (USD) / Project cost])*
(Table9[Private Sector Revenues Generated (USD) / Project cost]&gt;0)*
(Table9[Cost Quartiles]="1st Quartile (Lowest 25%)")
)
)</f>
        <v>0.54267492344863644</v>
      </c>
      <c r="AF24" s="15">
        <f>COUNTIFS(
Table9[Private Sector Revenues Generated (USD) / Project cost],"&gt;0",
Table9[Cost Quartiles],"1st Quartile (Lowest 25%)"
)</f>
        <v>10</v>
      </c>
      <c r="AG24" s="195">
        <f t="array" ref="AG24">_xlfn.LET(
_xlpm.data,_xlfn._xlws.FILTER(
Table9[Private Sector Revenues Generated (USD) / Project cost],
ISNUMBER(Table9[Private Sector Revenues Generated (USD) / Project cost])*
(Table9[Private Sector Revenues Generated (USD) / Project cost]&gt;0)*
(Table9[Cost Quartiles]="1st Quartile (Lowest 25%)")
),
_xlpm.med,MEDIAN(_xlpm.data),
_xlpm.mad,MEDIAN(ABS(_xlpm.data-_xlpm.med)),
SUMPRODUCT(--(ABS(_xlpm.data-_xlpm.med)&gt;2.5*_xlpm.mad))/COUNT(_xlpm.data)
)</f>
        <v>0.3</v>
      </c>
      <c r="AH24" s="15">
        <f t="array" ref="AH24">_xlfn.LET(
_xlpm.data,_xlfn._xlws.FILTER(
Table9[Private Sector Revenues Generated (USD) / Project cost],
ISNUMBER(Table9[Private Sector Revenues Generated (USD) / Project cost])*
(Table9[Private Sector Revenues Generated (USD) / Project cost]&gt;0)*
(Table9[Cost Quartiles]="1st Quartile (Lowest 25%)")
),
_xlpm.med,MEDIAN(_xlpm.data),
_xlpm.mad,MEDIAN(ABS(_xlpm.data-_xlpm.med)),
SUMPRODUCT(--(ABS(_xlpm.data-_xlpm.med)&gt;2.5*_xlpm.mad))
)</f>
        <v>3</v>
      </c>
      <c r="AI24" s="203">
        <f t="array" ref="AI24">_xlfn.LET(
_xlpm.data,_xlfn._xlws.FILTER(
Table9[Private Sector Revenues Generated (USD) / Project cost],
ISNUMBER(Table9[Private Sector Revenues Generated (USD) / Project cost])*
(Table9[Private Sector Revenues Generated (USD) / Project cost]&gt;0)*
(Table9[Cost Quartiles]="1st Quartile (Lowest 25%)")
),
_xlpm.med,MEDIAN(_xlpm.data),
_xlpm.mad,MEDIAN(ABS(_xlpm.data-_xlpm.med)),
AVERAGE(_xlfn._xlws.FILTER(_xlpm.data,ABS(_xlpm.data-_xlpm.med)&lt;=2.5*_xlpm.mad))
)</f>
        <v>0.17465274997965166</v>
      </c>
      <c r="AJ24" s="15">
        <f>AF24-AH24</f>
        <v>7</v>
      </c>
      <c r="AL24" s="206" t="s">
        <v>720</v>
      </c>
      <c r="AM24" s="198">
        <f t="array" ref="AM24">MEDIAN(
_xlfn._xlws.FILTER(
Table9[Export Revenue Generated (USD) /Project Cost],
ISNUMBER(Table9[Export Revenue Generated (USD) /Project Cost])*
(Table9[Export Revenue Generated (USD) /Project Cost]&gt;0)*
(Table9[Cost Quartiles]="1st Quartile (Lowest 25%)")
)
)</f>
        <v>3.6333847829880667E-2</v>
      </c>
      <c r="AN24" s="198">
        <f t="array" ref="AN24">AVERAGE(
_xlfn._xlws.FILTER(
Table9[Export Revenue Generated (USD) /Project Cost],
ISNUMBER(Table9[Export Revenue Generated (USD) /Project Cost])*
(Table9[Export Revenue Generated (USD) /Project Cost]&gt;0)*
(Table9[Cost Quartiles]="1st Quartile (Lowest 25%)")
)
)</f>
        <v>0.12814607307438275</v>
      </c>
      <c r="AO24" s="15">
        <f>COUNTIFS(
Table9[Export Revenue Generated (USD) /Project Cost],"&gt;0",
Table9[Cost Quartiles],"1st Quartile (Lowest 25%)"
)</f>
        <v>3</v>
      </c>
      <c r="AP24" s="195">
        <f t="array" ref="AP24">_xlfn.LET(
_xlpm.data,_xlfn._xlws.FILTER(
Table9[Export Revenue Generated (USD) /Project Cost],
ISNUMBER(Table9[Export Revenue Generated (USD) /Project Cost])*
(Table9[Export Revenue Generated (USD) /Project Cost]&gt;0)*
(Table9[Cost Quartiles]="1st Quartile (Lowest 25%)")
),
_xlpm.med,MEDIAN(_xlpm.data),
_xlpm.mad,MEDIAN(ABS(_xlpm.data-_xlpm.med)),
SUMPRODUCT(--(ABS(_xlpm.data-_xlpm.med)&gt;2.5*_xlpm.mad))/COUNT(_xlpm.data)
)</f>
        <v>0.33333333333333331</v>
      </c>
      <c r="AQ24" s="15">
        <f t="array" ref="AQ24">_xlfn.LET(
_xlpm.data,_xlfn._xlws.FILTER(
Table9[Export Revenue Generated (USD) /Project Cost],
ISNUMBER(Table9[Export Revenue Generated (USD) /Project Cost])*
(Table9[Export Revenue Generated (USD) /Project Cost]&gt;0)*
(Table9[Cost Quartiles]="1st Quartile (Lowest 25%)")
),
_xlpm.med,MEDIAN(_xlpm.data),
_xlpm.mad,MEDIAN(ABS(_xlpm.data-_xlpm.med)),
SUMPRODUCT(--(ABS(_xlpm.data-_xlpm.med)&gt;2.5*_xlpm.mad))
)</f>
        <v>1</v>
      </c>
      <c r="AR24" s="203">
        <f t="array" ref="AR24">_xlfn.LET(
_xlpm.data,_xlfn._xlws.FILTER(
Table9[Export Revenue Generated (USD) /Project Cost],
ISNUMBER(Table9[Export Revenue Generated (USD) /Project Cost])*
(Table9[Export Revenue Generated (USD) /Project Cost]&gt;0)*
(Table9[Cost Quartiles]="1st Quartile (Lowest 25%)")
),
_xlpm.med,MEDIAN(_xlpm.data),
_xlpm.mad,MEDIAN(ABS(_xlpm.data-_xlpm.med)),
AVERAGE(_xlfn._xlws.FILTER(_xlpm.data,ABS(_xlpm.data-_xlpm.med)&lt;=2.5*_xlpm.mad))
)</f>
        <v>1.8512298914940332E-2</v>
      </c>
      <c r="AS24" s="15">
        <f>AO24-AQ24</f>
        <v>2</v>
      </c>
      <c r="AU24" s="206" t="s">
        <v>720</v>
      </c>
      <c r="AV24" s="202">
        <f t="array" ref="AV24">MEDIAN(
_xlfn._xlws.FILTER(
Table9[Job created per $Mn],
ISNUMBER(Table9[Job created per $Mn])*
(Table9[Job created per $Mn]&gt;0)*
(Table9[Cost Quartiles]="1st Quartile (Lowest 25%)")
)
)</f>
        <v>239.28585880124223</v>
      </c>
      <c r="AW24" s="202">
        <f t="array" ref="AW24">AVERAGE(
_xlfn._xlws.FILTER(
Table9[Job created per $Mn],
ISNUMBER(Table9[Job created per $Mn])*
(Table9[Job created per $Mn]&gt;0)*
(Table9[Cost Quartiles]="1st Quartile (Lowest 25%)")
)
)</f>
        <v>289.81367535889649</v>
      </c>
      <c r="AX24" s="15">
        <f>COUNTIFS(
Table9[Job created per $Mn],"&gt;0",
Table9[Cost Quartiles],"1st Quartile (Lowest 25%)"
)</f>
        <v>6</v>
      </c>
      <c r="AY24" s="195">
        <f t="array" ref="AY24">_xlfn.LET(
_xlpm.data,
_xlfn._xlws.FILTER(
Table9[Job created per $Mn],
ISNUMBER(Table9[Job created per $Mn])*
(Table9[Job created per $Mn]&gt;0)*
(Table9[Cost Quartiles]="1st Quartile (Lowest 25%)")
),
_xlpm.med,
MEDIAN(_xlpm.data),
_xlpm.mad,
MEDIAN(ABS(_xlpm.data-_xlpm.med)),
SUMPRODUCT(--(ABS(_xlpm.data-_xlpm.med)&gt;2.5*_xlpm.mad))/COUNT(_xlpm.data)
)</f>
        <v>0.16666666666666666</v>
      </c>
      <c r="AZ24" s="15">
        <f t="array" ref="AZ24">_xlfn.LET(
_xlpm.data,
_xlfn._xlws.FILTER(
Table9[Job created per $Mn],
ISNUMBER(Table9[Job created per $Mn])*
(Table9[Job created per $Mn]&gt;0)*
(Table9[Cost Quartiles]="1st Quartile (Lowest 25%)")
),
_xlpm.med,
MEDIAN(_xlpm.data),
_xlpm.mad,
MEDIAN(ABS(_xlpm.data-_xlpm.med)),
SUMPRODUCT(--(ABS(_xlpm.data-_xlpm.med)&gt;2.5*_xlpm.mad))
)</f>
        <v>1</v>
      </c>
      <c r="BA24" s="202">
        <f t="array" ref="BA24">_xlfn.LET(
_xlpm.data,
_xlfn._xlws.FILTER(
Table9[Job created per $Mn],
ISNUMBER(Table9[Job created per $Mn])*
(Table9[Job created per $Mn]&gt;0)*
(Table9[Cost Quartiles]="1st Quartile (Lowest 25%)")
),
_xlpm.med,
MEDIAN(_xlpm.data),
_xlpm.mad,
MEDIAN(ABS(_xlpm.data-_xlpm.med)),
AVERAGE(
_xlfn._xlws.FILTER(
_xlpm.data,
ABS(_xlpm.data-_xlpm.med)&lt;=2.5*_xlpm.mad
)
)
)</f>
        <v>239.12275000958243</v>
      </c>
      <c r="BB24" s="15">
        <f>AX24-AZ24</f>
        <v>5</v>
      </c>
      <c r="BD24" s="206" t="s">
        <v>720</v>
      </c>
      <c r="BE24" s="202">
        <f t="array" ref="BE24">MEDIAN(
_xlfn._xlws.FILTER(
Table9[Job improved per $Mn],
ISNUMBER(Table9[Job improved per $Mn])*
(Table9[Job improved per $Mn]&gt;0)*
(Table9[Cost Quartiles]="1st Quartile (Lowest 25%)")
)
)</f>
        <v>1482.8571428571429</v>
      </c>
      <c r="BF24" s="202">
        <f t="array" ref="BF24">AVERAGE(
_xlfn._xlws.FILTER(
Table9[Job improved per $Mn],
ISNUMBER(Table9[Job improved per $Mn])*
(Table9[Job improved per $Mn]&gt;0)*
(Table9[Cost Quartiles]="1st Quartile (Lowest 25%)")
)
)</f>
        <v>2971.9922244411077</v>
      </c>
      <c r="BG24" s="15">
        <f>COUNTIFS(
Table9[Job improved per $Mn],"&gt;0",
Table9[Cost Quartiles],"1st Quartile (Lowest 25%)"
)</f>
        <v>19</v>
      </c>
      <c r="BH24" s="195">
        <f t="array" ref="BH24">_xlfn.LET(
_xlpm.data,
_xlfn._xlws.FILTER(
Table9[Job improved per $Mn],
ISNUMBER(Table9[Job improved per $Mn])*
(Table9[Job improved per $Mn]&gt;0)*
(Table9[Cost Quartiles]="1st Quartile (Lowest 25%)")
),
_xlpm.med,
MEDIAN(_xlpm.data),
_xlpm.mad,
MEDIAN(ABS(_xlpm.data-_xlpm.med)),
SUMPRODUCT(--(ABS(_xlpm.data-_xlpm.med)&gt;2.5*_xlpm.mad))/COUNT(_xlpm.data)
)</f>
        <v>0.21052631578947367</v>
      </c>
      <c r="BI24" s="15">
        <f t="array" ref="BI24">_xlfn.LET(
_xlpm.data,
_xlfn._xlws.FILTER(
Table9[Job improved per $Mn],
ISNUMBER(Table9[Job improved per $Mn])*
(Table9[Job improved per $Mn]&gt;0)*
(Table9[Cost Quartiles]="1st Quartile (Lowest 25%)")
),
_xlpm.med,
MEDIAN(_xlpm.data),
_xlpm.mad,
MEDIAN(ABS(_xlpm.data-_xlpm.med)),
SUMPRODUCT(--(ABS(_xlpm.data-_xlpm.med)&gt;2.5*_xlpm.mad))
)</f>
        <v>4</v>
      </c>
      <c r="BJ24" s="202">
        <f t="array" ref="BJ24">_xlfn.LET(
_xlpm.data,
_xlfn._xlws.FILTER(
Table9[Job improved per $Mn],
ISNUMBER(Table9[Job improved per $Mn])*
(Table9[Job improved per $Mn]&gt;0)*
(Table9[Cost Quartiles]="1st Quartile (Lowest 25%)")
),
_xlpm.med,
MEDIAN(_xlpm.data),
_xlpm.mad,
MEDIAN(ABS(_xlpm.data-_xlpm.med)),
AVERAGE(
_xlfn._xlws.FILTER(
_xlpm.data,
ABS(_xlpm.data-_xlpm.med)&lt;=2.5*_xlpm.mad
)
)
)</f>
        <v>1127.4344683979175</v>
      </c>
      <c r="BK24" s="15">
        <f>BG24-BI24</f>
        <v>15</v>
      </c>
      <c r="BM24" s="206" t="s">
        <v>720</v>
      </c>
      <c r="BN24" s="203">
        <f t="array" ref="BN24">MEDIAN(
_xlfn._xlws.FILTER(
Table9[Beneficiary Income (USD) / Project Cost],
ISNUMBER(Table9[Beneficiary Income (USD) / Project Cost])*
(Table9[Beneficiary Income (USD) / Project Cost]&gt;0)*
(Table9[Cost Quartiles]="1st Quartile (Lowest 25%)")
)
)</f>
        <v>0.50114407140589967</v>
      </c>
      <c r="BO24" s="203">
        <f t="array" ref="BO24">AVERAGE(
_xlfn._xlws.FILTER(
Table9[Beneficiary Income (USD) / Project Cost],
ISNUMBER(Table9[Beneficiary Income (USD) / Project Cost])*
(Table9[Beneficiary Income (USD) / Project Cost]&gt;0)*
(Table9[Cost Quartiles]="1st Quartile (Lowest 25%)")
)
)</f>
        <v>1.4798846996656125</v>
      </c>
      <c r="BP24" s="15">
        <f>COUNTIFS(
Table9[Beneficiary Income (USD) / Project Cost],"&gt;0",
Table9[Cost Quartiles],"1st Quartile (Lowest 25%)"
)</f>
        <v>16</v>
      </c>
      <c r="BQ24" s="195">
        <f t="array" ref="BQ24">_xlfn.LET(
_xlpm.data,
_xlfn._xlws.FILTER(
Table9[Beneficiary Income (USD) / Project Cost],
ISNUMBER(Table9[Beneficiary Income (USD) / Project Cost])*
(Table9[Beneficiary Income (USD) / Project Cost]&gt;0)*
(Table9[Cost Quartiles]="1st Quartile (Lowest 25%)")
),
_xlpm.med,
MEDIAN(_xlpm.data),
_xlpm.mad,
MEDIAN(ABS(_xlpm.data-_xlpm.med)),
SUMPRODUCT(--(ABS(_xlpm.data-_xlpm.med)&gt;2.5*_xlpm.mad))/COUNT(_xlpm.data)
)</f>
        <v>0.25</v>
      </c>
      <c r="BR24" s="15">
        <f t="array" ref="BR24">_xlfn.LET(
_xlpm.data,
_xlfn._xlws.FILTER(
Table9[Beneficiary Income (USD) / Project Cost],
ISNUMBER(Table9[Beneficiary Income (USD) / Project Cost])*
(Table9[Beneficiary Income (USD) / Project Cost]&gt;0)*
(Table9[Cost Quartiles]="1st Quartile (Lowest 25%)")
),
_xlpm.med,
MEDIAN(_xlpm.data),
_xlpm.mad,
MEDIAN(ABS(_xlpm.data-_xlpm.med)),
SUMPRODUCT(--(ABS(_xlpm.data-_xlpm.med)&gt;2.5*_xlpm.mad))
)</f>
        <v>4</v>
      </c>
      <c r="BS24" s="203">
        <f t="array" ref="BS24">_xlfn.LET(
_xlpm.data,
_xlfn._xlws.FILTER(
Table9[Beneficiary Income (USD) / Project Cost],
ISNUMBER(Table9[Beneficiary Income (USD) / Project Cost])*
(Table9[Beneficiary Income (USD) / Project Cost]&gt;0)*
(Table9[Cost Quartiles]="1st Quartile (Lowest 25%)")
),
_xlpm.med,
MEDIAN(_xlpm.data),
_xlpm.mad,
MEDIAN(ABS(_xlpm.data-_xlpm.med)),
AVERAGE(
_xlfn._xlws.FILTER(
_xlpm.data,
ABS(_xlpm.data-_xlpm.med)&lt;=2.5*_xlpm.mad
)
)
)</f>
        <v>0.4789529597412599</v>
      </c>
      <c r="BT24" s="15">
        <f>BP24-BR24</f>
        <v>12</v>
      </c>
    </row>
    <row r="25" spans="2:72" x14ac:dyDescent="0.25">
      <c r="B25" s="206" t="s">
        <v>721</v>
      </c>
      <c r="C25" s="202">
        <f t="array" ref="C25">MEDIAN(_xlfn._xlws.FILTER(Table9[Income per beneficiary (USD)],(Table9[Income per beneficiary (USD)]&gt;0)*(Table9[Cost Quartiles]="2nd Quartile (25–50%)")))</f>
        <v>247.04261754384419</v>
      </c>
      <c r="D25" s="202">
        <f t="array" ref="D25">AVERAGE(_xlfn._xlws.FILTER(Table9[Income per beneficiary (USD)],(Table9[Income per beneficiary (USD)]&gt;0)*(Table9[Cost Quartiles]="2nd Quartile (25–50%)")))</f>
        <v>736.45545627188972</v>
      </c>
      <c r="E25" s="15">
        <f>COUNTIFS(Table9[Income per beneficiary (USD)],"&gt;0",Table9[Cost Quartiles],"2nd Quartile (25–50%)")</f>
        <v>8</v>
      </c>
      <c r="F25" s="195">
        <f t="array" ref="F25">_xlfn.LET(
_xlpm.data,_xlfn._xlws.FILTER(
Table9[Income per beneficiary (USD)],
(Table9[Income per beneficiary (USD)]&gt;0)*
(Table9[Cost Quartiles]="2nd Quartile (25–50%)")
),
_xlpm.med,MEDIAN(_xlpm.data),
_xlpm.mad,MEDIAN(ABS(_xlpm.data-_xlpm.med)),
SUMPRODUCT(--(ABS(_xlpm.data-_xlpm.med)&gt;2.5*_xlpm.mad))/COUNT(_xlpm.data)
)</f>
        <v>0.375</v>
      </c>
      <c r="G25" s="15">
        <f t="array" ref="G25">_xlfn.LET(
_xlpm.data,_xlfn._xlws.FILTER(
Table9[Income per beneficiary (USD)],
(Table9[Income per beneficiary (USD)]&gt;0)*
(Table9[Cost Quartiles]="2nd Quartile (25–50%)")
),
_xlpm.med,MEDIAN(_xlpm.data),
_xlpm.mad,MEDIAN(ABS(_xlpm.data-_xlpm.med)),
SUMPRODUCT(--(ABS(_xlpm.data-_xlpm.med)&gt;2.5*_xlpm.mad))
)</f>
        <v>3</v>
      </c>
      <c r="H25" s="202">
        <f t="array" ref="H25">_xlfn.LET(
_xlpm.data,_xlfn._xlws.FILTER(
Table9[Income per beneficiary (USD)],
(Table9[Income per beneficiary (USD)]&gt;0)*
(Table9[Cost Quartiles]="2nd Quartile (25–50%)")
),
_xlpm.med,MEDIAN(_xlpm.data),
_xlpm.mad,MEDIAN(ABS(_xlpm.data-_xlpm.med)),
AVERAGE(_xlfn._xlws.FILTER(_xlpm.data,ABS(_xlpm.data-_xlpm.med)&lt;=2.5*_xlpm.mad))
)</f>
        <v>156.90842668420058</v>
      </c>
      <c r="I25" s="202">
        <f>E25-G25</f>
        <v>5</v>
      </c>
      <c r="J25" s="130"/>
      <c r="K25" s="206" t="s">
        <v>721</v>
      </c>
      <c r="L25" s="203">
        <f t="array" ref="L25">MEDIAN(
_xlfn._xlws.FILTER(
Table9[Normalised Income Impact Ratio],
ISNUMBER(Table9[Normalised Income Impact Ratio])*
(Table9[Normalised Income Impact Ratio]&gt;0)*
(Table9[Cost Quartiles]="2nd Quartile (25–50%)")
)
)</f>
        <v>9.9489920937024051E-2</v>
      </c>
      <c r="M25" s="203">
        <f t="array" ref="M25">AVERAGE(
_xlfn._xlws.FILTER(
Table9[Normalised Income Impact Ratio],
ISNUMBER(Table9[Normalised Income Impact Ratio])*
(Table9[Normalised Income Impact Ratio]&gt;0)*
(Table9[Cost Quartiles]="2nd Quartile (25–50%)")
)
)</f>
        <v>0.10008991996049749</v>
      </c>
      <c r="N25" s="15">
        <f>COUNTIFS(
Table9[Normalised Income Impact Ratio],"&gt;0",
Table9[Cost Quartiles],"2nd Quartile (25–50%)"
)</f>
        <v>8</v>
      </c>
      <c r="O25" s="195">
        <f t="array" ref="O25">_xlfn.LET(
_xlpm.data,_xlfn._xlws.FILTER(
Table9[Normalised Income Impact Ratio],
ISNUMBER(Table9[Normalised Income Impact Ratio])*
(Table9[Normalised Income Impact Ratio]&gt;0)*
(Table9[Cost Quartiles]="2nd Quartile (25–50%)")
),
_xlpm.med,MEDIAN(_xlpm.data),
_xlpm.mad,MEDIAN(ABS(_xlpm.data-_xlpm.med)),
SUMPRODUCT(--(ABS(_xlpm.data-_xlpm.med)&gt;2.5*_xlpm.mad))/COUNT(_xlpm.data)
)</f>
        <v>0.125</v>
      </c>
      <c r="P25" s="15">
        <f t="array" ref="P25">_xlfn.LET(
_xlpm.data,_xlfn._xlws.FILTER(
Table9[Normalised Income Impact Ratio],
ISNUMBER(Table9[Normalised Income Impact Ratio])*
(Table9[Normalised Income Impact Ratio]&gt;0)*
(Table9[Cost Quartiles]="2nd Quartile (25–50%)")
),
_xlpm.med,MEDIAN(_xlpm.data),
_xlpm.mad,MEDIAN(ABS(_xlpm.data-_xlpm.med)),
SUMPRODUCT(--(ABS(_xlpm.data-_xlpm.med)&gt;2.5*_xlpm.mad))
)</f>
        <v>1</v>
      </c>
      <c r="Q25" s="203">
        <f t="array" ref="Q25">_xlfn.LET(
_xlpm.data,_xlfn._xlws.FILTER(
Table9[Normalised Income Impact Ratio],
ISNUMBER(Table9[Normalised Income Impact Ratio])*
(Table9[Normalised Income Impact Ratio]&gt;0)*
(Table9[Cost Quartiles]="2nd Quartile (25–50%)")
),
_xlpm.med,MEDIAN(_xlpm.data),
_xlpm.mad,MEDIAN(ABS(_xlpm.data-_xlpm.med)),
AVERAGE(_xlfn._xlws.FILTER(_xlpm.data,ABS(_xlpm.data-_xlpm.med)&lt;=2.5*_xlpm.mad))
)</f>
        <v>7.7653786077303236E-2</v>
      </c>
      <c r="R25" s="15">
        <f>N25-P25</f>
        <v>7</v>
      </c>
      <c r="T25" s="206" t="s">
        <v>721</v>
      </c>
      <c r="U25" s="203">
        <f t="array" ref="U25">MEDIAN(
_xlfn._xlws.FILTER(
Table9[Private Sector Investment (USD) / Project cost ],
ISNUMBER(Table9[Private Sector Investment (USD) / Project cost ])*
(Table9[Private Sector Investment (USD) / Project cost ]&gt;0)*
(Table9[Cost Quartiles]="2nd Quartile (25–50%)")
)
)</f>
        <v>0.25141106448692158</v>
      </c>
      <c r="V25" s="203">
        <f t="array" ref="V25">AVERAGE(
_xlfn._xlws.FILTER(
Table9[Private Sector Investment (USD) / Project cost ],
ISNUMBER(Table9[Private Sector Investment (USD) / Project cost ])*
(Table9[Private Sector Investment (USD) / Project cost ]&gt;0)*
(Table9[Cost Quartiles]="2nd Quartile (25–50%)")
)
)</f>
        <v>0.53604359976209248</v>
      </c>
      <c r="W25" s="15">
        <f>COUNTIFS(
Table9[Private Sector Investment (USD) / Project cost ],"&gt;0",
Table9[Cost Quartiles],"2nd Quartile (25–50%)"
)</f>
        <v>14</v>
      </c>
      <c r="X25" s="195">
        <f t="array" ref="X25">_xlfn.LET(
_xlpm.data,_xlfn._xlws.FILTER(
Table9[Private Sector Investment (USD) / Project cost ],
ISNUMBER(Table9[Private Sector Investment (USD) / Project cost ])*
(Table9[Private Sector Investment (USD) / Project cost ]&gt;0)*
(Table9[Cost Quartiles]="2nd Quartile (25–50%)")
),
_xlpm.med,MEDIAN(_xlpm.data),
_xlpm.mad,MEDIAN(ABS(_xlpm.data-_xlpm.med)),
SUMPRODUCT(--(ABS(_xlpm.data-_xlpm.med)&gt;2.5*_xlpm.mad))/COUNT(_xlpm.data)
)</f>
        <v>0.2857142857142857</v>
      </c>
      <c r="Y25" s="15">
        <f t="array" ref="Y25">_xlfn.LET(
_xlpm.data,_xlfn._xlws.FILTER(
Table9[Private Sector Investment (USD) / Project cost ],
ISNUMBER(Table9[Private Sector Investment (USD) / Project cost ])*
(Table9[Private Sector Investment (USD) / Project cost ]&gt;0)*
(Table9[Cost Quartiles]="2nd Quartile (25–50%)")
),
_xlpm.med,MEDIAN(_xlpm.data),
_xlpm.mad,MEDIAN(ABS(_xlpm.data-_xlpm.med)),
SUMPRODUCT(--(ABS(_xlpm.data-_xlpm.med)&gt;2.5*_xlpm.mad))
)</f>
        <v>4</v>
      </c>
      <c r="Z25" s="203">
        <f t="array" ref="Z25">_xlfn.LET(
_xlpm.data,_xlfn._xlws.FILTER(
Table9[Private Sector Investment (USD) / Project cost ],
ISNUMBER(Table9[Private Sector Investment (USD) / Project cost ])*
(Table9[Private Sector Investment (USD) / Project cost ]&gt;0)*
(Table9[Cost Quartiles]="2nd Quartile (25–50%)")
),
_xlpm.med,MEDIAN(_xlpm.data),
_xlpm.mad,MEDIAN(ABS(_xlpm.data-_xlpm.med)),
AVERAGE(_xlfn._xlws.FILTER(_xlpm.data,ABS(_xlpm.data-_xlpm.med)&lt;=2.5*_xlpm.mad))
)</f>
        <v>0.1833911079954508</v>
      </c>
      <c r="AA25" s="15">
        <f>W25-Y25</f>
        <v>10</v>
      </c>
      <c r="AC25" s="206" t="s">
        <v>721</v>
      </c>
      <c r="AD25" s="203">
        <f t="array" ref="AD25">MEDIAN(
_xlfn._xlws.FILTER(
Table9[Private Sector Revenues Generated (USD) / Project cost],
ISNUMBER(Table9[Private Sector Revenues Generated (USD) / Project cost])*
(Table9[Private Sector Revenues Generated (USD) / Project cost]&gt;0)*
(Table9[Cost Quartiles]="2nd Quartile (25–50%)")
)
)</f>
        <v>1.9327001256074459</v>
      </c>
      <c r="AE25" s="203">
        <f t="array" ref="AE25">AVERAGE(
_xlfn._xlws.FILTER(
Table9[Private Sector Revenues Generated (USD) / Project cost],
ISNUMBER(Table9[Private Sector Revenues Generated (USD) / Project cost])*
(Table9[Private Sector Revenues Generated (USD) / Project cost]&gt;0)*
(Table9[Cost Quartiles]="2nd Quartile (25–50%)")
)
)</f>
        <v>5.2283114745019432</v>
      </c>
      <c r="AF25" s="15">
        <f>COUNTIFS(
Table9[Private Sector Revenues Generated (USD) / Project cost],"&gt;0",
Table9[Cost Quartiles],"2nd Quartile (25–50%)"
)</f>
        <v>8</v>
      </c>
      <c r="AG25" s="195">
        <f t="array" ref="AG25">_xlfn.LET(
_xlpm.data,_xlfn._xlws.FILTER(
Table9[Private Sector Revenues Generated (USD) / Project cost],
ISNUMBER(Table9[Private Sector Revenues Generated (USD) / Project cost])*
(Table9[Private Sector Revenues Generated (USD) / Project cost]&gt;0)*
(Table9[Cost Quartiles]="2nd Quartile (25–50%)")
),
_xlpm.med,MEDIAN(_xlpm.data),
_xlpm.mad,MEDIAN(ABS(_xlpm.data-_xlpm.med)),
SUMPRODUCT(--(ABS(_xlpm.data-_xlpm.med)&gt;2.5*_xlpm.mad))/COUNT(_xlpm.data)
)</f>
        <v>0.25</v>
      </c>
      <c r="AH25" s="15">
        <f t="array" ref="AH25">_xlfn.LET(
_xlpm.data,_xlfn._xlws.FILTER(
Table9[Private Sector Revenues Generated (USD) / Project cost],
ISNUMBER(Table9[Private Sector Revenues Generated (USD) / Project cost])*
(Table9[Private Sector Revenues Generated (USD) / Project cost]&gt;0)*
(Table9[Cost Quartiles]="2nd Quartile (25–50%)")
),
_xlpm.med,MEDIAN(_xlpm.data),
_xlpm.mad,MEDIAN(ABS(_xlpm.data-_xlpm.med)),
SUMPRODUCT(--(ABS(_xlpm.data-_xlpm.med)&gt;2.5*_xlpm.mad))
)</f>
        <v>2</v>
      </c>
      <c r="AI25" s="203">
        <f t="array" ref="AI25">_xlfn.LET(
_xlpm.data,_xlfn._xlws.FILTER(
Table9[Private Sector Revenues Generated (USD) / Project cost],
ISNUMBER(Table9[Private Sector Revenues Generated (USD) / Project cost])*
(Table9[Private Sector Revenues Generated (USD) / Project cost]&gt;0)*
(Table9[Cost Quartiles]="2nd Quartile (25–50%)")
),
_xlpm.med,MEDIAN(_xlpm.data),
_xlpm.mad,MEDIAN(ABS(_xlpm.data-_xlpm.med)),
AVERAGE(_xlfn._xlws.FILTER(_xlpm.data,ABS(_xlpm.data-_xlpm.med)&lt;=2.5*_xlpm.mad))
)</f>
        <v>2.0201605716549067</v>
      </c>
      <c r="AJ25" s="15">
        <f>AF25-AH25</f>
        <v>6</v>
      </c>
      <c r="AL25" s="206" t="s">
        <v>721</v>
      </c>
      <c r="AM25" s="198">
        <f t="array" ref="AM25">MEDIAN(
_xlfn._xlws.FILTER(
Table9[Export Revenue Generated (USD) /Project Cost],
ISNUMBER(Table9[Export Revenue Generated (USD) /Project Cost])*
(Table9[Export Revenue Generated (USD) /Project Cost]&gt;0)*
(Table9[Cost Quartiles]="2nd Quartile (25–50%)")
)
)</f>
        <v>0.14420347058823529</v>
      </c>
      <c r="AN25" s="198">
        <f t="array" ref="AN25">AVERAGE(
_xlfn._xlws.FILTER(
Table9[Export Revenue Generated (USD) /Project Cost],
ISNUMBER(Table9[Export Revenue Generated (USD) /Project Cost])*
(Table9[Export Revenue Generated (USD) /Project Cost]&gt;0)*
(Table9[Cost Quartiles]="2nd Quartile (25–50%)")
)
)</f>
        <v>0.14420347058823529</v>
      </c>
      <c r="AO25" s="15">
        <f>COUNTIFS(
Table9[Export Revenue Generated (USD) /Project Cost],"&gt;0",
Table9[Cost Quartiles],"2nd Quartile (25–50%)"
)</f>
        <v>1</v>
      </c>
      <c r="AP25" s="195">
        <f t="array" ref="AP25">_xlfn.LET(
_xlpm.data,_xlfn._xlws.FILTER(
Table9[Export Revenue Generated (USD) /Project Cost],
ISNUMBER(Table9[Export Revenue Generated (USD) /Project Cost])*
(Table9[Export Revenue Generated (USD) /Project Cost]&gt;0)*
(Table9[Cost Quartiles]="2nd Quartile (25–50%)")
),
_xlpm.med,MEDIAN(_xlpm.data),
_xlpm.mad,MEDIAN(ABS(_xlpm.data-_xlpm.med)),
SUMPRODUCT(--(ABS(_xlpm.data-_xlpm.med)&gt;2.5*_xlpm.mad))/COUNT(_xlpm.data)
)</f>
        <v>0</v>
      </c>
      <c r="AQ25" s="15">
        <f t="array" ref="AQ25">_xlfn.LET(
_xlpm.data,_xlfn._xlws.FILTER(
Table9[Export Revenue Generated (USD) /Project Cost],
ISNUMBER(Table9[Export Revenue Generated (USD) /Project Cost])*
(Table9[Export Revenue Generated (USD) /Project Cost]&gt;0)*
(Table9[Cost Quartiles]="2nd Quartile (25–50%)")
),
_xlpm.med,MEDIAN(_xlpm.data),
_xlpm.mad,MEDIAN(ABS(_xlpm.data-_xlpm.med)),
SUMPRODUCT(--(ABS(_xlpm.data-_xlpm.med)&gt;2.5*_xlpm.mad))
)</f>
        <v>0</v>
      </c>
      <c r="AR25" s="203">
        <f t="array" ref="AR25">_xlfn.LET(
_xlpm.data,_xlfn._xlws.FILTER(
Table9[Export Revenue Generated (USD) /Project Cost],
ISNUMBER(Table9[Export Revenue Generated (USD) /Project Cost])*
(Table9[Export Revenue Generated (USD) /Project Cost]&gt;0)*
(Table9[Cost Quartiles]="2nd Quartile (25–50%)")
),
_xlpm.med,MEDIAN(_xlpm.data),
_xlpm.mad,MEDIAN(ABS(_xlpm.data-_xlpm.med)),
AVERAGE(_xlfn._xlws.FILTER(_xlpm.data,ABS(_xlpm.data-_xlpm.med)&lt;=2.5*_xlpm.mad))
)</f>
        <v>0.14420347058823529</v>
      </c>
      <c r="AS25" s="15">
        <f>AO25-AQ25</f>
        <v>1</v>
      </c>
      <c r="AU25" s="206" t="s">
        <v>721</v>
      </c>
      <c r="AV25" s="202">
        <f t="array" ref="AV25">MEDIAN(
_xlfn._xlws.FILTER(
Table9[Job created per $Mn],
ISNUMBER(Table9[Job created per $Mn])*
(Table9[Job created per $Mn]&gt;0)*
(Table9[Cost Quartiles]="2nd Quartile (25–50%)")
)
)</f>
        <v>213.86744540375824</v>
      </c>
      <c r="AW25" s="202">
        <f t="array" ref="AW25">AVERAGE(
_xlfn._xlws.FILTER(
Table9[Job created per $Mn],
ISNUMBER(Table9[Job created per $Mn])*
(Table9[Job created per $Mn]&gt;0)*
(Table9[Cost Quartiles]="2nd Quartile (25–50%)")
)
)</f>
        <v>734.85645786487953</v>
      </c>
      <c r="AX25" s="15">
        <f>COUNTIFS(
Table9[Job created per $Mn],"&gt;0",
Table9[Cost Quartiles],"2nd Quartile (25–50%)"
)</f>
        <v>10</v>
      </c>
      <c r="AY25" s="195">
        <f t="array" ref="AY25">_xlfn.LET(
_xlpm.data,
_xlfn._xlws.FILTER(
Table9[Job created per $Mn],
ISNUMBER(Table9[Job created per $Mn])*
(Table9[Job created per $Mn]&gt;0)*
(Table9[Cost Quartiles]="2nd Quartile (25–50%)")
),
_xlpm.med,
MEDIAN(_xlpm.data),
_xlpm.mad,
MEDIAN(ABS(_xlpm.data-_xlpm.med)),
SUMPRODUCT(--(ABS(_xlpm.data-_xlpm.med)&gt;2.5*_xlpm.mad))/COUNT(_xlpm.data)
)</f>
        <v>0.2</v>
      </c>
      <c r="AZ25" s="15">
        <f t="array" ref="AZ25">_xlfn.LET(
_xlpm.data,
_xlfn._xlws.FILTER(
Table9[Job created per $Mn],
ISNUMBER(Table9[Job created per $Mn])*
(Table9[Job created per $Mn]&gt;0)*
(Table9[Cost Quartiles]="2nd Quartile (25–50%)")
),
_xlpm.med,
MEDIAN(_xlpm.data),
_xlpm.mad,
MEDIAN(ABS(_xlpm.data-_xlpm.med)),
SUMPRODUCT(--(ABS(_xlpm.data-_xlpm.med)&gt;2.5*_xlpm.mad))
)</f>
        <v>2</v>
      </c>
      <c r="BA25" s="202">
        <f t="array" ref="BA25">_xlfn.LET(
_xlpm.data,
_xlfn._xlws.FILTER(
Table9[Job created per $Mn],
ISNUMBER(Table9[Job created per $Mn])*
(Table9[Job created per $Mn]&gt;0)*
(Table9[Cost Quartiles]="2nd Quartile (25–50%)")
),
_xlpm.med,
MEDIAN(_xlpm.data),
_xlpm.mad,
MEDIAN(ABS(_xlpm.data-_xlpm.med)),
AVERAGE(
_xlfn._xlws.FILTER(
_xlpm.data,
ABS(_xlpm.data-_xlpm.med)&lt;=2.5*_xlpm.mad
)
)
)</f>
        <v>220.9140982994187</v>
      </c>
      <c r="BB25" s="15">
        <f>AX25-AZ25</f>
        <v>8</v>
      </c>
      <c r="BD25" s="206" t="s">
        <v>721</v>
      </c>
      <c r="BE25" s="202">
        <f t="array" ref="BE25">MEDIAN(
_xlfn._xlws.FILTER(
Table9[Job improved per $Mn],
ISNUMBER(Table9[Job improved per $Mn])*
(Table9[Job improved per $Mn]&gt;0)*
(Table9[Cost Quartiles]="2nd Quartile (25–50%)")
)
)</f>
        <v>2582.7247616241302</v>
      </c>
      <c r="BF25" s="202">
        <f t="array" ref="BF25">AVERAGE(
_xlfn._xlws.FILTER(
Table9[Job improved per $Mn],
ISNUMBER(Table9[Job improved per $Mn])*
(Table9[Job improved per $Mn]&gt;0)*
(Table9[Cost Quartiles]="2nd Quartile (25–50%)")
)
)</f>
        <v>4440.82437732985</v>
      </c>
      <c r="BG25" s="15">
        <f>COUNTIFS(
Table9[Job improved per $Mn],"&gt;0",
Table9[Cost Quartiles],"2nd Quartile (25–50%)"
)</f>
        <v>16</v>
      </c>
      <c r="BH25" s="195">
        <f t="array" ref="BH25">_xlfn.LET(
_xlpm.data,
_xlfn._xlws.FILTER(
Table9[Job improved per $Mn],
ISNUMBER(Table9[Job improved per $Mn])*
(Table9[Job improved per $Mn]&gt;0)*
(Table9[Cost Quartiles]="2nd Quartile (25–50%)")
),
_xlpm.med,
MEDIAN(_xlpm.data),
_xlpm.mad,
MEDIAN(ABS(_xlpm.data-_xlpm.med)),
SUMPRODUCT(--(ABS(_xlpm.data-_xlpm.med)&gt;2.5*_xlpm.mad))/COUNT(_xlpm.data)
)</f>
        <v>0.125</v>
      </c>
      <c r="BI25" s="15">
        <f t="array" ref="BI25">_xlfn.LET(
_xlpm.data,
_xlfn._xlws.FILTER(
Table9[Job improved per $Mn],
ISNUMBER(Table9[Job improved per $Mn])*
(Table9[Job improved per $Mn]&gt;0)*
(Table9[Cost Quartiles]="2nd Quartile (25–50%)")
),
_xlpm.med,
MEDIAN(_xlpm.data),
_xlpm.mad,
MEDIAN(ABS(_xlpm.data-_xlpm.med)),
SUMPRODUCT(--(ABS(_xlpm.data-_xlpm.med)&gt;2.5*_xlpm.mad))
)</f>
        <v>2</v>
      </c>
      <c r="BJ25" s="202">
        <f t="array" ref="BJ25">_xlfn.LET(
_xlpm.data,
_xlfn._xlws.FILTER(
Table9[Job improved per $Mn],
ISNUMBER(Table9[Job improved per $Mn])*
(Table9[Job improved per $Mn]&gt;0)*
(Table9[Cost Quartiles]="2nd Quartile (25–50%)")
),
_xlpm.med,
MEDIAN(_xlpm.data),
_xlpm.mad,
MEDIAN(ABS(_xlpm.data-_xlpm.med)),
AVERAGE(
_xlfn._xlws.FILTER(
_xlpm.data,
ABS(_xlpm.data-_xlpm.med)&lt;=2.5*_xlpm.mad
)
)
)</f>
        <v>2678.4291375876105</v>
      </c>
      <c r="BK25" s="15">
        <f>BG25-BI25</f>
        <v>14</v>
      </c>
      <c r="BM25" s="206" t="s">
        <v>721</v>
      </c>
      <c r="BN25" s="203">
        <f t="array" ref="BN25">MEDIAN(
_xlfn._xlws.FILTER(
Table9[Beneficiary Income (USD) / Project Cost],
ISNUMBER(Table9[Beneficiary Income (USD) / Project Cost])*
(Table9[Beneficiary Income (USD) / Project Cost]&gt;0)*
(Table9[Cost Quartiles]="2nd Quartile (25–50%)")
)
)</f>
        <v>0.74586469244285469</v>
      </c>
      <c r="BO25" s="203">
        <f t="array" ref="BO25">AVERAGE(
_xlfn._xlws.FILTER(
Table9[Beneficiary Income (USD) / Project Cost],
ISNUMBER(Table9[Beneficiary Income (USD) / Project Cost])*
(Table9[Beneficiary Income (USD) / Project Cost]&gt;0)*
(Table9[Cost Quartiles]="2nd Quartile (25–50%)")
)
)</f>
        <v>0.95032193379998353</v>
      </c>
      <c r="BP25" s="15">
        <f>COUNTIFS(
Table9[Beneficiary Income (USD) / Project Cost],"&gt;0",
Table9[Cost Quartiles],"2nd Quartile (25–50%)"
)</f>
        <v>8</v>
      </c>
      <c r="BQ25" s="195">
        <f t="array" ref="BQ25">_xlfn.LET(
_xlpm.data,
_xlfn._xlws.FILTER(
Table9[Beneficiary Income (USD) / Project Cost],
ISNUMBER(Table9[Beneficiary Income (USD) / Project Cost])*
(Table9[Beneficiary Income (USD) / Project Cost]&gt;0)*
(Table9[Cost Quartiles]="2nd Quartile (25–50%)")
),
_xlpm.med,
MEDIAN(_xlpm.data),
_xlpm.mad,
MEDIAN(ABS(_xlpm.data-_xlpm.med)),
SUMPRODUCT(--(ABS(_xlpm.data-_xlpm.med)&gt;2.5*_xlpm.mad))/COUNT(_xlpm.data)
)</f>
        <v>0</v>
      </c>
      <c r="BR25" s="15">
        <f t="array" ref="BR25">_xlfn.LET(
_xlpm.data,
_xlfn._xlws.FILTER(
Table9[Beneficiary Income (USD) / Project Cost],
ISNUMBER(Table9[Beneficiary Income (USD) / Project Cost])*
(Table9[Beneficiary Income (USD) / Project Cost]&gt;0)*
(Table9[Cost Quartiles]="2nd Quartile (25–50%)")
),
_xlpm.med,
MEDIAN(_xlpm.data),
_xlpm.mad,
MEDIAN(ABS(_xlpm.data-_xlpm.med)),
SUMPRODUCT(--(ABS(_xlpm.data-_xlpm.med)&gt;2.5*_xlpm.mad))
)</f>
        <v>0</v>
      </c>
      <c r="BS25" s="203">
        <f t="array" ref="BS25">_xlfn.LET(
_xlpm.data,
_xlfn._xlws.FILTER(
Table9[Beneficiary Income (USD) / Project Cost],
ISNUMBER(Table9[Beneficiary Income (USD) / Project Cost])*
(Table9[Beneficiary Income (USD) / Project Cost]&gt;0)*
(Table9[Cost Quartiles]="2nd Quartile (25–50%)")
),
_xlpm.med,
MEDIAN(_xlpm.data),
_xlpm.mad,
MEDIAN(ABS(_xlpm.data-_xlpm.med)),
AVERAGE(
_xlfn._xlws.FILTER(
_xlpm.data,
ABS(_xlpm.data-_xlpm.med)&lt;=2.5*_xlpm.mad
)
)
)</f>
        <v>0.95032193379998353</v>
      </c>
      <c r="BT25" s="15">
        <f>BP25-BR25</f>
        <v>8</v>
      </c>
    </row>
    <row r="26" spans="2:72" x14ac:dyDescent="0.25">
      <c r="B26" s="206" t="s">
        <v>722</v>
      </c>
      <c r="C26" s="202">
        <f t="array" ref="C26">MEDIAN(_xlfn._xlws.FILTER(Table9[Income per beneficiary (USD)],(Table9[Income per beneficiary (USD)]&gt;0)*(Table9[Cost Quartiles]="3rd Quartile (50–75%)")))</f>
        <v>350.35714285714278</v>
      </c>
      <c r="D26" s="202">
        <f t="array" ref="D26">AVERAGE(_xlfn._xlws.FILTER(Table9[Income per beneficiary (USD)],(Table9[Income per beneficiary (USD)]&gt;0)*(Table9[Cost Quartiles]="3rd Quartile (50–75%)")))</f>
        <v>400.82154224953797</v>
      </c>
      <c r="E26" s="15">
        <f>COUNTIFS(Table9[Income per beneficiary (USD)],"&gt;0",Table9[Cost Quartiles],"3rd Quartile (50–75%)")</f>
        <v>9</v>
      </c>
      <c r="F26" s="195">
        <f t="array" ref="F26">_xlfn.LET(
_xlpm.data,_xlfn._xlws.FILTER(
Table9[Income per beneficiary (USD)],
(Table9[Income per beneficiary (USD)]&gt;0)*
(Table9[Cost Quartiles]="3rd Quartile (50–75%)")
),
_xlpm.med,MEDIAN(_xlpm.data),
_xlpm.mad,MEDIAN(ABS(_xlpm.data-_xlpm.med)),
SUMPRODUCT(--(ABS(_xlpm.data-_xlpm.med)&gt;2.5*_xlpm.mad))/COUNT(_xlpm.data)
)</f>
        <v>0</v>
      </c>
      <c r="G26" s="204">
        <f t="array" ref="G26">_xlfn.LET(
_xlpm.data,_xlfn._xlws.FILTER(
Table9[Income per beneficiary (USD)],
(Table9[Income per beneficiary (USD)]&gt;0)*
(Table9[Cost Quartiles]="3rd Quartile (50–75%)")
),
_xlpm.med,MEDIAN(_xlpm.data),
_xlpm.mad,MEDIAN(ABS(_xlpm.data-_xlpm.med)),
SUMPRODUCT(--(ABS(_xlpm.data-_xlpm.med)&gt;2.5*_xlpm.mad))
)</f>
        <v>0</v>
      </c>
      <c r="H26" s="202">
        <f t="array" ref="H26">_xlfn.LET(
_xlpm.data,_xlfn._xlws.FILTER(
Table9[Income per beneficiary (USD)],
(Table9[Income per beneficiary (USD)]&gt;0)*
(Table9[Cost Quartiles]="3rd Quartile (50–75%)")
),
_xlpm.med,MEDIAN(_xlpm.data),
_xlpm.mad,MEDIAN(ABS(_xlpm.data-_xlpm.med)),
AVERAGE(_xlfn._xlws.FILTER(_xlpm.data,ABS(_xlpm.data-_xlpm.med)&lt;=2.5*_xlpm.mad))
)</f>
        <v>400.82154224953797</v>
      </c>
      <c r="I26" s="202">
        <f>E26-G26</f>
        <v>9</v>
      </c>
      <c r="J26" s="130"/>
      <c r="K26" s="206" t="s">
        <v>722</v>
      </c>
      <c r="L26" s="203">
        <f t="array" ref="L26">MEDIAN(
_xlfn._xlws.FILTER(
Table9[Normalised Income Impact Ratio],
ISNUMBER(Table9[Normalised Income Impact Ratio])*
(Table9[Normalised Income Impact Ratio]&gt;0)*
(Table9[Cost Quartiles]="3rd Quartile (50–75%)")
)
)</f>
        <v>8.0657894736842109E-2</v>
      </c>
      <c r="M26" s="203">
        <f t="array" ref="M26">AVERAGE(
_xlfn._xlws.FILTER(
Table9[Normalised Income Impact Ratio],
ISNUMBER(Table9[Normalised Income Impact Ratio])*
(Table9[Normalised Income Impact Ratio]&gt;0)*
(Table9[Cost Quartiles]="3rd Quartile (50–75%)")
)
)</f>
        <v>0.13839658224684612</v>
      </c>
      <c r="N26" s="15">
        <f>COUNTIFS(
Table9[Normalised Income Impact Ratio],"&gt;0",
Table9[Cost Quartiles],"3rd Quartile (50–75%)"
)</f>
        <v>9</v>
      </c>
      <c r="O26" s="195">
        <f t="array" ref="O26">_xlfn.LET(
_xlpm.data,_xlfn._xlws.FILTER(
Table9[Normalised Income Impact Ratio],
ISNUMBER(Table9[Normalised Income Impact Ratio])*
(Table9[Normalised Income Impact Ratio]&gt;0)*
(Table9[Cost Quartiles]="3rd Quartile (50–75%)")
),
_xlpm.med,MEDIAN(_xlpm.data),
_xlpm.mad,MEDIAN(ABS(_xlpm.data-_xlpm.med)),
SUMPRODUCT(--(ABS(_xlpm.data-_xlpm.med)&gt;2.5*_xlpm.mad))/COUNT(_xlpm.data)
)</f>
        <v>0.22222222222222221</v>
      </c>
      <c r="P26" s="15">
        <f t="array" ref="P26">_xlfn.LET(
_xlpm.data,_xlfn._xlws.FILTER(
Table9[Normalised Income Impact Ratio],
ISNUMBER(Table9[Normalised Income Impact Ratio])*
(Table9[Normalised Income Impact Ratio]&gt;0)*
(Table9[Cost Quartiles]="3rd Quartile (50–75%)")
),
_xlpm.med,MEDIAN(_xlpm.data),
_xlpm.mad,MEDIAN(ABS(_xlpm.data-_xlpm.med)),
SUMPRODUCT(--(ABS(_xlpm.data-_xlpm.med)&gt;2.5*_xlpm.mad))
)</f>
        <v>2</v>
      </c>
      <c r="Q26" s="203">
        <f t="array" ref="Q26">_xlfn.LET(
_xlpm.data,_xlfn._xlws.FILTER(
Table9[Normalised Income Impact Ratio],
ISNUMBER(Table9[Normalised Income Impact Ratio])*
(Table9[Normalised Income Impact Ratio]&gt;0)*
(Table9[Cost Quartiles]="3rd Quartile (50–75%)")
),
_xlpm.med,MEDIAN(_xlpm.data),
_xlpm.mad,MEDIAN(ABS(_xlpm.data-_xlpm.med)),
AVERAGE(_xlfn._xlws.FILTER(_xlpm.data,ABS(_xlpm.data-_xlpm.med)&lt;=2.5*_xlpm.mad))
)</f>
        <v>6.1591796770617366E-2</v>
      </c>
      <c r="R26" s="15">
        <f>N26-P26</f>
        <v>7</v>
      </c>
      <c r="T26" s="206" t="s">
        <v>722</v>
      </c>
      <c r="U26" s="203">
        <f t="array" ref="U26">MEDIAN(
_xlfn._xlws.FILTER(
Table9[Private Sector Investment (USD) / Project cost ],
ISNUMBER(Table9[Private Sector Investment (USD) / Project cost ])*
(Table9[Private Sector Investment (USD) / Project cost ]&gt;0)*
(Table9[Cost Quartiles]="3rd Quartile (50–75%)")
)
)</f>
        <v>0.68600237051805535</v>
      </c>
      <c r="V26" s="203">
        <f t="array" ref="V26">AVERAGE(
_xlfn._xlws.FILTER(
Table9[Private Sector Investment (USD) / Project cost ],
ISNUMBER(Table9[Private Sector Investment (USD) / Project cost ])*
(Table9[Private Sector Investment (USD) / Project cost ]&gt;0)*
(Table9[Cost Quartiles]="3rd Quartile (50–75%)")
)
)</f>
        <v>2.6688375960842032</v>
      </c>
      <c r="W26" s="15">
        <f>COUNTIFS(
Table9[Private Sector Investment (USD) / Project cost ],"&gt;0",
Table9[Cost Quartiles],"3rd Quartile (50–75%)"
)</f>
        <v>18</v>
      </c>
      <c r="X26" s="195">
        <f t="array" ref="X26">_xlfn.LET(
_xlpm.data,_xlfn._xlws.FILTER(
Table9[Private Sector Investment (USD) / Project cost ],
ISNUMBER(Table9[Private Sector Investment (USD) / Project cost ])*
(Table9[Private Sector Investment (USD) / Project cost ]&gt;0)*
(Table9[Cost Quartiles]="3rd Quartile (50–75%)")
),
_xlpm.med,MEDIAN(_xlpm.data),
_xlpm.mad,MEDIAN(ABS(_xlpm.data-_xlpm.med)),
SUMPRODUCT(--(ABS(_xlpm.data-_xlpm.med)&gt;2.5*_xlpm.mad))/COUNT(_xlpm.data)
)</f>
        <v>0.22222222222222221</v>
      </c>
      <c r="Y26" s="15">
        <f t="array" ref="Y26">_xlfn.LET(
_xlpm.data,_xlfn._xlws.FILTER(
Table9[Private Sector Investment (USD) / Project cost ],
ISNUMBER(Table9[Private Sector Investment (USD) / Project cost ])*
(Table9[Private Sector Investment (USD) / Project cost ]&gt;0)*
(Table9[Cost Quartiles]="3rd Quartile (50–75%)")
),
_xlpm.med,MEDIAN(_xlpm.data),
_xlpm.mad,MEDIAN(ABS(_xlpm.data-_xlpm.med)),
SUMPRODUCT(--(ABS(_xlpm.data-_xlpm.med)&gt;2.5*_xlpm.mad))
)</f>
        <v>4</v>
      </c>
      <c r="Z26" s="203">
        <f t="array" ref="Z26">_xlfn.LET(
_xlpm.data,_xlfn._xlws.FILTER(
Table9[Private Sector Investment (USD) / Project cost ],
ISNUMBER(Table9[Private Sector Investment (USD) / Project cost ])*
(Table9[Private Sector Investment (USD) / Project cost ]&gt;0)*
(Table9[Cost Quartiles]="3rd Quartile (50–75%)")
),
_xlpm.med,MEDIAN(_xlpm.data),
_xlpm.mad,MEDIAN(ABS(_xlpm.data-_xlpm.med)),
AVERAGE(_xlfn._xlws.FILTER(_xlpm.data,ABS(_xlpm.data-_xlpm.med)&lt;=2.5*_xlpm.mad))
)</f>
        <v>0.60690639557495552</v>
      </c>
      <c r="AA26" s="15">
        <f>W26-Y26</f>
        <v>14</v>
      </c>
      <c r="AC26" s="206" t="s">
        <v>722</v>
      </c>
      <c r="AD26" s="203">
        <f t="array" ref="AD26">MEDIAN(
_xlfn._xlws.FILTER(
Table9[Private Sector Revenues Generated (USD) / Project cost],
ISNUMBER(Table9[Private Sector Revenues Generated (USD) / Project cost])*
(Table9[Private Sector Revenues Generated (USD) / Project cost]&gt;0)*
(Table9[Cost Quartiles]="3rd Quartile (50–75%)")
)
)</f>
        <v>0.82296650717703346</v>
      </c>
      <c r="AE26" s="203">
        <f t="array" ref="AE26">AVERAGE(
_xlfn._xlws.FILTER(
Table9[Private Sector Revenues Generated (USD) / Project cost],
ISNUMBER(Table9[Private Sector Revenues Generated (USD) / Project cost])*
(Table9[Private Sector Revenues Generated (USD) / Project cost]&gt;0)*
(Table9[Cost Quartiles]="3rd Quartile (50–75%)")
)
)</f>
        <v>3.894956753599037</v>
      </c>
      <c r="AF26" s="15">
        <f>COUNTIFS(
Table9[Private Sector Revenues Generated (USD) / Project cost],"&gt;0",
Table9[Cost Quartiles],"3rd Quartile (50–75%)"
)</f>
        <v>15</v>
      </c>
      <c r="AG26" s="195">
        <f t="array" ref="AG26">_xlfn.LET(
_xlpm.data,_xlfn._xlws.FILTER(
Table9[Private Sector Revenues Generated (USD) / Project cost],
ISNUMBER(Table9[Private Sector Revenues Generated (USD) / Project cost])*
(Table9[Private Sector Revenues Generated (USD) / Project cost]&gt;0)*
(Table9[Cost Quartiles]="3rd Quartile (50–75%)")
),
_xlpm.med,MEDIAN(_xlpm.data),
_xlpm.mad,MEDIAN(ABS(_xlpm.data-_xlpm.med)),
SUMPRODUCT(--(ABS(_xlpm.data-_xlpm.med)&gt;2.5*_xlpm.mad))/COUNT(_xlpm.data)
)</f>
        <v>0.26666666666666666</v>
      </c>
      <c r="AH26" s="15">
        <f t="array" ref="AH26">_xlfn.LET(
_xlpm.data,_xlfn._xlws.FILTER(
Table9[Private Sector Revenues Generated (USD) / Project cost],
ISNUMBER(Table9[Private Sector Revenues Generated (USD) / Project cost])*
(Table9[Private Sector Revenues Generated (USD) / Project cost]&gt;0)*
(Table9[Cost Quartiles]="3rd Quartile (50–75%)")
),
_xlpm.med,MEDIAN(_xlpm.data),
_xlpm.mad,MEDIAN(ABS(_xlpm.data-_xlpm.med)),
SUMPRODUCT(--(ABS(_xlpm.data-_xlpm.med)&gt;2.5*_xlpm.mad))
)</f>
        <v>4</v>
      </c>
      <c r="AI26" s="203">
        <f t="array" ref="AI26">_xlfn.LET(
_xlpm.data,_xlfn._xlws.FILTER(
Table9[Private Sector Revenues Generated (USD) / Project cost],
ISNUMBER(Table9[Private Sector Revenues Generated (USD) / Project cost])*
(Table9[Private Sector Revenues Generated (USD) / Project cost]&gt;0)*
(Table9[Cost Quartiles]="3rd Quartile (50–75%)")
),
_xlpm.med,MEDIAN(_xlpm.data),
_xlpm.mad,MEDIAN(ABS(_xlpm.data-_xlpm.med)),
AVERAGE(_xlfn._xlws.FILTER(_xlpm.data,ABS(_xlpm.data-_xlpm.med)&lt;=2.5*_xlpm.mad))
)</f>
        <v>0.75290243002258994</v>
      </c>
      <c r="AJ26" s="15">
        <f>AF26-AH26</f>
        <v>11</v>
      </c>
      <c r="AL26" s="206" t="s">
        <v>722</v>
      </c>
      <c r="AM26" s="198">
        <f t="array" ref="AM26">MEDIAN(
_xlfn._xlws.FILTER(
Table9[Export Revenue Generated (USD) /Project Cost],
ISNUMBER(Table9[Export Revenue Generated (USD) /Project Cost])*
(Table9[Export Revenue Generated (USD) /Project Cost]&gt;0)*
(Table9[Cost Quartiles]="3rd Quartile (50–75%)")
)
)</f>
        <v>1.340712426989807</v>
      </c>
      <c r="AN26" s="198">
        <f t="array" ref="AN26">AVERAGE(
_xlfn._xlws.FILTER(
Table9[Export Revenue Generated (USD) /Project Cost],
ISNUMBER(Table9[Export Revenue Generated (USD) /Project Cost])*
(Table9[Export Revenue Generated (USD) /Project Cost]&gt;0)*
(Table9[Cost Quartiles]="3rd Quartile (50–75%)")
)
)</f>
        <v>16.337842033758122</v>
      </c>
      <c r="AO26" s="15">
        <f>COUNTIFS(
Table9[Export Revenue Generated (USD) /Project Cost],"&gt;0",
Table9[Cost Quartiles],"3rd Quartile (50–75%)"
)</f>
        <v>6</v>
      </c>
      <c r="AP26" s="195">
        <f t="array" ref="AP26">_xlfn.LET(
_xlpm.data,_xlfn._xlws.FILTER(
Table9[Export Revenue Generated (USD) /Project Cost],
ISNUMBER(Table9[Export Revenue Generated (USD) /Project Cost])*
(Table9[Export Revenue Generated (USD) /Project Cost]&gt;0)*
(Table9[Cost Quartiles]="3rd Quartile (50–75%)")
),
_xlpm.med,MEDIAN(_xlpm.data),
_xlpm.mad,MEDIAN(ABS(_xlpm.data-_xlpm.med)),
SUMPRODUCT(--(ABS(_xlpm.data-_xlpm.med)&gt;2.5*_xlpm.mad))/COUNT(_xlpm.data)
)</f>
        <v>0.33333333333333331</v>
      </c>
      <c r="AQ26" s="15">
        <f t="array" ref="AQ26">_xlfn.LET(
_xlpm.data,_xlfn._xlws.FILTER(
Table9[Export Revenue Generated (USD) /Project Cost],
ISNUMBER(Table9[Export Revenue Generated (USD) /Project Cost])*
(Table9[Export Revenue Generated (USD) /Project Cost]&gt;0)*
(Table9[Cost Quartiles]="3rd Quartile (50–75%)")
),
_xlpm.med,MEDIAN(_xlpm.data),
_xlpm.mad,MEDIAN(ABS(_xlpm.data-_xlpm.med)),
SUMPRODUCT(--(ABS(_xlpm.data-_xlpm.med)&gt;2.5*_xlpm.mad))
)</f>
        <v>2</v>
      </c>
      <c r="AR26" s="203">
        <f t="array" ref="AR26">_xlfn.LET(
_xlpm.data,_xlfn._xlws.FILTER(
Table9[Export Revenue Generated (USD) /Project Cost],
ISNUMBER(Table9[Export Revenue Generated (USD) /Project Cost])*
(Table9[Export Revenue Generated (USD) /Project Cost]&gt;0)*
(Table9[Cost Quartiles]="3rd Quartile (50–75%)")
),
_xlpm.med,MEDIAN(_xlpm.data),
_xlpm.mad,MEDIAN(ABS(_xlpm.data-_xlpm.med)),
AVERAGE(_xlfn._xlws.FILTER(_xlpm.data,ABS(_xlpm.data-_xlpm.med)&lt;=2.5*_xlpm.mad))
)</f>
        <v>0.69925959883979449</v>
      </c>
      <c r="AS26" s="15">
        <f>AO26-AQ26</f>
        <v>4</v>
      </c>
      <c r="AU26" s="206" t="s">
        <v>722</v>
      </c>
      <c r="AV26" s="202">
        <f t="array" ref="AV26">MEDIAN(
_xlfn._xlws.FILTER(
Table9[Job created per $Mn],
ISNUMBER(Table9[Job created per $Mn])*
(Table9[Job created per $Mn]&gt;0)*
(Table9[Cost Quartiles]="3rd Quartile (50–75%)")
)
)</f>
        <v>466.26765135529945</v>
      </c>
      <c r="AW26" s="202">
        <f t="array" ref="AW26">AVERAGE(
_xlfn._xlws.FILTER(
Table9[Job created per $Mn],
ISNUMBER(Table9[Job created per $Mn])*
(Table9[Job created per $Mn]&gt;0)*
(Table9[Cost Quartiles]="3rd Quartile (50–75%)")
)
)</f>
        <v>1543.3222395381026</v>
      </c>
      <c r="AX26" s="15">
        <f>COUNTIFS(
Table9[Job created per $Mn],"&gt;0",
Table9[Cost Quartiles],"3rd Quartile (50–75%)"
)</f>
        <v>12</v>
      </c>
      <c r="AY26" s="195">
        <f t="array" ref="AY26">_xlfn.LET(
_xlpm.data,
_xlfn._xlws.FILTER(
Table9[Job created per $Mn],
ISNUMBER(Table9[Job created per $Mn])*
(Table9[Job created per $Mn]&gt;0)*
(Table9[Cost Quartiles]="3rd Quartile (50–75%)")
),
_xlpm.med,
MEDIAN(_xlpm.data),
_xlpm.mad,
MEDIAN(ABS(_xlpm.data-_xlpm.med)),
SUMPRODUCT(--(ABS(_xlpm.data-_xlpm.med)&gt;2.5*_xlpm.mad))/COUNT(_xlpm.data)
)</f>
        <v>0.25</v>
      </c>
      <c r="AZ26" s="15">
        <f t="array" ref="AZ26">_xlfn.LET(
_xlpm.data,
_xlfn._xlws.FILTER(
Table9[Job created per $Mn],
ISNUMBER(Table9[Job created per $Mn])*
(Table9[Job created per $Mn]&gt;0)*
(Table9[Cost Quartiles]="3rd Quartile (50–75%)")
),
_xlpm.med,
MEDIAN(_xlpm.data),
_xlpm.mad,
MEDIAN(ABS(_xlpm.data-_xlpm.med)),
SUMPRODUCT(--(ABS(_xlpm.data-_xlpm.med)&gt;2.5*_xlpm.mad))
)</f>
        <v>3</v>
      </c>
      <c r="BA26" s="202">
        <f t="array" ref="BA26">_xlfn.LET(
_xlpm.data,
_xlfn._xlws.FILTER(
Table9[Job created per $Mn],
ISNUMBER(Table9[Job created per $Mn])*
(Table9[Job created per $Mn]&gt;0)*
(Table9[Cost Quartiles]="3rd Quartile (50–75%)")
),
_xlpm.med,
MEDIAN(_xlpm.data),
_xlpm.mad,
MEDIAN(ABS(_xlpm.data-_xlpm.med)),
AVERAGE(
_xlfn._xlws.FILTER(
_xlpm.data,
ABS(_xlpm.data-_xlpm.med)&lt;=2.5*_xlpm.mad
)
)
)</f>
        <v>378.70915549932164</v>
      </c>
      <c r="BB26" s="15">
        <f>AX26-AZ26</f>
        <v>9</v>
      </c>
      <c r="BD26" s="206" t="s">
        <v>722</v>
      </c>
      <c r="BE26" s="202">
        <f t="array" ref="BE26">MEDIAN(
_xlfn._xlws.FILTER(
Table9[Job improved per $Mn],
ISNUMBER(Table9[Job improved per $Mn])*
(Table9[Job improved per $Mn]&gt;0)*
(Table9[Cost Quartiles]="3rd Quartile (50–75%)")
)
)</f>
        <v>1781.818181818182</v>
      </c>
      <c r="BF26" s="202">
        <f t="array" ref="BF26">AVERAGE(
_xlfn._xlws.FILTER(
Table9[Job improved per $Mn],
ISNUMBER(Table9[Job improved per $Mn])*
(Table9[Job improved per $Mn]&gt;0)*
(Table9[Cost Quartiles]="3rd Quartile (50–75%)")
)
)</f>
        <v>5896.192560564431</v>
      </c>
      <c r="BG26" s="15">
        <f>COUNTIFS(
Table9[Job improved per $Mn],"&gt;0",
Table9[Cost Quartiles],"3rd Quartile (50–75%)"
)</f>
        <v>15</v>
      </c>
      <c r="BH26" s="195">
        <f t="array" ref="BH26">_xlfn.LET(
_xlpm.data,
_xlfn._xlws.FILTER(
Table9[Job improved per $Mn],
ISNUMBER(Table9[Job improved per $Mn])*
(Table9[Job improved per $Mn]&gt;0)*
(Table9[Cost Quartiles]="3rd Quartile (50–75%)")
),
_xlpm.med,
MEDIAN(_xlpm.data),
_xlpm.mad,
MEDIAN(ABS(_xlpm.data-_xlpm.med)),
SUMPRODUCT(--(ABS(_xlpm.data-_xlpm.med)&gt;2.5*_xlpm.mad))/COUNT(_xlpm.data)
)</f>
        <v>0.4</v>
      </c>
      <c r="BI26" s="15">
        <f t="array" ref="BI26">_xlfn.LET(
_xlpm.data,
_xlfn._xlws.FILTER(
Table9[Job improved per $Mn],
ISNUMBER(Table9[Job improved per $Mn])*
(Table9[Job improved per $Mn]&gt;0)*
(Table9[Cost Quartiles]="3rd Quartile (50–75%)")
),
_xlpm.med,
MEDIAN(_xlpm.data),
_xlpm.mad,
MEDIAN(ABS(_xlpm.data-_xlpm.med)),
SUMPRODUCT(--(ABS(_xlpm.data-_xlpm.med)&gt;2.5*_xlpm.mad))
)</f>
        <v>6</v>
      </c>
      <c r="BJ26" s="202">
        <f t="array" ref="BJ26">_xlfn.LET(
_xlpm.data,
_xlfn._xlws.FILTER(
Table9[Job improved per $Mn],
ISNUMBER(Table9[Job improved per $Mn])*
(Table9[Job improved per $Mn]&gt;0)*
(Table9[Cost Quartiles]="3rd Quartile (50–75%)")
),
_xlpm.med,
MEDIAN(_xlpm.data),
_xlpm.mad,
MEDIAN(ABS(_xlpm.data-_xlpm.med)),
AVERAGE(
_xlfn._xlws.FILTER(
_xlpm.data,
ABS(_xlpm.data-_xlpm.med)&lt;=2.5*_xlpm.mad
)
)
)</f>
        <v>984.61092739725973</v>
      </c>
      <c r="BK26" s="15">
        <f>BG26-BI26</f>
        <v>9</v>
      </c>
      <c r="BM26" s="206" t="s">
        <v>722</v>
      </c>
      <c r="BN26" s="203">
        <f t="array" ref="BN26">MEDIAN(
_xlfn._xlws.FILTER(
Table9[Beneficiary Income (USD) / Project Cost],
ISNUMBER(Table9[Beneficiary Income (USD) / Project Cost])*
(Table9[Beneficiary Income (USD) / Project Cost]&gt;0)*
(Table9[Cost Quartiles]="3rd Quartile (50–75%)")
)
)</f>
        <v>1.832535885167464</v>
      </c>
      <c r="BO26" s="203">
        <f t="array" ref="BO26">AVERAGE(
_xlfn._xlws.FILTER(
Table9[Beneficiary Income (USD) / Project Cost],
ISNUMBER(Table9[Beneficiary Income (USD) / Project Cost])*
(Table9[Beneficiary Income (USD) / Project Cost]&gt;0)*
(Table9[Cost Quartiles]="3rd Quartile (50–75%)")
)
)</f>
        <v>2.0106219542089301</v>
      </c>
      <c r="BP26" s="15">
        <f>COUNTIFS(
Table9[Beneficiary Income (USD) / Project Cost],"&gt;0",
Table9[Cost Quartiles],"3rd Quartile (50–75%)"
)</f>
        <v>9</v>
      </c>
      <c r="BQ26" s="195">
        <f t="array" ref="BQ26">_xlfn.LET(
_xlpm.data,
_xlfn._xlws.FILTER(
Table9[Beneficiary Income (USD) / Project Cost],
ISNUMBER(Table9[Beneficiary Income (USD) / Project Cost])*
(Table9[Beneficiary Income (USD) / Project Cost]&gt;0)*
(Table9[Cost Quartiles]="3rd Quartile (50–75%)")
),
_xlpm.med,
MEDIAN(_xlpm.data),
_xlpm.mad,
MEDIAN(ABS(_xlpm.data-_xlpm.med)),
SUMPRODUCT(--(ABS(_xlpm.data-_xlpm.med)&gt;2.5*_xlpm.mad))/COUNT(_xlpm.data)
)</f>
        <v>0.1111111111111111</v>
      </c>
      <c r="BR26" s="15">
        <f t="array" ref="BR26">_xlfn.LET(
_xlpm.data,
_xlfn._xlws.FILTER(
Table9[Beneficiary Income (USD) / Project Cost],
ISNUMBER(Table9[Beneficiary Income (USD) / Project Cost])*
(Table9[Beneficiary Income (USD) / Project Cost]&gt;0)*
(Table9[Cost Quartiles]="3rd Quartile (50–75%)")
),
_xlpm.med,
MEDIAN(_xlpm.data),
_xlpm.mad,
MEDIAN(ABS(_xlpm.data-_xlpm.med)),
SUMPRODUCT(--(ABS(_xlpm.data-_xlpm.med)&gt;2.5*_xlpm.mad))
)</f>
        <v>1</v>
      </c>
      <c r="BS26" s="203">
        <f t="array" ref="BS26">_xlfn.LET(
_xlpm.data,
_xlfn._xlws.FILTER(
Table9[Beneficiary Income (USD) / Project Cost],
ISNUMBER(Table9[Beneficiary Income (USD) / Project Cost])*
(Table9[Beneficiary Income (USD) / Project Cost]&gt;0)*
(Table9[Cost Quartiles]="3rd Quartile (50–75%)")
),
_xlpm.med,
MEDIAN(_xlpm.data),
_xlpm.mad,
MEDIAN(ABS(_xlpm.data-_xlpm.med)),
AVERAGE(
_xlfn._xlws.FILTER(
_xlpm.data,
ABS(_xlpm.data-_xlpm.med)&lt;=2.5*_xlpm.mad
)
)
)</f>
        <v>1.7013500060626776</v>
      </c>
      <c r="BT26" s="15">
        <f>BP26-BR26</f>
        <v>8</v>
      </c>
    </row>
    <row r="27" spans="2:72" x14ac:dyDescent="0.25">
      <c r="B27" s="206" t="s">
        <v>723</v>
      </c>
      <c r="C27" s="202">
        <f t="array" ref="C27">MEDIAN(_xlfn._xlws.FILTER(Table9[Income per beneficiary (USD)],(Table9[Income per beneficiary (USD)]&gt;0)*(Table9[Cost Quartiles]="4th Quartile (Highest 25%)")))</f>
        <v>87.461244316931172</v>
      </c>
      <c r="D27" s="202">
        <f t="array" ref="D27">AVERAGE(_xlfn._xlws.FILTER(Table9[Income per beneficiary (USD)],(Table9[Income per beneficiary (USD)]&gt;0)*(Table9[Cost Quartiles]="4th Quartile (Highest 25%)")))</f>
        <v>518.7127237111489</v>
      </c>
      <c r="E27" s="15">
        <f>COUNTIFS(Table9[Income per beneficiary (USD)],"&gt;0",Table9[Cost Quartiles],"4th Quartile (Highest 25%)")</f>
        <v>11</v>
      </c>
      <c r="F27" s="195">
        <f t="array" ref="F27">_xlfn.LET(
_xlpm.data,_xlfn._xlws.FILTER(
Table9[Income per beneficiary (USD)],
(Table9[Income per beneficiary (USD)]&gt;0)*
(Table9[Cost Quartiles]="4th Quartile (Highest 25%)")
),
_xlpm.med,MEDIAN(_xlpm.data),
_xlpm.mad,MEDIAN(ABS(_xlpm.data-_xlpm.med)),
SUMPRODUCT(--(ABS(_xlpm.data-_xlpm.med)&gt;2.5*_xlpm.mad))/COUNT(_xlpm.data)
)</f>
        <v>0.36363636363636365</v>
      </c>
      <c r="G27" s="15">
        <f t="array" ref="G27">_xlfn.LET(
_xlpm.data,_xlfn._xlws.FILTER(
Table9[Income per beneficiary (USD)],
(Table9[Income per beneficiary (USD)]&gt;0)*
(Table9[Cost Quartiles]="4th Quartile (Highest 25%)")
),
_xlpm.med,MEDIAN(_xlpm.data),
_xlpm.mad,MEDIAN(ABS(_xlpm.data-_xlpm.med)),
SUMPRODUCT(--(ABS(_xlpm.data-_xlpm.med)&gt;2.5*_xlpm.mad))
)</f>
        <v>4</v>
      </c>
      <c r="H27" s="202">
        <f t="array" ref="H27">_xlfn.LET(
_xlpm.data,_xlfn._xlws.FILTER(
Table9[Income per beneficiary (USD)],
(Table9[Income per beneficiary (USD)]&gt;0)*
(Table9[Cost Quartiles]="4th Quartile (Highest 25%)")
),
_xlpm.med,MEDIAN(_xlpm.data),
_xlpm.mad,MEDIAN(ABS(_xlpm.data-_xlpm.med)),
AVERAGE(_xlfn._xlws.FILTER(_xlpm.data,ABS(_xlpm.data-_xlpm.med)&lt;=2.5*_xlpm.mad))
)</f>
        <v>75.354174530961473</v>
      </c>
      <c r="I27" s="202">
        <f>E27-G27</f>
        <v>7</v>
      </c>
      <c r="J27" s="130"/>
      <c r="K27" s="206" t="s">
        <v>723</v>
      </c>
      <c r="L27" s="203">
        <f t="array" ref="L27">MEDIAN(
_xlfn._xlws.FILTER(
Table9[Normalised Income Impact Ratio],
ISNUMBER(Table9[Normalised Income Impact Ratio])*
(Table9[Normalised Income Impact Ratio]&gt;0)*
(Table9[Cost Quartiles]="4th Quartile (Highest 25%)")
)
)</f>
        <v>1.4928784258192673E-2</v>
      </c>
      <c r="M27" s="203">
        <f t="array" ref="M27">AVERAGE(
_xlfn._xlws.FILTER(
Table9[Normalised Income Impact Ratio],
ISNUMBER(Table9[Normalised Income Impact Ratio])*
(Table9[Normalised Income Impact Ratio]&gt;0)*
(Table9[Cost Quartiles]="4th Quartile (Highest 25%)")
)
)</f>
        <v>7.0250568250519438E-2</v>
      </c>
      <c r="N27" s="15">
        <f>COUNTIFS(
Table9[Normalised Income Impact Ratio],"&gt;0",
Table9[Cost Quartiles],"4th Quartile (Highest 25%)"
)</f>
        <v>11</v>
      </c>
      <c r="O27" s="195">
        <f t="array" ref="O27">_xlfn.LET(
_xlpm.data,_xlfn._xlws.FILTER(
Table9[Normalised Income Impact Ratio],
ISNUMBER(Table9[Normalised Income Impact Ratio])*
(Table9[Normalised Income Impact Ratio]&gt;0)*
(Table9[Cost Quartiles]="4th Quartile (Highest 25%)")
),
_xlpm.med,MEDIAN(_xlpm.data),
_xlpm.mad,MEDIAN(ABS(_xlpm.data-_xlpm.med)),
SUMPRODUCT(--(ABS(_xlpm.data-_xlpm.med)&gt;2.5*_xlpm.mad))/COUNT(_xlpm.data)
)</f>
        <v>0.18181818181818182</v>
      </c>
      <c r="P27" s="15">
        <f t="array" ref="P27">_xlfn.LET(
_xlpm.data,_xlfn._xlws.FILTER(
Table9[Normalised Income Impact Ratio],
ISNUMBER(Table9[Normalised Income Impact Ratio])*
(Table9[Normalised Income Impact Ratio]&gt;0)*
(Table9[Cost Quartiles]="4th Quartile (Highest 25%)")
),
_xlpm.med,MEDIAN(_xlpm.data),
_xlpm.mad,MEDIAN(ABS(_xlpm.data-_xlpm.med)),
SUMPRODUCT(--(ABS(_xlpm.data-_xlpm.med)&gt;2.5*_xlpm.mad))
)</f>
        <v>2</v>
      </c>
      <c r="Q27" s="203">
        <f t="array" ref="Q27">_xlfn.LET(
_xlpm.data,_xlfn._xlws.FILTER(
Table9[Normalised Income Impact Ratio],
ISNUMBER(Table9[Normalised Income Impact Ratio])*
(Table9[Normalised Income Impact Ratio]&gt;0)*
(Table9[Cost Quartiles]="4th Quartile (Highest 25%)")
),
_xlpm.med,MEDIAN(_xlpm.data),
_xlpm.mad,MEDIAN(ABS(_xlpm.data-_xlpm.med)),
AVERAGE(_xlfn._xlws.FILTER(_xlpm.data,ABS(_xlpm.data-_xlpm.med)&lt;=2.5*_xlpm.mad))
)</f>
        <v>1.4157635471086965E-2</v>
      </c>
      <c r="R27" s="15">
        <f>N27-P27</f>
        <v>9</v>
      </c>
      <c r="T27" s="206" t="s">
        <v>723</v>
      </c>
      <c r="U27" s="203">
        <f t="array" ref="U27">MEDIAN(
_xlfn._xlws.FILTER(
Table9[Private Sector Investment (USD) / Project cost ],
ISNUMBER(Table9[Private Sector Investment (USD) / Project cost ])*
(Table9[Private Sector Investment (USD) / Project cost ]&gt;0)*
(Table9[Cost Quartiles]="4th Quartile (Highest 25%)")
)
)</f>
        <v>0.52136840328265355</v>
      </c>
      <c r="V27" s="203">
        <f t="array" ref="V27">AVERAGE(
_xlfn._xlws.FILTER(
Table9[Private Sector Investment (USD) / Project cost ],
ISNUMBER(Table9[Private Sector Investment (USD) / Project cost ])*
(Table9[Private Sector Investment (USD) / Project cost ]&gt;0)*
(Table9[Cost Quartiles]="4th Quartile (Highest 25%)")
)
)</f>
        <v>1.1382875057331798</v>
      </c>
      <c r="W27" s="15">
        <f>COUNTIFS(
Table9[Private Sector Investment (USD) / Project cost ],"&gt;0",
Table9[Cost Quartiles],"4th Quartile (Highest 25%)"
)</f>
        <v>16</v>
      </c>
      <c r="X27" s="195">
        <f t="array" ref="X27">_xlfn.LET(
_xlpm.data,_xlfn._xlws.FILTER(
Table9[Private Sector Investment (USD) / Project cost ],
ISNUMBER(Table9[Private Sector Investment (USD) / Project cost ])*
(Table9[Private Sector Investment (USD) / Project cost ]&gt;0)*
(Table9[Cost Quartiles]="4th Quartile (Highest 25%)")
),
_xlpm.med,MEDIAN(_xlpm.data),
_xlpm.mad,MEDIAN(ABS(_xlpm.data-_xlpm.med)),
SUMPRODUCT(--(ABS(_xlpm.data-_xlpm.med)&gt;2.5*_xlpm.mad))/COUNT(_xlpm.data)
)</f>
        <v>0.125</v>
      </c>
      <c r="Y27" s="15">
        <f t="array" ref="Y27">_xlfn.LET(
_xlpm.data,_xlfn._xlws.FILTER(
Table9[Private Sector Investment (USD) / Project cost ],
ISNUMBER(Table9[Private Sector Investment (USD) / Project cost ])*
(Table9[Private Sector Investment (USD) / Project cost ]&gt;0)*
(Table9[Cost Quartiles]="4th Quartile (Highest 25%)")
),
_xlpm.med,MEDIAN(_xlpm.data),
_xlpm.mad,MEDIAN(ABS(_xlpm.data-_xlpm.med)),
SUMPRODUCT(--(ABS(_xlpm.data-_xlpm.med)&gt;2.5*_xlpm.mad))
)</f>
        <v>2</v>
      </c>
      <c r="Z27" s="203">
        <f t="array" ref="Z27">_xlfn.LET(
_xlpm.data,_xlfn._xlws.FILTER(
Table9[Private Sector Investment (USD) / Project cost ],
ISNUMBER(Table9[Private Sector Investment (USD) / Project cost ])*
(Table9[Private Sector Investment (USD) / Project cost ]&gt;0)*
(Table9[Cost Quartiles]="4th Quartile (Highest 25%)")
),
_xlpm.med,MEDIAN(_xlpm.data),
_xlpm.mad,MEDIAN(ABS(_xlpm.data-_xlpm.med)),
AVERAGE(_xlfn._xlws.FILTER(_xlpm.data,ABS(_xlpm.data-_xlpm.med)&lt;=2.5*_xlpm.mad))
)</f>
        <v>0.54620031738909847</v>
      </c>
      <c r="AA27" s="15">
        <f>W27-Y27</f>
        <v>14</v>
      </c>
      <c r="AC27" s="206" t="s">
        <v>723</v>
      </c>
      <c r="AD27" s="203">
        <f t="array" ref="AD27">MEDIAN(
_xlfn._xlws.FILTER(
Table9[Private Sector Revenues Generated (USD) / Project cost],
ISNUMBER(Table9[Private Sector Revenues Generated (USD) / Project cost])*
(Table9[Private Sector Revenues Generated (USD) / Project cost]&gt;0)*
(Table9[Cost Quartiles]="4th Quartile (Highest 25%)")
)
)</f>
        <v>1.846845771728908</v>
      </c>
      <c r="AE27" s="203">
        <f t="array" ref="AE27">AVERAGE(
_xlfn._xlws.FILTER(
Table9[Private Sector Revenues Generated (USD) / Project cost],
ISNUMBER(Table9[Private Sector Revenues Generated (USD) / Project cost])*
(Table9[Private Sector Revenues Generated (USD) / Project cost]&gt;0)*
(Table9[Cost Quartiles]="4th Quartile (Highest 25%)")
)
)</f>
        <v>2.2410426125816882</v>
      </c>
      <c r="AF27" s="15">
        <f>COUNTIFS(
Table9[Private Sector Revenues Generated (USD) / Project cost],"&gt;0",
Table9[Cost Quartiles],"4th Quartile (Highest 25%)"
)</f>
        <v>14</v>
      </c>
      <c r="AG27" s="195">
        <f t="array" ref="AG27">_xlfn.LET(
_xlpm.data,_xlfn._xlws.FILTER(
Table9[Private Sector Revenues Generated (USD) / Project cost],
ISNUMBER(Table9[Private Sector Revenues Generated (USD) / Project cost])*
(Table9[Private Sector Revenues Generated (USD) / Project cost]&gt;0)*
(Table9[Cost Quartiles]="4th Quartile (Highest 25%)")
),
_xlpm.med,MEDIAN(_xlpm.data),
_xlpm.mad,MEDIAN(ABS(_xlpm.data-_xlpm.med)),
SUMPRODUCT(--(ABS(_xlpm.data-_xlpm.med)&gt;2.5*_xlpm.mad))/COUNT(_xlpm.data)
)</f>
        <v>7.1428571428571425E-2</v>
      </c>
      <c r="AH27" s="15">
        <f t="array" ref="AH27">_xlfn.LET(
_xlpm.data,_xlfn._xlws.FILTER(
Table9[Private Sector Revenues Generated (USD) / Project cost],
ISNUMBER(Table9[Private Sector Revenues Generated (USD) / Project cost])*
(Table9[Private Sector Revenues Generated (USD) / Project cost]&gt;0)*
(Table9[Cost Quartiles]="4th Quartile (Highest 25%)")
),
_xlpm.med,MEDIAN(_xlpm.data),
_xlpm.mad,MEDIAN(ABS(_xlpm.data-_xlpm.med)),
SUMPRODUCT(--(ABS(_xlpm.data-_xlpm.med)&gt;2.5*_xlpm.mad))
)</f>
        <v>1</v>
      </c>
      <c r="AI27" s="203">
        <f t="array" ref="AI27">_xlfn.LET(
_xlpm.data,_xlfn._xlws.FILTER(
Table9[Private Sector Revenues Generated (USD) / Project cost],
ISNUMBER(Table9[Private Sector Revenues Generated (USD) / Project cost])*
(Table9[Private Sector Revenues Generated (USD) / Project cost]&gt;0)*
(Table9[Cost Quartiles]="4th Quartile (Highest 25%)")
),
_xlpm.med,MEDIAN(_xlpm.data),
_xlpm.mad,MEDIAN(ABS(_xlpm.data-_xlpm.med)),
AVERAGE(_xlfn._xlws.FILTER(_xlpm.data,ABS(_xlpm.data-_xlpm.med)&lt;=2.5*_xlpm.mad))
)</f>
        <v>1.6250745576543071</v>
      </c>
      <c r="AJ27" s="15">
        <f>AF27-AH27</f>
        <v>13</v>
      </c>
      <c r="AL27" s="206" t="s">
        <v>723</v>
      </c>
      <c r="AM27" s="198">
        <f t="array" ref="AM27">MEDIAN(
_xlfn._xlws.FILTER(
Table9[Export Revenue Generated (USD) /Project Cost],
ISNUMBER(Table9[Export Revenue Generated (USD) /Project Cost])*
(Table9[Export Revenue Generated (USD) /Project Cost]&gt;0)*
(Table9[Cost Quartiles]="4th Quartile (Highest 25%)")
)
)</f>
        <v>9.1394616883116897E-2</v>
      </c>
      <c r="AN27" s="198">
        <f t="array" ref="AN27">AVERAGE(
_xlfn._xlws.FILTER(
Table9[Export Revenue Generated (USD) /Project Cost],
ISNUMBER(Table9[Export Revenue Generated (USD) /Project Cost])*
(Table9[Export Revenue Generated (USD) /Project Cost]&gt;0)*
(Table9[Cost Quartiles]="4th Quartile (Highest 25%)")
)
)</f>
        <v>0.16611637651248737</v>
      </c>
      <c r="AO27" s="15">
        <f>COUNTIFS(
Table9[Export Revenue Generated (USD) /Project Cost],"&gt;0",
Table9[Cost Quartiles],"4th Quartile (Highest 25%)"
)</f>
        <v>4</v>
      </c>
      <c r="AP27" s="195">
        <f t="array" ref="AP27">_xlfn.LET(
_xlpm.data,_xlfn._xlws.FILTER(
Table9[Export Revenue Generated (USD) /Project Cost],
ISNUMBER(Table9[Export Revenue Generated (USD) /Project Cost])*
(Table9[Export Revenue Generated (USD) /Project Cost]&gt;0)*
(Table9[Cost Quartiles]="4th Quartile (Highest 25%)")
),
_xlpm.med,MEDIAN(_xlpm.data),
_xlpm.mad,MEDIAN(ABS(_xlpm.data-_xlpm.med)),
SUMPRODUCT(--(ABS(_xlpm.data-_xlpm.med)&gt;2.5*_xlpm.mad))/COUNT(_xlpm.data)
)</f>
        <v>0.25</v>
      </c>
      <c r="AQ27" s="15">
        <f t="array" ref="AQ27">_xlfn.LET(
_xlpm.data,_xlfn._xlws.FILTER(
Table9[Export Revenue Generated (USD) /Project Cost],
ISNUMBER(Table9[Export Revenue Generated (USD) /Project Cost])*
(Table9[Export Revenue Generated (USD) /Project Cost]&gt;0)*
(Table9[Cost Quartiles]="4th Quartile (Highest 25%)")
),
_xlpm.med,MEDIAN(_xlpm.data),
_xlpm.mad,MEDIAN(ABS(_xlpm.data-_xlpm.med)),
SUMPRODUCT(--(ABS(_xlpm.data-_xlpm.med)&gt;2.5*_xlpm.mad))
)</f>
        <v>1</v>
      </c>
      <c r="AR27" s="203">
        <f t="array" ref="AR27">_xlfn.LET(
_xlpm.data,_xlfn._xlws.FILTER(
Table9[Export Revenue Generated (USD) /Project Cost],
ISNUMBER(Table9[Export Revenue Generated (USD) /Project Cost])*
(Table9[Export Revenue Generated (USD) /Project Cost]&gt;0)*
(Table9[Cost Quartiles]="4th Quartile (Highest 25%)")
),
_xlpm.med,MEDIAN(_xlpm.data),
_xlpm.mad,MEDIAN(ABS(_xlpm.data-_xlpm.med)),
AVERAGE(_xlfn._xlws.FILTER(_xlpm.data,ABS(_xlpm.data-_xlpm.med)&lt;=2.5*_xlpm.mad))
)</f>
        <v>7.4821835349983157E-2</v>
      </c>
      <c r="AS27" s="15">
        <f>AO27-AQ27</f>
        <v>3</v>
      </c>
      <c r="AU27" s="206" t="s">
        <v>723</v>
      </c>
      <c r="AV27" s="202">
        <f t="array" ref="AV27">MEDIAN(
_xlfn._xlws.FILTER(
Table9[Job created per $Mn],
ISNUMBER(Table9[Job created per $Mn])*
(Table9[Job created per $Mn]&gt;0)*
(Table9[Cost Quartiles]="4th Quartile (Highest 25%)")
)
)</f>
        <v>598.59825652691143</v>
      </c>
      <c r="AW27" s="202">
        <f t="array" ref="AW27">AVERAGE(
_xlfn._xlws.FILTER(
Table9[Job created per $Mn],
ISNUMBER(Table9[Job created per $Mn])*
(Table9[Job created per $Mn]&gt;0)*
(Table9[Cost Quartiles]="4th Quartile (Highest 25%)")
)
)</f>
        <v>792.91746465182462</v>
      </c>
      <c r="AX27" s="15">
        <f>COUNTIFS(
Table9[Job created per $Mn],"&gt;0",
Table9[Cost Quartiles],"4th Quartile (Highest 25%)"
)</f>
        <v>13</v>
      </c>
      <c r="AY27" s="195">
        <f t="array" ref="AY27">_xlfn.LET(
_xlpm.data,
_xlfn._xlws.FILTER(
Table9[Job created per $Mn],
ISNUMBER(Table9[Job created per $Mn])*
(Table9[Job created per $Mn]&gt;0)*
(Table9[Cost Quartiles]="4th Quartile (Highest 25%)")
),
_xlpm.med,
MEDIAN(_xlpm.data),
_xlpm.mad,
MEDIAN(ABS(_xlpm.data-_xlpm.med)),
SUMPRODUCT(--(ABS(_xlpm.data-_xlpm.med)&gt;2.5*_xlpm.mad))/COUNT(_xlpm.data)
)</f>
        <v>0.15384615384615385</v>
      </c>
      <c r="AZ27" s="15">
        <f t="array" ref="AZ27">_xlfn.LET(
_xlpm.data,
_xlfn._xlws.FILTER(
Table9[Job created per $Mn],
ISNUMBER(Table9[Job created per $Mn])*
(Table9[Job created per $Mn]&gt;0)*
(Table9[Cost Quartiles]="4th Quartile (Highest 25%)")
),
_xlpm.med,
MEDIAN(_xlpm.data),
_xlpm.mad,
MEDIAN(ABS(_xlpm.data-_xlpm.med)),
SUMPRODUCT(--(ABS(_xlpm.data-_xlpm.med)&gt;2.5*_xlpm.mad))
)</f>
        <v>2</v>
      </c>
      <c r="BA27" s="202">
        <f t="array" ref="BA27">_xlfn.LET(
_xlpm.data,
_xlfn._xlws.FILTER(
Table9[Job created per $Mn],
ISNUMBER(Table9[Job created per $Mn])*
(Table9[Job created per $Mn]&gt;0)*
(Table9[Cost Quartiles]="4th Quartile (Highest 25%)")
),
_xlpm.med,
MEDIAN(_xlpm.data),
_xlpm.mad,
MEDIAN(ABS(_xlpm.data-_xlpm.med)),
AVERAGE(
_xlfn._xlws.FILTER(
_xlpm.data,
ABS(_xlpm.data-_xlpm.med)&lt;=2.5*_xlpm.mad
)
)
)</f>
        <v>418.53926272689989</v>
      </c>
      <c r="BB27" s="15">
        <f>AX27-AZ27</f>
        <v>11</v>
      </c>
      <c r="BD27" s="206" t="s">
        <v>723</v>
      </c>
      <c r="BE27" s="202">
        <f t="array" ref="BE27">MEDIAN(
_xlfn._xlws.FILTER(
Table9[Job improved per $Mn],
ISNUMBER(Table9[Job improved per $Mn])*
(Table9[Job improved per $Mn]&gt;0)*
(Table9[Cost Quartiles]="4th Quartile (Highest 25%)")
)
)</f>
        <v>5866.4210526315792</v>
      </c>
      <c r="BF27" s="202">
        <f t="array" ref="BF27">AVERAGE(
_xlfn._xlws.FILTER(
Table9[Job improved per $Mn],
ISNUMBER(Table9[Job improved per $Mn])*
(Table9[Job improved per $Mn]&gt;0)*
(Table9[Cost Quartiles]="4th Quartile (Highest 25%)")
)
)</f>
        <v>10009.942527710398</v>
      </c>
      <c r="BG27" s="15">
        <f>COUNTIFS(
Table9[Job improved per $Mn],"&gt;0",
Table9[Cost Quartiles],"4th Quartile (Highest 25%)"
)</f>
        <v>15</v>
      </c>
      <c r="BH27" s="195">
        <f t="array" ref="BH27">_xlfn.LET(
_xlpm.data,
_xlfn._xlws.FILTER(
Table9[Job improved per $Mn],
ISNUMBER(Table9[Job improved per $Mn])*
(Table9[Job improved per $Mn]&gt;0)*
(Table9[Cost Quartiles]="4th Quartile (Highest 25%)")
),
_xlpm.med,
MEDIAN(_xlpm.data),
_xlpm.mad,
MEDIAN(ABS(_xlpm.data-_xlpm.med)),
SUMPRODUCT(--(ABS(_xlpm.data-_xlpm.med)&gt;2.5*_xlpm.mad))/COUNT(_xlpm.data)
)</f>
        <v>0.13333333333333333</v>
      </c>
      <c r="BI27" s="15">
        <f t="array" ref="BI27">_xlfn.LET(
_xlpm.data,
_xlfn._xlws.FILTER(
Table9[Job improved per $Mn],
ISNUMBER(Table9[Job improved per $Mn])*
(Table9[Job improved per $Mn]&gt;0)*
(Table9[Cost Quartiles]="4th Quartile (Highest 25%)")
),
_xlpm.med,
MEDIAN(_xlpm.data),
_xlpm.mad,
MEDIAN(ABS(_xlpm.data-_xlpm.med)),
SUMPRODUCT(--(ABS(_xlpm.data-_xlpm.med)&gt;2.5*_xlpm.mad))
)</f>
        <v>2</v>
      </c>
      <c r="BJ27" s="202">
        <f t="array" ref="BJ27">_xlfn.LET(
_xlpm.data,
_xlfn._xlws.FILTER(
Table9[Job improved per $Mn],
ISNUMBER(Table9[Job improved per $Mn])*
(Table9[Job improved per $Mn]&gt;0)*
(Table9[Cost Quartiles]="4th Quartile (Highest 25%)")
),
_xlpm.med,
MEDIAN(_xlpm.data),
_xlpm.mad,
MEDIAN(ABS(_xlpm.data-_xlpm.med)),
AVERAGE(
_xlfn._xlws.FILTER(
_xlpm.data,
ABS(_xlpm.data-_xlpm.med)&lt;=2.5*_xlpm.mad
)
)
)</f>
        <v>6029.4888956444174</v>
      </c>
      <c r="BK27" s="15">
        <f>BG27-BI27</f>
        <v>13</v>
      </c>
      <c r="BM27" s="206" t="s">
        <v>723</v>
      </c>
      <c r="BN27" s="203">
        <f t="array" ref="BN27">MEDIAN(
_xlfn._xlws.FILTER(
Table9[Beneficiary Income (USD) / Project Cost],
ISNUMBER(Table9[Beneficiary Income (USD) / Project Cost])*
(Table9[Beneficiary Income (USD) / Project Cost]&gt;0)*
(Table9[Cost Quartiles]="4th Quartile (Highest 25%)")
)
)</f>
        <v>1.434350872483221</v>
      </c>
      <c r="BO27" s="203">
        <f t="array" ref="BO27">AVERAGE(
_xlfn._xlws.FILTER(
Table9[Beneficiary Income (USD) / Project Cost],
ISNUMBER(Table9[Beneficiary Income (USD) / Project Cost])*
(Table9[Beneficiary Income (USD) / Project Cost]&gt;0)*
(Table9[Cost Quartiles]="4th Quartile (Highest 25%)")
)
)</f>
        <v>1.816387709473426</v>
      </c>
      <c r="BP27" s="15">
        <f>COUNTIFS(
Table9[Beneficiary Income (USD) / Project Cost],"&gt;0",
Table9[Cost Quartiles],"4th Quartile (Highest 25%)"
)</f>
        <v>11</v>
      </c>
      <c r="BQ27" s="195">
        <f t="array" ref="BQ27">_xlfn.LET(
_xlpm.data,
_xlfn._xlws.FILTER(
Table9[Beneficiary Income (USD) / Project Cost],
ISNUMBER(Table9[Beneficiary Income (USD) / Project Cost])*
(Table9[Beneficiary Income (USD) / Project Cost]&gt;0)*
(Table9[Cost Quartiles]="4th Quartile (Highest 25%)")
),
_xlpm.med,
MEDIAN(_xlpm.data),
_xlpm.mad,
MEDIAN(ABS(_xlpm.data-_xlpm.med)),
SUMPRODUCT(--(ABS(_xlpm.data-_xlpm.med)&gt;2.5*_xlpm.mad))/COUNT(_xlpm.data)
)</f>
        <v>0.18181818181818182</v>
      </c>
      <c r="BR27" s="15">
        <f t="array" ref="BR27">_xlfn.LET(
_xlpm.data,
_xlfn._xlws.FILTER(
Table9[Beneficiary Income (USD) / Project Cost],
ISNUMBER(Table9[Beneficiary Income (USD) / Project Cost])*
(Table9[Beneficiary Income (USD) / Project Cost]&gt;0)*
(Table9[Cost Quartiles]="4th Quartile (Highest 25%)")
),
_xlpm.med,
MEDIAN(_xlpm.data),
_xlpm.mad,
MEDIAN(ABS(_xlpm.data-_xlpm.med)),
SUMPRODUCT(--(ABS(_xlpm.data-_xlpm.med)&gt;2.5*_xlpm.mad))
)</f>
        <v>2</v>
      </c>
      <c r="BS27" s="203">
        <f t="array" ref="BS27">_xlfn.LET(
_xlpm.data,
_xlfn._xlws.FILTER(
Table9[Beneficiary Income (USD) / Project Cost],
ISNUMBER(Table9[Beneficiary Income (USD) / Project Cost])*
(Table9[Beneficiary Income (USD) / Project Cost]&gt;0)*
(Table9[Cost Quartiles]="4th Quartile (Highest 25%)")
),
_xlpm.med,
MEDIAN(_xlpm.data),
_xlpm.mad,
MEDIAN(ABS(_xlpm.data-_xlpm.med)),
AVERAGE(
_xlfn._xlws.FILTER(
_xlpm.data,
ABS(_xlpm.data-_xlpm.med)&lt;=2.5*_xlpm.mad
)
)
)</f>
        <v>1.3487102009014673</v>
      </c>
      <c r="BT27" s="15">
        <f>BP27-BR27</f>
        <v>9</v>
      </c>
    </row>
    <row r="28" spans="2:72" x14ac:dyDescent="0.25">
      <c r="B28" s="373" t="s">
        <v>644</v>
      </c>
      <c r="C28" s="373"/>
      <c r="D28" s="373"/>
      <c r="E28" s="373"/>
      <c r="F28" s="420"/>
      <c r="G28" s="373"/>
      <c r="H28" s="373"/>
      <c r="I28" s="373"/>
      <c r="J28" s="417"/>
      <c r="K28" s="373" t="s">
        <v>644</v>
      </c>
      <c r="L28" s="373"/>
      <c r="M28" s="373"/>
      <c r="N28" s="373"/>
      <c r="O28" s="420"/>
      <c r="P28" s="373"/>
      <c r="Q28" s="373"/>
      <c r="R28" s="373"/>
      <c r="S28" s="417"/>
      <c r="T28" s="373" t="s">
        <v>644</v>
      </c>
      <c r="U28" s="373"/>
      <c r="V28" s="373"/>
      <c r="W28" s="373"/>
      <c r="X28" s="373"/>
      <c r="Y28" s="373"/>
      <c r="Z28" s="373"/>
      <c r="AA28" s="373"/>
      <c r="AB28" s="417"/>
      <c r="AC28" s="373" t="s">
        <v>644</v>
      </c>
      <c r="AD28" s="373"/>
      <c r="AE28" s="373"/>
      <c r="AF28" s="373"/>
      <c r="AG28" s="373"/>
      <c r="AH28" s="373"/>
      <c r="AI28" s="373"/>
      <c r="AJ28" s="373"/>
      <c r="AK28" s="417"/>
      <c r="AL28" s="373" t="s">
        <v>644</v>
      </c>
      <c r="AM28" s="373"/>
      <c r="AN28" s="373"/>
      <c r="AO28" s="373"/>
      <c r="AP28" s="373"/>
      <c r="AQ28" s="373"/>
      <c r="AR28" s="373"/>
      <c r="AS28" s="373"/>
      <c r="AT28" s="417"/>
      <c r="AU28" s="373" t="s">
        <v>644</v>
      </c>
      <c r="AV28" s="373"/>
      <c r="AW28" s="373"/>
      <c r="AX28" s="373"/>
      <c r="AY28" s="373"/>
      <c r="AZ28" s="373"/>
      <c r="BA28" s="373"/>
      <c r="BB28" s="373"/>
      <c r="BC28" s="417"/>
      <c r="BD28" s="373" t="s">
        <v>644</v>
      </c>
      <c r="BE28" s="373"/>
      <c r="BF28" s="373"/>
      <c r="BG28" s="373"/>
      <c r="BH28" s="420"/>
      <c r="BI28" s="373"/>
      <c r="BJ28" s="373"/>
      <c r="BK28" s="373"/>
      <c r="BL28" s="417"/>
      <c r="BM28" s="373" t="s">
        <v>644</v>
      </c>
      <c r="BN28" s="373"/>
      <c r="BO28" s="373"/>
      <c r="BP28" s="373"/>
      <c r="BQ28" s="420"/>
      <c r="BR28" s="373"/>
      <c r="BS28" s="373"/>
      <c r="BT28" s="373"/>
    </row>
    <row r="29" spans="2:72" x14ac:dyDescent="0.25">
      <c r="B29" s="206" t="s">
        <v>645</v>
      </c>
      <c r="C29" s="202" cm="1">
        <f t="array" ref="C29">MEDIAN(_xlfn._xlws.FILTER(Table9[Income per beneficiary (USD)], (Table9[Income per beneficiary (USD)]&gt;0)*(Table9[FCAS Status]="Stable")))</f>
        <v>132.465622476475</v>
      </c>
      <c r="D29" s="202">
        <f t="array" ref="D29">AVERAGE(_xlfn._xlws.FILTER(Table9[Income per beneficiary (USD)], (Table9[Income per beneficiary (USD)]&gt;0)*(Table9[FCAS Status]="Stable")))</f>
        <v>481.09844910066704</v>
      </c>
      <c r="E29" s="15">
        <f>COUNTIFS(Table9[Income per beneficiary (USD)],"&gt;0", Table9[FCAS Status],"Stable")</f>
        <v>29</v>
      </c>
      <c r="F29" s="195">
        <f t="array" ref="F29">_xlfn.LET(
_xlpm.data,_xlfn._xlws.FILTER(
Table9[Income per beneficiary (USD)],
(Table9[Income per beneficiary (USD)]&gt;0)*
(Table9[FCAS Status]="Stable")
),
_xlpm.med,MEDIAN(_xlpm.data),
_xlpm.mad,MEDIAN(ABS(_xlpm.data-_xlpm.med)),
SUMPRODUCT(--(ABS(_xlpm.data-_xlpm.med)&gt;2.5*_xlpm.mad))/COUNT(_xlpm.data)
)</f>
        <v>0.41379310344827586</v>
      </c>
      <c r="G29" s="15">
        <f t="array" ref="G29">_xlfn.LET(
_xlpm.data,_xlfn._xlws.FILTER(
Table9[Income per beneficiary (USD)],
(Table9[Income per beneficiary (USD)]&gt;0)*
(Table9[FCAS Status]="Stable")
),
_xlpm.med,MEDIAN(_xlpm.data),
_xlpm.mad,MEDIAN(ABS(_xlpm.data-_xlpm.med)),
SUMPRODUCT(--(ABS(_xlpm.data-_xlpm.med)&gt;2.5*_xlpm.mad))
)</f>
        <v>12</v>
      </c>
      <c r="H29" s="202">
        <f t="array" ref="H29">_xlfn.LET(
_xlpm.data,_xlfn._xlws.FILTER(
Table9[Income per beneficiary (USD)],
(Table9[Income per beneficiary (USD)]&gt;0)*
(Table9[FCAS Status]="Stable")
),
_xlpm.med,MEDIAN(_xlpm.data),
_xlpm.mad,MEDIAN(ABS(_xlpm.data-_xlpm.med)),
AVERAGE(_xlfn._xlws.FILTER(_xlpm.data,ABS(_xlpm.data-_xlpm.med)&lt;=2.5*_xlpm.mad))
)</f>
        <v>93.455402460992175</v>
      </c>
      <c r="I29" s="202">
        <f>E29-G29</f>
        <v>17</v>
      </c>
      <c r="J29" s="130"/>
      <c r="K29" s="206" t="s">
        <v>645</v>
      </c>
      <c r="L29" s="203">
        <f t="array" ref="L29">MEDIAN(
_xlfn._xlws.FILTER(
Table9[Normalised Income Impact Ratio],
ISNUMBER(Table9[Normalised Income Impact Ratio])*
(Table9[Normalised Income Impact Ratio]&gt;0)*
(Table9[FCAS Status]="Stable")
)
)</f>
        <v>2.1857319389547651E-2</v>
      </c>
      <c r="M29" s="203">
        <f t="array" ref="M29">AVERAGE(
_xlfn._xlws.FILTER(
Table9[Normalised Income Impact Ratio],
ISNUMBER(Table9[Normalised Income Impact Ratio])*
(Table9[Normalised Income Impact Ratio]&gt;0)*
(Table9[FCAS Status]="Stable")
)
)</f>
        <v>6.1642357845761692E-2</v>
      </c>
      <c r="N29" s="15">
        <f>COUNTIFS(
Table9[Normalised Income Impact Ratio],"&gt;0",
Table9[FCAS Status],"Stable"
)</f>
        <v>29</v>
      </c>
      <c r="O29" s="195">
        <f t="array" ref="O29">_xlfn.LET(
_xlpm.data,_xlfn._xlws.FILTER(
Table9[Normalised Income Impact Ratio],
ISNUMBER(Table9[Normalised Income Impact Ratio])*
(Table9[Normalised Income Impact Ratio]&gt;0)*
(Table9[FCAS Status]="Stable")
),
_xlpm.med,MEDIAN(_xlpm.data),
_xlpm.mad,MEDIAN(ABS(_xlpm.data-_xlpm.med)),
SUMPRODUCT(--(ABS(_xlpm.data-_xlpm.med)&gt;2.5*_xlpm.mad))/COUNT(_xlpm.data)
)</f>
        <v>0.2413793103448276</v>
      </c>
      <c r="P29" s="15">
        <f t="array" ref="P29">_xlfn.LET(
_xlpm.data,_xlfn._xlws.FILTER(
Table9[Normalised Income Impact Ratio],
ISNUMBER(Table9[Normalised Income Impact Ratio])*
(Table9[Normalised Income Impact Ratio]&gt;0)*
(Table9[FCAS Status]="Stable")
),
_xlpm.med,MEDIAN(_xlpm.data),
_xlpm.mad,MEDIAN(ABS(_xlpm.data-_xlpm.med)),
SUMPRODUCT(--(ABS(_xlpm.data-_xlpm.med)&gt;2.5*_xlpm.mad))
)</f>
        <v>7</v>
      </c>
      <c r="Q29" s="203">
        <f t="array" ref="Q29">_xlfn.LET(
_xlpm.data,_xlfn._xlws.FILTER(
Table9[Normalised Income Impact Ratio],
ISNUMBER(Table9[Normalised Income Impact Ratio])*
(Table9[Normalised Income Impact Ratio]&gt;0)*
(Table9[FCAS Status]="Stable")
),
_xlpm.med,MEDIAN(_xlpm.data),
_xlpm.mad,MEDIAN(ABS(_xlpm.data-_xlpm.med)),
AVERAGE(_xlfn._xlws.FILTER(_xlpm.data,ABS(_xlpm.data-_xlpm.med)&lt;=2.5*_xlpm.mad))
)</f>
        <v>1.8587579644245466E-2</v>
      </c>
      <c r="R29" s="15">
        <f>N29-P29</f>
        <v>22</v>
      </c>
      <c r="T29" s="206" t="s">
        <v>645</v>
      </c>
      <c r="U29" s="203">
        <f t="array" ref="U29">MEDIAN(
_xlfn._xlws.FILTER(
Table9[Private Sector Investment (USD) / Project cost ],
ISNUMBER(Table9[Private Sector Investment (USD) / Project cost ])*
(Table9[Private Sector Investment (USD) / Project cost ]&gt;0)*
(Table9[FCAS Status]="Stable")
)
)</f>
        <v>0.5274942244224422</v>
      </c>
      <c r="V29" s="203">
        <f t="array" ref="V29">AVERAGE(
_xlfn._xlws.FILTER(
Table9[Private Sector Investment (USD) / Project cost ],
ISNUMBER(Table9[Private Sector Investment (USD) / Project cost ])*
(Table9[Private Sector Investment (USD) / Project cost ]&gt;0)*
(Table9[FCAS Status]="Stable")
)
)</f>
        <v>1.7978555954168283</v>
      </c>
      <c r="W29" s="15">
        <f>COUNTIFS(
Table9[Private Sector Investment (USD) / Project cost ],"&gt;0",
Table9[FCAS Status],"Stable"
)</f>
        <v>42</v>
      </c>
      <c r="X29" s="195">
        <f t="array" ref="X29">_xlfn.LET(
_xlpm.data,_xlfn._xlws.FILTER(
Table9[Private Sector Investment (USD) / Project cost ],
ISNUMBER(Table9[Private Sector Investment (USD) / Project cost ])*
(Table9[Private Sector Investment (USD) / Project cost ]&gt;0)*
(Table9[FCAS Status]="Stable")
),
_xlpm.med,MEDIAN(_xlpm.data),
_xlpm.mad,MEDIAN(ABS(_xlpm.data-_xlpm.med)),
SUMPRODUCT(--(ABS(_xlpm.data-_xlpm.med)&gt;2.5*_xlpm.mad))/COUNT(_xlpm.data)
)</f>
        <v>0.16666666666666666</v>
      </c>
      <c r="Y29" s="15">
        <f t="array" ref="Y29">_xlfn.LET(
_xlpm.data,_xlfn._xlws.FILTER(
Table9[Private Sector Investment (USD) / Project cost ],
ISNUMBER(Table9[Private Sector Investment (USD) / Project cost ])*
(Table9[Private Sector Investment (USD) / Project cost ]&gt;0)*
(Table9[FCAS Status]="Stable")
),
_xlpm.med,MEDIAN(_xlpm.data),
_xlpm.mad,MEDIAN(ABS(_xlpm.data-_xlpm.med)),
SUMPRODUCT(--(ABS(_xlpm.data-_xlpm.med)&gt;2.5*_xlpm.mad))
)</f>
        <v>7</v>
      </c>
      <c r="Z29" s="203">
        <f t="array" ref="Z29">_xlfn.LET(
_xlpm.data,_xlfn._xlws.FILTER(
Table9[Private Sector Investment (USD) / Project cost ],
ISNUMBER(Table9[Private Sector Investment (USD) / Project cost ])*
(Table9[Private Sector Investment (USD) / Project cost ]&gt;0)*
(Table9[FCAS Status]="Stable")
),
_xlpm.med,MEDIAN(_xlpm.data),
_xlpm.mad,MEDIAN(ABS(_xlpm.data-_xlpm.med)),
AVERAGE(_xlfn._xlws.FILTER(_xlpm.data,ABS(_xlpm.data-_xlpm.med)&lt;=2.5*_xlpm.mad))
)</f>
        <v>0.50910058153198756</v>
      </c>
      <c r="AA29" s="15">
        <f>W29-Y29</f>
        <v>35</v>
      </c>
      <c r="AC29" s="206" t="s">
        <v>645</v>
      </c>
      <c r="AD29" s="203">
        <f t="array" ref="AD29">MEDIAN(
_xlfn._xlws.FILTER(
Table9[Private Sector Revenues Generated (USD) / Project cost],
ISNUMBER(Table9[Private Sector Revenues Generated (USD) / Project cost])*
(Table9[Private Sector Revenues Generated (USD) / Project cost]&gt;0)*
(Table9[FCAS Status]="Stable")
)
)</f>
        <v>1.6775150232509577</v>
      </c>
      <c r="AE29" s="203">
        <f t="array" ref="AE29">AVERAGE(
_xlfn._xlws.FILTER(
Table9[Private Sector Revenues Generated (USD) / Project cost],
ISNUMBER(Table9[Private Sector Revenues Generated (USD) / Project cost])*
(Table9[Private Sector Revenues Generated (USD) / Project cost]&gt;0)*
(Table9[FCAS Status]="Stable")
)
)</f>
        <v>3.5755137645032056</v>
      </c>
      <c r="AF29" s="15">
        <f>COUNTIFS(
Table9[Private Sector Revenues Generated (USD) / Project cost],"&gt;0",
Table9[FCAS Status],"Stable"
)</f>
        <v>36</v>
      </c>
      <c r="AG29" s="195">
        <f t="array" ref="AG29">_xlfn.LET(
_xlpm.data,_xlfn._xlws.FILTER(
Table9[Private Sector Revenues Generated (USD) / Project cost],
ISNUMBER(Table9[Private Sector Revenues Generated (USD) / Project cost])*
(Table9[Private Sector Revenues Generated (USD) / Project cost]&gt;0)*
(Table9[FCAS Status]="Stable")
),
_xlpm.med,MEDIAN(_xlpm.data),
_xlpm.mad,MEDIAN(ABS(_xlpm.data-_xlpm.med)),
SUMPRODUCT(--(ABS(_xlpm.data-_xlpm.med)&gt;2.5*_xlpm.mad))/COUNT(_xlpm.data)
)</f>
        <v>0.19444444444444445</v>
      </c>
      <c r="AH29" s="15">
        <f t="array" ref="AH29">_xlfn.LET(
_xlpm.data,_xlfn._xlws.FILTER(
Table9[Private Sector Revenues Generated (USD) / Project cost],
ISNUMBER(Table9[Private Sector Revenues Generated (USD) / Project cost])*
(Table9[Private Sector Revenues Generated (USD) / Project cost]&gt;0)*
(Table9[FCAS Status]="Stable")
),
_xlpm.med,MEDIAN(_xlpm.data),
_xlpm.mad,MEDIAN(ABS(_xlpm.data-_xlpm.med)),
SUMPRODUCT(--(ABS(_xlpm.data-_xlpm.med)&gt;2.5*_xlpm.mad))
)</f>
        <v>7</v>
      </c>
      <c r="AI29" s="203">
        <f t="array" ref="AI29">_xlfn.LET(
_xlpm.data,_xlfn._xlws.FILTER(
Table9[Private Sector Revenues Generated (USD) / Project cost],
ISNUMBER(Table9[Private Sector Revenues Generated (USD) / Project cost])*
(Table9[Private Sector Revenues Generated (USD) / Project cost]&gt;0)*
(Table9[FCAS Status]="Stable")
),
_xlpm.med,MEDIAN(_xlpm.data),
_xlpm.mad,MEDIAN(ABS(_xlpm.data-_xlpm.med)),
AVERAGE(_xlfn._xlws.FILTER(_xlpm.data,ABS(_xlpm.data-_xlpm.med)&lt;=2.5*_xlpm.mad))
)</f>
        <v>1.2682050206300455</v>
      </c>
      <c r="AJ29" s="15">
        <f>AF29-AH29</f>
        <v>29</v>
      </c>
      <c r="AL29" s="206" t="s">
        <v>645</v>
      </c>
      <c r="AM29" s="203">
        <f t="array" ref="AM29">MEDIAN(
_xlfn._xlws.FILTER(
Table9[Export Revenue Generated (USD) /Project Cost],
ISNUMBER(Table9[Export Revenue Generated (USD) /Project Cost])*
(Table9[Export Revenue Generated (USD) /Project Cost]&gt;0)*
(Table9[FCAS Status]="Stable")
)
)</f>
        <v>0.34741362139326759</v>
      </c>
      <c r="AN29" s="203">
        <f t="array" ref="AN29">AVERAGE(
_xlfn._xlws.FILTER(
Table9[Export Revenue Generated (USD) /Project Cost],
ISNUMBER(Table9[Export Revenue Generated (USD) /Project Cost])*
(Table9[Export Revenue Generated (USD) /Project Cost]&gt;0)*
(Table9[FCAS Status]="Stable")
)
)</f>
        <v>10.999669240271372</v>
      </c>
      <c r="AO29" s="15">
        <f>COUNTIFS(
Table9[Export Revenue Generated (USD) /Project Cost],"&gt;0",
Table9[FCAS Status],"Stable"
)</f>
        <v>9</v>
      </c>
      <c r="AP29" s="195">
        <f t="array" ref="AP29">_xlfn.LET(
_xlpm.data,_xlfn._xlws.FILTER(
Table9[Export Revenue Generated (USD) /Project Cost],
ISNUMBER(Table9[Export Revenue Generated (USD) /Project Cost])*
(Table9[Export Revenue Generated (USD) /Project Cost]&gt;0)*
(Table9[FCAS Status]="Stable")
),
_xlpm.med,MEDIAN(_xlpm.data),
_xlpm.mad,MEDIAN(ABS(_xlpm.data-_xlpm.med)),
SUMPRODUCT(--(ABS(_xlpm.data-_xlpm.med)&gt;2.5*_xlpm.mad))/COUNT(_xlpm.data)
)</f>
        <v>0.33333333333333331</v>
      </c>
      <c r="AQ29" s="15">
        <f t="array" ref="AQ29">_xlfn.LET(
_xlpm.data,_xlfn._xlws.FILTER(
Table9[Export Revenue Generated (USD) /Project Cost],
ISNUMBER(Table9[Export Revenue Generated (USD) /Project Cost])*
(Table9[Export Revenue Generated (USD) /Project Cost]&gt;0)*
(Table9[FCAS Status]="Stable")
),
_xlpm.med,MEDIAN(_xlpm.data),
_xlpm.mad,MEDIAN(ABS(_xlpm.data-_xlpm.med)),
SUMPRODUCT(--(ABS(_xlpm.data-_xlpm.med)&gt;2.5*_xlpm.mad))
)</f>
        <v>3</v>
      </c>
      <c r="AR29" s="203">
        <f t="array" ref="AR29">_xlfn.LET(
_xlpm.data,_xlfn._xlws.FILTER(
Table9[Export Revenue Generated (USD) /Project Cost],
ISNUMBER(Table9[Export Revenue Generated (USD) /Project Cost])*
(Table9[Export Revenue Generated (USD) /Project Cost]&gt;0)*
(Table9[FCAS Status]="Stable")
),
_xlpm.med,MEDIAN(_xlpm.data),
_xlpm.mad,MEDIAN(ABS(_xlpm.data-_xlpm.med)),
AVERAGE(_xlfn._xlws.FILTER(_xlpm.data,ABS(_xlpm.data-_xlpm.med)&lt;=2.5*_xlpm.mad))
)</f>
        <v>0.20770347748492701</v>
      </c>
      <c r="AS29" s="15">
        <f>AO29-AQ29</f>
        <v>6</v>
      </c>
      <c r="AU29" s="206" t="s">
        <v>645</v>
      </c>
      <c r="AV29" s="202">
        <f t="array" ref="AV29">MEDIAN(
_xlfn._xlws.FILTER(
Table9[Job created per $Mn],
ISNUMBER(Table9[Job created per $Mn])*
(Table9[Job created per $Mn]&gt;0)*
(Table9[FCAS Status]="Stable")
)
)</f>
        <v>337.46556473829202</v>
      </c>
      <c r="AW29" s="202">
        <f t="array" ref="AW29">AVERAGE(
_xlfn._xlws.FILTER(
Table9[Job created per $Mn],
ISNUMBER(Table9[Job created per $Mn])*
(Table9[Job created per $Mn]&gt;0)*
(Table9[FCAS Status]="Stable")
)
)</f>
        <v>1187.7770472515597</v>
      </c>
      <c r="AX29" s="15">
        <f>COUNTIFS(
Table9[Job created per $Mn],"&gt;0",
Table9[FCAS Status],"Stable"
)</f>
        <v>29</v>
      </c>
      <c r="AY29" s="195">
        <f t="array" ref="AY29">_xlfn.LET(
_xlpm.data,
_xlfn._xlws.FILTER(
Table9[Job created per $Mn],
ISNUMBER(Table9[Job created per $Mn])*
(Table9[Job created per $Mn]&gt;0)*
(Table9[FCAS Status]="Stable")
),
_xlpm.med,
MEDIAN(_xlpm.data),
_xlpm.mad,
MEDIAN(ABS(_xlpm.data-_xlpm.med)),
SUMPRODUCT(--(ABS(_xlpm.data-_xlpm.med)&gt;2.5*_xlpm.mad))/COUNT(_xlpm.data)
)</f>
        <v>0.31034482758620691</v>
      </c>
      <c r="AZ29" s="15">
        <f t="array" ref="AZ29">_xlfn.LET(
_xlpm.data,
_xlfn._xlws.FILTER(
Table9[Job created per $Mn],
ISNUMBER(Table9[Job created per $Mn])*
(Table9[Job created per $Mn]&gt;0)*
(Table9[FCAS Status]="Stable")
),
_xlpm.med,
MEDIAN(_xlpm.data),
_xlpm.mad,
MEDIAN(ABS(_xlpm.data-_xlpm.med)),
SUMPRODUCT(--(ABS(_xlpm.data-_xlpm.med)&gt;2.5*_xlpm.mad))
)</f>
        <v>9</v>
      </c>
      <c r="BA29" s="202">
        <f t="array" ref="BA29">_xlfn.LET(
_xlpm.data,
_xlfn._xlws.FILTER(
Table9[Job created per $Mn],
ISNUMBER(Table9[Job created per $Mn])*
(Table9[Job created per $Mn]&gt;0)*
(Table9[FCAS Status]="Stable")
),
_xlpm.med,
MEDIAN(_xlpm.data),
_xlpm.mad,
MEDIAN(ABS(_xlpm.data-_xlpm.med)),
AVERAGE(
_xlfn._xlws.FILTER(
_xlpm.data,
ABS(_xlpm.data-_xlpm.med)&lt;=2.5*_xlpm.mad
)
)
)</f>
        <v>271.71630521772698</v>
      </c>
      <c r="BB29" s="15">
        <f>AX29-AZ29</f>
        <v>20</v>
      </c>
      <c r="BD29" s="206" t="s">
        <v>645</v>
      </c>
      <c r="BE29" s="202">
        <f t="array" ref="BE29">MEDIAN(
_xlfn._xlws.FILTER(
Table9[Job improved per $Mn],
ISNUMBER(Table9[Job improved per $Mn])*
(Table9[Job improved per $Mn]&gt;0)*
(Table9[FCAS Status]="Stable")
)
)</f>
        <v>2582.7247616241302</v>
      </c>
      <c r="BF29" s="202">
        <f t="array" ref="BF29">AVERAGE(
_xlfn._xlws.FILTER(
Table9[Job improved per $Mn],
ISNUMBER(Table9[Job improved per $Mn])*
(Table9[Job improved per $Mn]&gt;0)*
(Table9[FCAS Status]="Stable")
)
)</f>
        <v>6351.0433099076236</v>
      </c>
      <c r="BG29" s="15">
        <f>COUNTIFS(
Table9[Job improved per $Mn],"&gt;0",
Table9[FCAS Status],"Stable"
)</f>
        <v>50</v>
      </c>
      <c r="BH29" s="195">
        <f t="array" ref="BH29">_xlfn.LET(
_xlpm.data,
_xlfn._xlws.FILTER(
Table9[Job improved per $Mn],
ISNUMBER(Table9[Job improved per $Mn])*
(Table9[Job improved per $Mn]&gt;0)*
(Table9[FCAS Status]="Stable")
),
_xlpm.med,
MEDIAN(_xlpm.data),
_xlpm.mad,
MEDIAN(ABS(_xlpm.data-_xlpm.med)),
SUMPRODUCT(--(ABS(_xlpm.data-_xlpm.med)&gt;2.5*_xlpm.mad))/COUNT(_xlpm.data)
)</f>
        <v>0.26</v>
      </c>
      <c r="BI29" s="15">
        <f t="array" ref="BI29">_xlfn.LET(
_xlpm.data,
_xlfn._xlws.FILTER(
Table9[Job improved per $Mn],
ISNUMBER(Table9[Job improved per $Mn])*
(Table9[Job improved per $Mn]&gt;0)*
(Table9[FCAS Status]="Stable")
),
_xlpm.med,
MEDIAN(_xlpm.data),
_xlpm.mad,
MEDIAN(ABS(_xlpm.data-_xlpm.med)),
SUMPRODUCT(--(ABS(_xlpm.data-_xlpm.med)&gt;2.5*_xlpm.mad))
)</f>
        <v>13</v>
      </c>
      <c r="BJ29" s="202">
        <f t="array" ref="BJ29">_xlfn.LET(
_xlpm.data,
_xlfn._xlws.FILTER(
Table9[Job improved per $Mn],
ISNUMBER(Table9[Job improved per $Mn])*
(Table9[Job improved per $Mn]&gt;0)*
(Table9[FCAS Status]="Stable")
),
_xlpm.med,
MEDIAN(_xlpm.data),
_xlpm.mad,
MEDIAN(ABS(_xlpm.data-_xlpm.med)),
AVERAGE(
_xlfn._xlws.FILTER(
_xlpm.data,
ABS(_xlpm.data-_xlpm.med)&lt;=2.5*_xlpm.mad
)
)
)</f>
        <v>2320.4492435811849</v>
      </c>
      <c r="BK29" s="15">
        <f>BG29-BI29</f>
        <v>37</v>
      </c>
      <c r="BM29" s="206" t="s">
        <v>645</v>
      </c>
      <c r="BN29" s="203">
        <f t="array" ref="BN29">MEDIAN(
_xlfn._xlws.FILTER(
Table9[Beneficiary Income (USD) / Project Cost],
ISNUMBER(Table9[Beneficiary Income (USD) / Project Cost])*
(Table9[Beneficiary Income (USD) / Project Cost]&gt;0)*
(Table9[FCAS Status]="Stable")
)
)</f>
        <v>1.197129437050968</v>
      </c>
      <c r="BO29" s="203">
        <f t="array" ref="BO29">AVERAGE(
_xlfn._xlws.FILTER(
Table9[Beneficiary Income (USD) / Project Cost],
ISNUMBER(Table9[Beneficiary Income (USD) / Project Cost])*
(Table9[Beneficiary Income (USD) / Project Cost]&gt;0)*
(Table9[FCAS Status]="Stable")
)
)</f>
        <v>1.7371803583148904</v>
      </c>
      <c r="BP29" s="15">
        <f>COUNTIFS(
Table9[Beneficiary Income (USD) / Project Cost],"&gt;0",
Table9[FCAS Status],"Stable"
)</f>
        <v>29</v>
      </c>
      <c r="BQ29" s="195">
        <f t="array" ref="BQ29">_xlfn.LET(
_xlpm.data,
_xlfn._xlws.FILTER(
Table9[Beneficiary Income (USD) / Project Cost],
ISNUMBER(Table9[Beneficiary Income (USD) / Project Cost])*
(Table9[Beneficiary Income (USD) / Project Cost]&gt;0)*
(Table9[FCAS Status]="Stable")
),
_xlpm.med,
MEDIAN(_xlpm.data),
_xlpm.mad,
MEDIAN(ABS(_xlpm.data-_xlpm.med)),
SUMPRODUCT(--(ABS(_xlpm.data-_xlpm.med)&gt;2.5*_xlpm.mad))/COUNT(_xlpm.data)
)</f>
        <v>0.13793103448275862</v>
      </c>
      <c r="BR29" s="15">
        <f t="array" ref="BR29">_xlfn.LET(
_xlpm.data,
_xlfn._xlws.FILTER(
Table9[Beneficiary Income (USD) / Project Cost],
ISNUMBER(Table9[Beneficiary Income (USD) / Project Cost])*
(Table9[Beneficiary Income (USD) / Project Cost]&gt;0)*
(Table9[FCAS Status]="Stable")
),
_xlpm.med,
MEDIAN(_xlpm.data),
_xlpm.mad,
MEDIAN(ABS(_xlpm.data-_xlpm.med)),
SUMPRODUCT(--(ABS(_xlpm.data-_xlpm.med)&gt;2.5*_xlpm.mad))
)</f>
        <v>4</v>
      </c>
      <c r="BS29" s="203">
        <f t="array" ref="BS29">_xlfn.LET(
_xlpm.data,
_xlfn._xlws.FILTER(
Table9[Beneficiary Income (USD) / Project Cost],
ISNUMBER(Table9[Beneficiary Income (USD) / Project Cost])*
(Table9[Beneficiary Income (USD) / Project Cost]&gt;0)*
(Table9[FCAS Status]="Stable")
),
_xlpm.med,
MEDIAN(_xlpm.data),
_xlpm.mad,
MEDIAN(ABS(_xlpm.data-_xlpm.med)),
AVERAGE(
_xlfn._xlws.FILTER(
_xlpm.data,
ABS(_xlpm.data-_xlpm.med)&lt;=2.5*_xlpm.mad
)
)
)</f>
        <v>1.1895756181879988</v>
      </c>
      <c r="BT29" s="15">
        <f>BP29-BR29</f>
        <v>25</v>
      </c>
    </row>
    <row r="30" spans="2:72" x14ac:dyDescent="0.25">
      <c r="B30" s="206" t="s">
        <v>42</v>
      </c>
      <c r="C30" s="202">
        <f t="array" ref="C30">MEDIAN(_xlfn._xlws.FILTER(Table9[Income per beneficiary (USD)], (Table9[Income per beneficiary (USD)]&gt;0)*(Table9[FCAS Status]="FCAS")))</f>
        <v>285.22750050110238</v>
      </c>
      <c r="D30" s="202">
        <f t="array" ref="D30">AVERAGE(_xlfn._xlws.FILTER(Table9[Income per beneficiary (USD)], (Table9[Income per beneficiary (USD)]&gt;0)*(Table9[FCAS Status]="FCAS")))</f>
        <v>378.55591486987947</v>
      </c>
      <c r="E30" s="15">
        <f>COUNTIFS(Table9[Income per beneficiary (USD)],"&gt;0", Table9[FCAS Status],"FCAS")</f>
        <v>15</v>
      </c>
      <c r="F30" s="195">
        <f t="array" ref="F30">_xlfn.LET(
_xlpm.data,_xlfn._xlws.FILTER(
Table9[Income per beneficiary (USD)],
(Table9[Income per beneficiary (USD)]&gt;0)*
(Table9[FCAS Status]="FCAS")
),
_xlpm.med,MEDIAN(_xlpm.data),
_xlpm.mad,MEDIAN(ABS(_xlpm.data-_xlpm.med)),
SUMPRODUCT(--(ABS(_xlpm.data-_xlpm.med)&gt;2.5*_xlpm.mad))/COUNT(_xlpm.data)
)</f>
        <v>0.13333333333333333</v>
      </c>
      <c r="G30" s="15">
        <f t="array" ref="G30">_xlfn.LET(
_xlpm.data,_xlfn._xlws.FILTER(
Table9[Income per beneficiary (USD)],
(Table9[Income per beneficiary (USD)]&gt;0)*
(Table9[FCAS Status]="FCAS")
),
_xlpm.med,MEDIAN(_xlpm.data),
_xlpm.mad,MEDIAN(ABS(_xlpm.data-_xlpm.med)),
SUMPRODUCT(--(ABS(_xlpm.data-_xlpm.med)&gt;2.5*_xlpm.mad))
)</f>
        <v>2</v>
      </c>
      <c r="H30" s="202">
        <f t="array" ref="H30">_xlfn.LET(
_xlpm.data,_xlfn._xlws.FILTER(
Table9[Income per beneficiary (USD)],
(Table9[Income per beneficiary (USD)]&gt;0)*
(Table9[FCAS Status]="FCAS")
),
_xlpm.med,MEDIAN(_xlpm.data),
_xlpm.mad,MEDIAN(ABS(_xlpm.data-_xlpm.med)),
AVERAGE(_xlfn._xlws.FILTER(_xlpm.data,ABS(_xlpm.data-_xlpm.med)&lt;=2.5*_xlpm.mad))
)</f>
        <v>240.56880647927713</v>
      </c>
      <c r="I30" s="202">
        <f>E30-G30</f>
        <v>13</v>
      </c>
      <c r="J30" s="130"/>
      <c r="K30" s="206" t="s">
        <v>42</v>
      </c>
      <c r="L30" s="203">
        <f t="array" ref="L30">AVERAGE(
_xlfn._xlws.FILTER(
Table9[Normalised Income Impact Ratio],
ISNUMBER(Table9[Normalised Income Impact Ratio])*
(Table9[Normalised Income Impact Ratio]&gt;0)*
(Table9[FCAS Status]="FCAS")
)
)</f>
        <v>0.10487849853156572</v>
      </c>
      <c r="M30" s="203">
        <f t="array" ref="M30">AVERAGE(
_xlfn._xlws.FILTER(
Table9[Normalised Income Impact Ratio],
ISNUMBER(Table9[Normalised Income Impact Ratio])*
(Table9[Normalised Income Impact Ratio]&gt;0)*
(Table9[FCAS Status]="FCAS")
)
)</f>
        <v>0.10487849853156572</v>
      </c>
      <c r="N30" s="15">
        <f>COUNTIFS(
Table9[Normalised Income Impact Ratio],"&gt;0",
Table9[FCAS Status],"FCAS"
)</f>
        <v>14</v>
      </c>
      <c r="O30" s="195">
        <f t="array" ref="O30">_xlfn.LET(
_xlpm.data,_xlfn._xlws.FILTER(
Table9[Normalised Income Impact Ratio],
ISNUMBER(Table9[Normalised Income Impact Ratio])*
(Table9[Normalised Income Impact Ratio]&gt;0)*
(Table9[FCAS Status]="FCAS")
),
_xlpm.med,MEDIAN(_xlpm.data),
_xlpm.mad,MEDIAN(ABS(_xlpm.data-_xlpm.med)),
SUMPRODUCT(--(ABS(_xlpm.data-_xlpm.med)&gt;2.5*_xlpm.mad))/COUNT(_xlpm.data)
)</f>
        <v>0.35714285714285715</v>
      </c>
      <c r="P30" s="15">
        <f t="array" ref="P30">_xlfn.LET(
_xlpm.data,_xlfn._xlws.FILTER(
Table9[Normalised Income Impact Ratio],
ISNUMBER(Table9[Normalised Income Impact Ratio])*
(Table9[Normalised Income Impact Ratio]&gt;0)*
(Table9[FCAS Status]="FCAS")
),
_xlpm.med,MEDIAN(_xlpm.data),
_xlpm.mad,MEDIAN(ABS(_xlpm.data-_xlpm.med)),
SUMPRODUCT(--(ABS(_xlpm.data-_xlpm.med)&gt;2.5*_xlpm.mad))
)</f>
        <v>5</v>
      </c>
      <c r="Q30" s="203">
        <f t="array" ref="Q30">_xlfn.LET(
_xlpm.data,_xlfn._xlws.FILTER(
Table9[Normalised Income Impact Ratio],
ISNUMBER(Table9[Normalised Income Impact Ratio])*
(Table9[Normalised Income Impact Ratio]&gt;0)*
(Table9[FCAS Status]="FCAS")
),
_xlpm.med,MEDIAN(_xlpm.data),
_xlpm.mad,MEDIAN(ABS(_xlpm.data-_xlpm.med)),
AVERAGE(_xlfn._xlws.FILTER(_xlpm.data,ABS(_xlpm.data-_xlpm.med)&lt;=2.5*_xlpm.mad))
)</f>
        <v>3.1752111139481093E-2</v>
      </c>
      <c r="R30" s="15">
        <f>N30-P30</f>
        <v>9</v>
      </c>
      <c r="T30" s="206" t="s">
        <v>42</v>
      </c>
      <c r="U30" s="203">
        <f t="array" ref="U30">MEDIAN(
_xlfn._xlws.FILTER(
Table9[Private Sector Investment (USD) / Project cost ],
ISNUMBER(Table9[Private Sector Investment (USD) / Project cost ])*
(Table9[Private Sector Investment (USD) / Project cost ]&gt;0)*
(Table9[FCAS Status]="FCAS")
)
)</f>
        <v>0.26501766784452302</v>
      </c>
      <c r="V30" s="203">
        <f t="array" ref="V30">AVERAGE(
_xlfn._xlws.FILTER(
Table9[Private Sector Investment (USD) / Project cost ],
ISNUMBER(Table9[Private Sector Investment (USD) / Project cost ])*
(Table9[Private Sector Investment (USD) / Project cost ]&gt;0)*
(Table9[FCAS Status]="FCAS")
)
)</f>
        <v>0.69414283053442716</v>
      </c>
      <c r="W30" s="15">
        <f>COUNTIFS(
Table9[Private Sector Investment (USD) / Project cost ],"&gt;0",
Table9[FCAS Status],"FCAS"
)</f>
        <v>15</v>
      </c>
      <c r="X30" s="195">
        <f t="array" ref="X30">_xlfn.LET(
_xlpm.data,_xlfn._xlws.FILTER(
Table9[Private Sector Investment (USD) / Project cost ],
ISNUMBER(Table9[Private Sector Investment (USD) / Project cost ])*
(Table9[Private Sector Investment (USD) / Project cost ]&gt;0)*
(Table9[FCAS Status]="FCAS")
),
_xlpm.med,MEDIAN(_xlpm.data),
_xlpm.mad,MEDIAN(ABS(_xlpm.data-_xlpm.med)),
SUMPRODUCT(--(ABS(_xlpm.data-_xlpm.med)&gt;2.5*_xlpm.mad))/COUNT(_xlpm.data)
)</f>
        <v>0.33333333333333331</v>
      </c>
      <c r="Y30" s="15">
        <f t="array" ref="Y30">_xlfn.LET(
_xlpm.data,_xlfn._xlws.FILTER(
Table9[Private Sector Investment (USD) / Project cost ],
ISNUMBER(Table9[Private Sector Investment (USD) / Project cost ])*
(Table9[Private Sector Investment (USD) / Project cost ]&gt;0)*
(Table9[FCAS Status]="FCAS")
),
_xlpm.med,MEDIAN(_xlpm.data),
_xlpm.mad,MEDIAN(ABS(_xlpm.data-_xlpm.med)),
SUMPRODUCT(--(ABS(_xlpm.data-_xlpm.med)&gt;2.5*_xlpm.mad))
)</f>
        <v>5</v>
      </c>
      <c r="Z30" s="203">
        <f t="array" ref="Z30">_xlfn.LET(
_xlpm.data,_xlfn._xlws.FILTER(
Table9[Private Sector Investment (USD) / Project cost ],
ISNUMBER(Table9[Private Sector Investment (USD) / Project cost ])*
(Table9[Private Sector Investment (USD) / Project cost ]&gt;0)*
(Table9[FCAS Status]="FCAS")
),
_xlpm.med,MEDIAN(_xlpm.data),
_xlpm.mad,MEDIAN(ABS(_xlpm.data-_xlpm.med)),
AVERAGE(_xlfn._xlws.FILTER(_xlpm.data,ABS(_xlpm.data-_xlpm.med)&lt;=2.5*_xlpm.mad))
)</f>
        <v>0.15455596198954852</v>
      </c>
      <c r="AA30" s="15">
        <f>W30-Y30</f>
        <v>10</v>
      </c>
      <c r="AC30" s="206" t="s">
        <v>42</v>
      </c>
      <c r="AD30" s="203">
        <f t="array" ref="AD30">MEDIAN(
_xlfn._xlws.FILTER(
Table9[Private Sector Revenues Generated (USD) / Project cost],
ISNUMBER(Table9[Private Sector Revenues Generated (USD) / Project cost])*
(Table9[Private Sector Revenues Generated (USD) / Project cost]&gt;0)*
(Table9[FCAS Status]="FCAS")
)
)</f>
        <v>0.48617511520737328</v>
      </c>
      <c r="AE30" s="203">
        <f t="array" ref="AE30">AVERAGE(
_xlfn._xlws.FILTER(
Table9[Private Sector Revenues Generated (USD) / Project cost],
ISNUMBER(Table9[Private Sector Revenues Generated (USD) / Project cost])*
(Table9[Private Sector Revenues Generated (USD) / Project cost]&gt;0)*
(Table9[FCAS Status]="FCAS")
)
)</f>
        <v>0.75760848986506124</v>
      </c>
      <c r="AF30" s="15">
        <f>COUNTIFS(
Table9[Private Sector Revenues Generated (USD) / Project cost],"&gt;0",
Table9[FCAS Status],"FCAS"
)</f>
        <v>11</v>
      </c>
      <c r="AG30" s="195">
        <f t="array" ref="AG30">_xlfn.LET(
_xlpm.data,_xlfn._xlws.FILTER(
Table9[Private Sector Revenues Generated (USD) / Project cost],
ISNUMBER(Table9[Private Sector Revenues Generated (USD) / Project cost])*
(Table9[Private Sector Revenues Generated (USD) / Project cost]&gt;0)*
(Table9[FCAS Status]="FCAS")
),
_xlpm.med,MEDIAN(_xlpm.data),
_xlpm.mad,MEDIAN(ABS(_xlpm.data-_xlpm.med)),
SUMPRODUCT(--(ABS(_xlpm.data-_xlpm.med)&gt;2.5*_xlpm.mad))/COUNT(_xlpm.data)
)</f>
        <v>0.18181818181818182</v>
      </c>
      <c r="AH30" s="15">
        <f t="array" ref="AH30">_xlfn.LET(
_xlpm.data,_xlfn._xlws.FILTER(
Table9[Private Sector Revenues Generated (USD) / Project cost],
ISNUMBER(Table9[Private Sector Revenues Generated (USD) / Project cost])*
(Table9[Private Sector Revenues Generated (USD) / Project cost]&gt;0)*
(Table9[FCAS Status]="FCAS")
),
_xlpm.med,MEDIAN(_xlpm.data),
_xlpm.mad,MEDIAN(ABS(_xlpm.data-_xlpm.med)),
SUMPRODUCT(--(ABS(_xlpm.data-_xlpm.med)&gt;2.5*_xlpm.mad))
)</f>
        <v>2</v>
      </c>
      <c r="AI30" s="203">
        <f t="array" ref="AI30">_xlfn.LET(
_xlpm.data,_xlfn._xlws.FILTER(
Table9[Private Sector Revenues Generated (USD) / Project cost],
ISNUMBER(Table9[Private Sector Revenues Generated (USD) / Project cost])*
(Table9[Private Sector Revenues Generated (USD) / Project cost]&gt;0)*
(Table9[FCAS Status]="FCAS")
),
_xlpm.med,MEDIAN(_xlpm.data),
_xlpm.mad,MEDIAN(ABS(_xlpm.data-_xlpm.med)),
AVERAGE(_xlfn._xlws.FILTER(_xlpm.data,ABS(_xlpm.data-_xlpm.med)&lt;=2.5*_xlpm.mad))
)</f>
        <v>0.48707640707608274</v>
      </c>
      <c r="AJ30" s="15">
        <f>AF30-AH30</f>
        <v>9</v>
      </c>
      <c r="AL30" s="206" t="s">
        <v>42</v>
      </c>
      <c r="AM30" s="203">
        <f t="array" ref="AM30">MEDIAN(
_xlfn._xlws.FILTER(
Table9[Export Revenue Generated (USD) /Project Cost],
ISNUMBER(Table9[Export Revenue Generated (USD) /Project Cost])*
(Table9[Export Revenue Generated (USD) /Project Cost]&gt;0)*
(Table9[FCAS Status]="FCAS")
)
)</f>
        <v>3.6333847829880667E-2</v>
      </c>
      <c r="AN30" s="203">
        <f t="array" ref="AN30">AVERAGE(
_xlfn._xlws.FILTER(
Table9[Export Revenue Generated (USD) /Project Cost],
ISNUMBER(Table9[Export Revenue Generated (USD) /Project Cost])*
(Table9[Export Revenue Generated (USD) /Project Cost]&gt;0)*
(Table9[FCAS Status]="FCAS")
)
)</f>
        <v>4.4627247193539832E-2</v>
      </c>
      <c r="AO30" s="15">
        <f>COUNTIFS(
Table9[Export Revenue Generated (USD) /Project Cost],"&gt;0",
Table9[FCAS Status],"FCAS"
)</f>
        <v>5</v>
      </c>
      <c r="AP30" s="195">
        <f t="array" ref="AP30">_xlfn.LET(
_xlpm.data,_xlfn._xlws.FILTER(
Table9[Export Revenue Generated (USD) /Project Cost],
ISNUMBER(Table9[Export Revenue Generated (USD) /Project Cost])*
(Table9[Export Revenue Generated (USD) /Project Cost]&gt;0)*
(Table9[FCAS Status]="FCAS")
),
_xlpm.med,MEDIAN(_xlpm.data),
_xlpm.mad,MEDIAN(ABS(_xlpm.data-_xlpm.med)),
SUMPRODUCT(--(ABS(_xlpm.data-_xlpm.med)&gt;2.5*_xlpm.mad))/COUNT(_xlpm.data)
)</f>
        <v>0</v>
      </c>
      <c r="AQ30" s="15">
        <f t="array" ref="AQ30">_xlfn.LET(
_xlpm.data,_xlfn._xlws.FILTER(
Table9[Export Revenue Generated (USD) /Project Cost],
ISNUMBER(Table9[Export Revenue Generated (USD) /Project Cost])*
(Table9[Export Revenue Generated (USD) /Project Cost]&gt;0)*
(Table9[FCAS Status]="FCAS")
),
_xlpm.med,MEDIAN(_xlpm.data),
_xlpm.mad,MEDIAN(ABS(_xlpm.data-_xlpm.med)),
SUMPRODUCT(--(ABS(_xlpm.data-_xlpm.med)&gt;2.5*_xlpm.mad))
)</f>
        <v>0</v>
      </c>
      <c r="AR30" s="203">
        <f t="array" ref="AR30">_xlfn.LET(
_xlpm.data,_xlfn._xlws.FILTER(
Table9[Export Revenue Generated (USD) /Project Cost],
ISNUMBER(Table9[Export Revenue Generated (USD) /Project Cost])*
(Table9[Export Revenue Generated (USD) /Project Cost]&gt;0)*
(Table9[FCAS Status]="FCAS")
),
_xlpm.med,MEDIAN(_xlpm.data),
_xlpm.mad,MEDIAN(ABS(_xlpm.data-_xlpm.med)),
AVERAGE(_xlfn._xlws.FILTER(_xlpm.data,ABS(_xlpm.data-_xlpm.med)&lt;=2.5*_xlpm.mad))
)</f>
        <v>4.4627247193539832E-2</v>
      </c>
      <c r="AS30" s="15">
        <f>AO30-AQ30</f>
        <v>5</v>
      </c>
      <c r="AU30" s="206" t="s">
        <v>42</v>
      </c>
      <c r="AV30" s="202">
        <f t="array" ref="AV30">MEDIAN(
_xlfn._xlws.FILTER(
Table9[Job created per $Mn],
ISNUMBER(Table9[Job created per $Mn])*
(Table9[Job created per $Mn]&gt;0)*
(Table9[FCAS Status]="FCAS")
)
)</f>
        <v>194.39139415246055</v>
      </c>
      <c r="AW30" s="202">
        <f t="array" ref="AW30">AVERAGE(
_xlfn._xlws.FILTER(
Table9[Job created per $Mn],
ISNUMBER(Table9[Job created per $Mn])*
(Table9[Job created per $Mn]&gt;0)*
(Table9[FCAS Status]="FCAS")
)
)</f>
        <v>289.14218128649162</v>
      </c>
      <c r="AX30" s="15">
        <f>COUNTIFS(
Table9[Job created per $Mn],"&gt;0",
Table9[FCAS Status],"FCAS"
)</f>
        <v>12</v>
      </c>
      <c r="AY30" s="195">
        <f t="array" ref="AY30">_xlfn.LET(
_xlpm.data,
_xlfn._xlws.FILTER(
Table9[Job created per $Mn],
ISNUMBER(Table9[Job created per $Mn])*
(Table9[Job created per $Mn]&gt;0)*
(Table9[FCAS Status]="FCAS")
),
_xlpm.med,
MEDIAN(_xlpm.data),
_xlpm.mad,
MEDIAN(ABS(_xlpm.data-_xlpm.med)),
SUMPRODUCT(--(ABS(_xlpm.data-_xlpm.med)&gt;2.5*_xlpm.mad))/COUNT(_xlpm.data)
)</f>
        <v>8.3333333333333329E-2</v>
      </c>
      <c r="AZ30" s="15">
        <f t="array" ref="AZ30">_xlfn.LET(
_xlpm.data,
_xlfn._xlws.FILTER(
Table9[Job created per $Mn],
ISNUMBER(Table9[Job created per $Mn])*
(Table9[Job created per $Mn]&gt;0)*
(Table9[FCAS Status]="FCAS")
),
_xlpm.med,
MEDIAN(_xlpm.data),
_xlpm.mad,
MEDIAN(ABS(_xlpm.data-_xlpm.med)),
SUMPRODUCT(--(ABS(_xlpm.data-_xlpm.med)&gt;2.5*_xlpm.mad))
)</f>
        <v>1</v>
      </c>
      <c r="BA30" s="202">
        <f t="array" ref="BA30">_xlfn.LET(
_xlpm.data,
_xlfn._xlws.FILTER(
Table9[Job created per $Mn],
ISNUMBER(Table9[Job created per $Mn])*
(Table9[Job created per $Mn]&gt;0)*
(Table9[FCAS Status]="FCAS")
),
_xlpm.med,
MEDIAN(_xlpm.data),
_xlpm.mad,
MEDIAN(ABS(_xlpm.data-_xlpm.med)),
AVERAGE(
_xlfn._xlws.FILTER(
_xlpm.data,
ABS(_xlpm.data-_xlpm.med)&lt;=2.5*_xlpm.mad
)
)
)</f>
        <v>235.25294235582641</v>
      </c>
      <c r="BB30" s="15">
        <f>AX30-AZ30</f>
        <v>11</v>
      </c>
      <c r="BD30" s="206" t="s">
        <v>42</v>
      </c>
      <c r="BE30" s="202">
        <f t="array" ref="BE30">MEDIAN(
_xlfn._xlws.FILTER(
Table9[Job improved per $Mn],
ISNUMBER(Table9[Job improved per $Mn])*
(Table9[Job improved per $Mn]&gt;0)*
(Table9[FCAS Status]="FCAS")
)
)</f>
        <v>1482.8571428571429</v>
      </c>
      <c r="BF30" s="202">
        <f t="array" ref="BF30">AVERAGE(
_xlfn._xlws.FILTER(
Table9[Job improved per $Mn],
ISNUMBER(Table9[Job improved per $Mn])*
(Table9[Job improved per $Mn]&gt;0)*
(Table9[FCAS Status]="FCAS")
)
)</f>
        <v>3237.3935420266625</v>
      </c>
      <c r="BG30" s="15">
        <f>COUNTIFS(
Table9[Job improved per $Mn],"&gt;0",
Table9[FCAS Status],"FCAS"
)</f>
        <v>15</v>
      </c>
      <c r="BH30" s="195">
        <f t="array" ref="BH30">_xlfn.LET(
_xlpm.data,
_xlfn._xlws.FILTER(
Table9[Job improved per $Mn],
ISNUMBER(Table9[Job improved per $Mn])*
(Table9[Job improved per $Mn]&gt;0)*
(Table9[FCAS Status]="FCAS")
),
_xlpm.med,
MEDIAN(_xlpm.data),
_xlpm.mad,
MEDIAN(ABS(_xlpm.data-_xlpm.med)),
SUMPRODUCT(--(ABS(_xlpm.data-_xlpm.med)&gt;2.5*_xlpm.mad))/COUNT(_xlpm.data)
)</f>
        <v>0.26666666666666666</v>
      </c>
      <c r="BI30" s="15">
        <f t="array" ref="BI30">_xlfn.LET(
_xlpm.data,
_xlfn._xlws.FILTER(
Table9[Job improved per $Mn],
ISNUMBER(Table9[Job improved per $Mn])*
(Table9[Job improved per $Mn]&gt;0)*
(Table9[FCAS Status]="FCAS")
),
_xlpm.med,
MEDIAN(_xlpm.data),
_xlpm.mad,
MEDIAN(ABS(_xlpm.data-_xlpm.med)),
SUMPRODUCT(--(ABS(_xlpm.data-_xlpm.med)&gt;2.5*_xlpm.mad))
)</f>
        <v>4</v>
      </c>
      <c r="BJ30" s="202">
        <f t="array" ref="BJ30">_xlfn.LET(
_xlpm.data,
_xlfn._xlws.FILTER(
Table9[Job improved per $Mn],
ISNUMBER(Table9[Job improved per $Mn])*
(Table9[Job improved per $Mn]&gt;0)*
(Table9[FCAS Status]="FCAS")
),
_xlpm.med,
MEDIAN(_xlpm.data),
_xlpm.mad,
MEDIAN(ABS(_xlpm.data-_xlpm.med)),
AVERAGE(
_xlfn._xlws.FILTER(
_xlpm.data,
ABS(_xlpm.data-_xlpm.med)&lt;=2.5*_xlpm.mad
)
)
)</f>
        <v>976.5725239665976</v>
      </c>
      <c r="BK30" s="15">
        <f>BG30-BI30</f>
        <v>11</v>
      </c>
      <c r="BM30" s="206" t="s">
        <v>42</v>
      </c>
      <c r="BN30" s="203">
        <f t="array" ref="BN30">MEDIAN(
_xlfn._xlws.FILTER(
Table9[Beneficiary Income (USD) / Project Cost],
ISNUMBER(Table9[Beneficiary Income (USD) / Project Cost])*
(Table9[Beneficiary Income (USD) / Project Cost]&gt;0)*
(Table9[FCAS Status]="FCAS")
)
)</f>
        <v>0.96</v>
      </c>
      <c r="BO30" s="203">
        <f t="array" ref="BO30">AVERAGE(
_xlfn._xlws.FILTER(
Table9[Beneficiary Income (USD) / Project Cost],
ISNUMBER(Table9[Beneficiary Income (USD) / Project Cost])*
(Table9[Beneficiary Income (USD) / Project Cost]&gt;0)*
(Table9[FCAS Status]="FCAS")
)
)</f>
        <v>1.2652241777337252</v>
      </c>
      <c r="BP30" s="15">
        <f>COUNTIFS(
Table9[Beneficiary Income (USD) / Project Cost],"&gt;0",
Table9[FCAS Status],"FCAS"
)</f>
        <v>15</v>
      </c>
      <c r="BQ30" s="195">
        <f t="array" ref="BQ30">_xlfn.LET(
_xlpm.data,
_xlfn._xlws.FILTER(
Table9[Beneficiary Income (USD) / Project Cost],
ISNUMBER(Table9[Beneficiary Income (USD) / Project Cost])*
(Table9[Beneficiary Income (USD) / Project Cost]&gt;0)*
(Table9[FCAS Status]="FCAS")
),
_xlpm.med,
MEDIAN(_xlpm.data),
_xlpm.mad,
MEDIAN(ABS(_xlpm.data-_xlpm.med)),
SUMPRODUCT(--(ABS(_xlpm.data-_xlpm.med)&gt;2.5*_xlpm.mad))/COUNT(_xlpm.data)
)</f>
        <v>0.13333333333333333</v>
      </c>
      <c r="BR30" s="15">
        <f t="array" ref="BR30">_xlfn.LET(
_xlpm.data,
_xlfn._xlws.FILTER(
Table9[Beneficiary Income (USD) / Project Cost],
ISNUMBER(Table9[Beneficiary Income (USD) / Project Cost])*
(Table9[Beneficiary Income (USD) / Project Cost]&gt;0)*
(Table9[FCAS Status]="FCAS")
),
_xlpm.med,
MEDIAN(_xlpm.data),
_xlpm.mad,
MEDIAN(ABS(_xlpm.data-_xlpm.med)),
SUMPRODUCT(--(ABS(_xlpm.data-_xlpm.med)&gt;2.5*_xlpm.mad))
)</f>
        <v>2</v>
      </c>
      <c r="BS30" s="203">
        <f t="array" ref="BS30">_xlfn.LET(
_xlpm.data,
_xlfn._xlws.FILTER(
Table9[Beneficiary Income (USD) / Project Cost],
ISNUMBER(Table9[Beneficiary Income (USD) / Project Cost])*
(Table9[Beneficiary Income (USD) / Project Cost]&gt;0)*
(Table9[FCAS Status]="FCAS")
),
_xlpm.med,
MEDIAN(_xlpm.data),
_xlpm.mad,
MEDIAN(ABS(_xlpm.data-_xlpm.med)),
AVERAGE(
_xlfn._xlws.FILTER(
_xlpm.data,
ABS(_xlpm.data-_xlpm.med)&lt;=2.5*_xlpm.mad
)
)
)</f>
        <v>0.91767787609304985</v>
      </c>
      <c r="BT30" s="15">
        <f>BP30-BR30</f>
        <v>13</v>
      </c>
    </row>
    <row r="31" spans="2:72" ht="14.45" customHeight="1" x14ac:dyDescent="0.25">
      <c r="B31" s="376" t="s">
        <v>646</v>
      </c>
      <c r="C31" s="373"/>
      <c r="D31" s="373"/>
      <c r="E31" s="373"/>
      <c r="F31" s="420"/>
      <c r="G31" s="373"/>
      <c r="H31" s="373"/>
      <c r="I31" s="373"/>
      <c r="J31" s="417"/>
      <c r="K31" s="376" t="s">
        <v>646</v>
      </c>
      <c r="L31" s="373"/>
      <c r="M31" s="373"/>
      <c r="N31" s="373"/>
      <c r="O31" s="420"/>
      <c r="P31" s="373"/>
      <c r="Q31" s="373"/>
      <c r="R31" s="373"/>
      <c r="S31" s="417"/>
      <c r="T31" s="376" t="s">
        <v>646</v>
      </c>
      <c r="U31" s="373"/>
      <c r="V31" s="373"/>
      <c r="W31" s="373"/>
      <c r="X31" s="373"/>
      <c r="Y31" s="373"/>
      <c r="Z31" s="373"/>
      <c r="AA31" s="373"/>
      <c r="AB31" s="417"/>
      <c r="AC31" s="376" t="s">
        <v>646</v>
      </c>
      <c r="AD31" s="373"/>
      <c r="AE31" s="373"/>
      <c r="AF31" s="373"/>
      <c r="AG31" s="373"/>
      <c r="AH31" s="373"/>
      <c r="AI31" s="373"/>
      <c r="AJ31" s="373"/>
      <c r="AK31" s="417"/>
      <c r="AL31" s="376" t="s">
        <v>646</v>
      </c>
      <c r="AM31" s="373"/>
      <c r="AN31" s="373"/>
      <c r="AO31" s="373"/>
      <c r="AP31" s="373"/>
      <c r="AQ31" s="373"/>
      <c r="AR31" s="373"/>
      <c r="AS31" s="373"/>
      <c r="AT31" s="417"/>
      <c r="AU31" s="376" t="s">
        <v>646</v>
      </c>
      <c r="AV31" s="373"/>
      <c r="AW31" s="373"/>
      <c r="AX31" s="373"/>
      <c r="AY31" s="373"/>
      <c r="AZ31" s="373"/>
      <c r="BA31" s="373"/>
      <c r="BB31" s="373"/>
      <c r="BC31" s="417"/>
      <c r="BD31" s="376" t="s">
        <v>646</v>
      </c>
      <c r="BE31" s="373"/>
      <c r="BF31" s="373"/>
      <c r="BG31" s="373"/>
      <c r="BH31" s="420"/>
      <c r="BI31" s="373"/>
      <c r="BJ31" s="373"/>
      <c r="BK31" s="373"/>
      <c r="BL31" s="417"/>
      <c r="BM31" s="376" t="s">
        <v>646</v>
      </c>
      <c r="BN31" s="373"/>
      <c r="BO31" s="373"/>
      <c r="BP31" s="373"/>
      <c r="BQ31" s="420"/>
      <c r="BR31" s="373"/>
      <c r="BS31" s="373"/>
      <c r="BT31" s="373"/>
    </row>
    <row r="32" spans="2:72" x14ac:dyDescent="0.25">
      <c r="B32" s="206" t="s">
        <v>647</v>
      </c>
      <c r="C32" s="202" cm="1">
        <f t="array" ref="C32">MEDIAN(_xlfn._xlws.FILTER(Table9[Income per beneficiary (USD)],(Table9[Income per beneficiary (USD)]&gt;0)*ISNUMBER(SEARCH("job creation",Table9[Primary Objective]))))</f>
        <v>285.22750050110238</v>
      </c>
      <c r="D32" s="202">
        <f t="array" ref="D32">AVERAGE(_xlfn._xlws.FILTER(Table9[Income per beneficiary (USD)],(Table9[Income per beneficiary (USD)]&gt;0)*ISNUMBER(SEARCH("job creation",Table9[Primary Objective]))))</f>
        <v>575.23285112772339</v>
      </c>
      <c r="E32" s="15">
        <f>COUNTIFS(Table9[Income per beneficiary (USD)],"&gt;0",Table9[Primary Objective],"*job creation*")</f>
        <v>21</v>
      </c>
      <c r="F32" s="195">
        <f t="array" ref="F32">_xlfn.LET(
_xlpm.data,_xlfn._xlws.FILTER(
Table9[Income per beneficiary (USD)],
(Table9[Income per beneficiary (USD)]&gt;0)*
ISNUMBER(SEARCH("job creation",Table9[Primary Objective]))
),
_xlpm.med,MEDIAN(_xlpm.data),
_xlpm.mad,MEDIAN(ABS(_xlpm.data-_xlpm.med)),
SUMPRODUCT(--(ABS(_xlpm.data-_xlpm.med)&gt;2.5*_xlpm.mad))/COUNT(_xlpm.data)
)</f>
        <v>0.14285714285714285</v>
      </c>
      <c r="G32" s="15">
        <f t="array" ref="G32">_xlfn.LET(
_xlpm.data,_xlfn._xlws.FILTER(
Table9[Income per beneficiary (USD)],
(Table9[Income per beneficiary (USD)]&gt;0)*
ISNUMBER(SEARCH("job creation",Table9[Primary Objective]))
),
_xlpm.med,MEDIAN(_xlpm.data),
_xlpm.mad,MEDIAN(ABS(_xlpm.data-_xlpm.med)),
SUMPRODUCT(--(ABS(_xlpm.data-_xlpm.med)&gt;2.5*_xlpm.mad))
)</f>
        <v>3</v>
      </c>
      <c r="H32" s="202">
        <f t="array" ref="H32">_xlfn.LET(
_xlpm.data,_xlfn._xlws.FILTER(
Table9[Income per beneficiary (USD)],
(Table9[Income per beneficiary (USD)]&gt;0)*
ISNUMBER(SEARCH("job creation",Table9[Primary Objective]))
),
_xlpm.med,MEDIAN(_xlpm.data),
_xlpm.mad,MEDIAN(ABS(_xlpm.data-_xlpm.med)),
AVERAGE(_xlfn._xlws.FILTER(_xlpm.data,ABS(_xlpm.data-_xlpm.med)&lt;=2.5*_xlpm.mad))
)</f>
        <v>248.00016887164691</v>
      </c>
      <c r="I32" s="202">
        <f>E32-G32</f>
        <v>18</v>
      </c>
      <c r="J32" s="130"/>
      <c r="K32" s="206" t="s">
        <v>647</v>
      </c>
      <c r="L32" s="203">
        <f t="array" ref="L32">MEDIAN(_xlfn._xlws.FILTER(Table9[Normalised Income Impact Ratio],ISNUMBER(Table9[Normalised Income Impact Ratio])*(Table9[Normalised Income Impact Ratio]&gt;0)*ISNUMBER(SEARCH("job creation",Table9[Primary Objective]))))</f>
        <v>2.5295999999999999E-2</v>
      </c>
      <c r="M32" s="203">
        <f t="array" ref="M32">AVERAGE(_xlfn._xlws.FILTER(Table9[Normalised Income Impact Ratio],ISNUMBER(Table9[Normalised Income Impact Ratio])*(Table9[Normalised Income Impact Ratio]&gt;0)*ISNUMBER(SEARCH("job creation",Table9[Primary Objective]))))</f>
        <v>7.6674964497304085E-2</v>
      </c>
      <c r="N32" s="15">
        <f>COUNTIFS(Table9[Normalised Income Impact Ratio],"&gt;0",Table9[Primary Objective],"*job creation*")</f>
        <v>21</v>
      </c>
      <c r="O32" s="195">
        <f t="array" ref="O32">_xlfn.LET(_xlpm.data,_xlfn._xlws.FILTER(Table9[Normalised Income Impact Ratio],ISNUMBER(Table9[Normalised Income Impact Ratio])*(Table9[Normalised Income Impact Ratio]&gt;0)*ISNUMBER(SEARCH("job creation",Table9[Primary Objective]))),_xlpm.med,MEDIAN(_xlpm.data),_xlpm.mad,MEDIAN(ABS(_xlpm.data-_xlpm.med)),SUMPRODUCT(--(ABS(_xlpm.data-_xlpm.med)&gt;2.5*_xlpm.mad))/COUNT(_xlpm.data))</f>
        <v>0.2857142857142857</v>
      </c>
      <c r="P32" s="15">
        <f t="array" ref="P32">_xlfn.LET(_xlpm.data,_xlfn._xlws.FILTER(Table9[Normalised Income Impact Ratio],ISNUMBER(Table9[Normalised Income Impact Ratio])*(Table9[Normalised Income Impact Ratio]&gt;0)*ISNUMBER(SEARCH("job creation",Table9[Primary Objective]))),_xlpm.med,MEDIAN(_xlpm.data),_xlpm.mad,MEDIAN(ABS(_xlpm.data-_xlpm.med)),SUMPRODUCT(--(ABS(_xlpm.data-_xlpm.med)&gt;2.5*_xlpm.mad)))</f>
        <v>6</v>
      </c>
      <c r="Q32" s="203">
        <f t="array" ref="Q32">_xlfn.LET(_xlpm.data,_xlfn._xlws.FILTER(Table9[Normalised Income Impact Ratio],ISNUMBER(Table9[Normalised Income Impact Ratio])*(Table9[Normalised Income Impact Ratio]&gt;0)*ISNUMBER(SEARCH("job creation",Table9[Primary Objective]))),_xlpm.med,MEDIAN(_xlpm.data),_xlpm.mad,MEDIAN(ABS(_xlpm.data-_xlpm.med)),AVERAGE(_xlfn._xlws.FILTER(_xlpm.data,ABS(_xlpm.data-_xlpm.med)&lt;=2.5*_xlpm.mad)))</f>
        <v>2.0102962624800894E-2</v>
      </c>
      <c r="R32" s="15">
        <f>N32-P32</f>
        <v>15</v>
      </c>
      <c r="T32" s="206" t="s">
        <v>647</v>
      </c>
      <c r="U32" s="203">
        <f t="array" ref="U32">MEDIAN(
_xlfn._xlws.FILTER(
Table9[Private Sector Investment (USD) / Project cost ],
ISNUMBER(Table9[Private Sector Investment (USD) / Project cost ])*
(Table9[Private Sector Investment (USD) / Project cost ]&gt;0)*
ISNUMBER(SEARCH("job creation",Table9[Primary Objective]))
)
)</f>
        <v>0.81891687625434328</v>
      </c>
      <c r="V32" s="203">
        <f t="array" ref="V32">AVERAGE(
_xlfn._xlws.FILTER(
Table9[Private Sector Investment (USD) / Project cost ],
ISNUMBER(Table9[Private Sector Investment (USD) / Project cost ])*
(Table9[Private Sector Investment (USD) / Project cost ]&gt;0)*
ISNUMBER(SEARCH("job creation",Table9[Primary Objective]))
)
)</f>
        <v>2.3058583342713233</v>
      </c>
      <c r="W32" s="15">
        <f>COUNTIFS(
Table9[Private Sector Investment (USD) / Project cost ],"&gt;0",
Table9[Primary Objective],"*job creation*"
)</f>
        <v>32</v>
      </c>
      <c r="X32" s="195">
        <f t="array" ref="X32">_xlfn.LET(
_xlpm.data,_xlfn._xlws.FILTER(
Table9[Private Sector Investment (USD) / Project cost ],
ISNUMBER(Table9[Private Sector Investment (USD) / Project cost ])*
(Table9[Private Sector Investment (USD) / Project cost ]&gt;0)*
ISNUMBER(SEARCH("job creation",Table9[Primary Objective]))
),
_xlpm.med,MEDIAN(_xlpm.data),
_xlpm.mad,MEDIAN(ABS(_xlpm.data-_xlpm.med)),
SUMPRODUCT(--(ABS(_xlpm.data-_xlpm.med)&gt;2.5*_xlpm.mad))/COUNT(_xlpm.data)
)</f>
        <v>0.1875</v>
      </c>
      <c r="Y32" s="15">
        <f t="array" ref="Y32">_xlfn.LET(
_xlpm.data,_xlfn._xlws.FILTER(
Table9[Private Sector Investment (USD) / Project cost ],
ISNUMBER(Table9[Private Sector Investment (USD) / Project cost ])*
(Table9[Private Sector Investment (USD) / Project cost ]&gt;0)*
ISNUMBER(SEARCH("job creation",Table9[Primary Objective]))
),
_xlpm.med,MEDIAN(_xlpm.data),
_xlpm.mad,MEDIAN(ABS(_xlpm.data-_xlpm.med)),
SUMPRODUCT(--(ABS(_xlpm.data-_xlpm.med)&gt;2.5*_xlpm.mad))
)</f>
        <v>6</v>
      </c>
      <c r="Z32" s="203">
        <f t="array" ref="Z32">_xlfn.LET(
_xlpm.data,_xlfn._xlws.FILTER(
Table9[Private Sector Investment (USD) / Project cost ],
ISNUMBER(Table9[Private Sector Investment (USD) / Project cost ])*
(Table9[Private Sector Investment (USD) / Project cost ]&gt;0)*
ISNUMBER(SEARCH("job creation",Table9[Primary Objective]))
),
_xlpm.med,MEDIAN(_xlpm.data),
_xlpm.mad,MEDIAN(ABS(_xlpm.data-_xlpm.med)),
AVERAGE(_xlfn._xlws.FILTER(_xlpm.data,ABS(_xlpm.data-_xlpm.med)&lt;=2.5*_xlpm.mad))
)</f>
        <v>0.70459181377280466</v>
      </c>
      <c r="AA32" s="15">
        <f>W32-Y32</f>
        <v>26</v>
      </c>
      <c r="AC32" s="206" t="s">
        <v>647</v>
      </c>
      <c r="AD32" s="203">
        <f t="array" ref="AD32">MEDIAN(
_xlfn._xlws.FILTER(
Table9[Private Sector Revenues Generated (USD) / Project cost],
ISNUMBER(Table9[Private Sector Revenues Generated (USD) / Project cost])*
(Table9[Private Sector Revenues Generated (USD) / Project cost]&gt;0)*
ISNUMBER(SEARCH("job creation",Table9[Primary Objective]))
)
)</f>
        <v>1.9212935826045361</v>
      </c>
      <c r="AE32" s="203">
        <f t="array" ref="AE32">AVERAGE(
_xlfn._xlws.FILTER(
Table9[Private Sector Revenues Generated (USD) / Project cost],
ISNUMBER(Table9[Private Sector Revenues Generated (USD) / Project cost])*
(Table9[Private Sector Revenues Generated (USD) / Project cost]&gt;0)*
ISNUMBER(SEARCH("job creation",Table9[Primary Objective]))
)
)</f>
        <v>3.9556704207931435</v>
      </c>
      <c r="AF32" s="15">
        <f>COUNTIFS(
Table9[Private Sector Revenues Generated (USD) / Project cost],"&gt;0",
Table9[Primary Objective],"*job creation*"
)</f>
        <v>26</v>
      </c>
      <c r="AG32" s="195">
        <f t="array" ref="AG32">_xlfn.LET(
_xlpm.data,_xlfn._xlws.FILTER(
Table9[Private Sector Revenues Generated (USD) / Project cost],
ISNUMBER(Table9[Private Sector Revenues Generated (USD) / Project cost])*
(Table9[Private Sector Revenues Generated (USD) / Project cost]&gt;0)*
ISNUMBER(SEARCH("job creation",Table9[Primary Objective]))
),
_xlpm.med,MEDIAN(_xlpm.data),
_xlpm.mad,MEDIAN(ABS(_xlpm.data-_xlpm.med)),
SUMPRODUCT(--(ABS(_xlpm.data-_xlpm.med)&gt;2.5*_xlpm.mad))/COUNT(_xlpm.data)
)</f>
        <v>0.23076923076923078</v>
      </c>
      <c r="AH32" s="15">
        <f t="array" ref="AH32">_xlfn.LET(
_xlpm.data,_xlfn._xlws.FILTER(
Table9[Private Sector Revenues Generated (USD) / Project cost],
ISNUMBER(Table9[Private Sector Revenues Generated (USD) / Project cost])*
(Table9[Private Sector Revenues Generated (USD) / Project cost]&gt;0)*
ISNUMBER(SEARCH("job creation",Table9[Primary Objective]))
),
_xlpm.med,MEDIAN(_xlpm.data),
_xlpm.mad,MEDIAN(ABS(_xlpm.data-_xlpm.med)),
SUMPRODUCT(--(ABS(_xlpm.data-_xlpm.med)&gt;2.5*_xlpm.mad))
)</f>
        <v>6</v>
      </c>
      <c r="AI32" s="203">
        <f t="array" ref="AI32">_xlfn.LET(
_xlpm.data,_xlfn._xlws.FILTER(
Table9[Private Sector Revenues Generated (USD) / Project cost],
ISNUMBER(Table9[Private Sector Revenues Generated (USD) / Project cost])*
(Table9[Private Sector Revenues Generated (USD) / Project cost]&gt;0)*
ISNUMBER(SEARCH("job creation",Table9[Primary Objective]))
),
_xlpm.med,MEDIAN(_xlpm.data),
_xlpm.mad,MEDIAN(ABS(_xlpm.data-_xlpm.med)),
AVERAGE(_xlfn._xlws.FILTER(_xlpm.data,ABS(_xlpm.data-_xlpm.med)&lt;=2.5*_xlpm.mad))
)</f>
        <v>1.3200447411983578</v>
      </c>
      <c r="AJ32" s="15">
        <f>AF32-AH32</f>
        <v>20</v>
      </c>
      <c r="AL32" s="206" t="s">
        <v>647</v>
      </c>
      <c r="AM32" s="203">
        <f t="array" ref="AM32">MEDIAN(
_xlfn._xlws.FILTER(
Table9[Export Revenue Generated (USD) /Project Cost],
ISNUMBER(Table9[Export Revenue Generated (USD) /Project Cost])*
(Table9[Export Revenue Generated (USD) /Project Cost]&gt;0)*
ISNUMBER(SEARCH("job creation",Table9[Primary Objective]))
)
)</f>
        <v>0.10208563993256134</v>
      </c>
      <c r="AN32" s="203">
        <f t="array" ref="AN32">AVERAGE(
_xlfn._xlws.FILTER(
Table9[Export Revenue Generated (USD) /Project Cost],
ISNUMBER(Table9[Export Revenue Generated (USD) /Project Cost])*
(Table9[Export Revenue Generated (USD) /Project Cost]&gt;0)*
ISNUMBER(SEARCH("job creation",Table9[Primary Objective]))
)
)</f>
        <v>8.3217404856190882</v>
      </c>
      <c r="AO32" s="15">
        <f>COUNTIFS(
Table9[Export Revenue Generated (USD) /Project Cost],"&gt;0",
Table9[Primary Objective],"*job creation*"
)</f>
        <v>10</v>
      </c>
      <c r="AP32" s="195">
        <f t="array" ref="AP32">_xlfn.LET(
_xlpm.data,_xlfn._xlws.FILTER(
Table9[Export Revenue Generated (USD) /Project Cost],
ISNUMBER(Table9[Export Revenue Generated (USD) /Project Cost])*
(Table9[Export Revenue Generated (USD) /Project Cost]&gt;0)*
ISNUMBER(SEARCH("job creation",Table9[Primary Objective]))
),
_xlpm.med,MEDIAN(_xlpm.data),
_xlpm.mad,MEDIAN(ABS(_xlpm.data-_xlpm.med)),
SUMPRODUCT(--(ABS(_xlpm.data-_xlpm.med)&gt;2.5*_xlpm.mad))/COUNT(_xlpm.data)
)</f>
        <v>0.3</v>
      </c>
      <c r="AQ32" s="15">
        <f t="array" ref="AQ32">_xlfn.LET(
_xlpm.data,_xlfn._xlws.FILTER(
Table9[Export Revenue Generated (USD) /Project Cost],
ISNUMBER(Table9[Export Revenue Generated (USD) /Project Cost])*
(Table9[Export Revenue Generated (USD) /Project Cost]&gt;0)*
ISNUMBER(SEARCH("job creation",Table9[Primary Objective]))
),
_xlpm.med,MEDIAN(_xlpm.data),
_xlpm.mad,MEDIAN(ABS(_xlpm.data-_xlpm.med)),
SUMPRODUCT(--(ABS(_xlpm.data-_xlpm.med)&gt;2.5*_xlpm.mad))
)</f>
        <v>3</v>
      </c>
      <c r="AR32" s="203">
        <f t="array" ref="AR32">_xlfn.LET(
_xlpm.data,_xlfn._xlws.FILTER(
Table9[Export Revenue Generated (USD) /Project Cost],
ISNUMBER(Table9[Export Revenue Generated (USD) /Project Cost])*
(Table9[Export Revenue Generated (USD) /Project Cost]&gt;0)*
ISNUMBER(SEARCH("job creation",Table9[Primary Objective]))
),
_xlpm.med,MEDIAN(_xlpm.data),
_xlpm.mad,MEDIAN(ABS(_xlpm.data-_xlpm.med)),
AVERAGE(_xlfn._xlws.FILTER(_xlpm.data,ABS(_xlpm.data-_xlpm.med)&lt;=2.5*_xlpm.mad))
)</f>
        <v>7.4373766549661421E-2</v>
      </c>
      <c r="AS32" s="15">
        <f>AO32-AQ32</f>
        <v>7</v>
      </c>
      <c r="AU32" s="206" t="s">
        <v>647</v>
      </c>
      <c r="AV32" s="202">
        <f t="array" ref="AV32">MEDIAN(
_xlfn._xlws.FILTER(
Table9[Job created per $Mn],
ISNUMBER(Table9[Job created per $Mn])*
(Table9[Job created per $Mn]&gt;0)*
ISNUMBER(SEARCH("job creation",Table9[Primary Objective]))
)
)</f>
        <v>337.46556473829202</v>
      </c>
      <c r="AW32" s="202">
        <f t="array" ref="AW32">AVERAGE(
_xlfn._xlws.FILTER(
Table9[Job created per $Mn],
ISNUMBER(Table9[Job created per $Mn])*
(Table9[Job created per $Mn]&gt;0)*
ISNUMBER(SEARCH("job creation",Table9[Primary Objective]))
)
)</f>
        <v>1005.0752799281297</v>
      </c>
      <c r="AX32" s="15">
        <f>COUNTIFS(
Table9[Job created per $Mn],"&gt;0",
Table9[Primary Objective],"*job creation*"
)</f>
        <v>37</v>
      </c>
      <c r="AY32" s="195">
        <f t="array" ref="AY32">_xlfn.LET(
_xlpm.data,
_xlfn._xlws.FILTER(
Table9[Job created per $Mn],
ISNUMBER(Table9[Job created per $Mn])*
(Table9[Job created per $Mn]&gt;0)*
ISNUMBER(SEARCH("job creation",Table9[Primary Objective]))
),
_xlpm.med,
MEDIAN(_xlpm.data),
_xlpm.mad,
MEDIAN(ABS(_xlpm.data-_xlpm.med)),
SUMPRODUCT(--(ABS(_xlpm.data-_xlpm.med)&gt;2.5*_xlpm.mad))/COUNT(_xlpm.data)
)</f>
        <v>0.24324324324324326</v>
      </c>
      <c r="AZ32" s="15">
        <f t="array" ref="AZ32">_xlfn.LET(
_xlpm.data,
_xlfn._xlws.FILTER(
Table9[Job created per $Mn],
ISNUMBER(Table9[Job created per $Mn])*
(Table9[Job created per $Mn]&gt;0)*
ISNUMBER(SEARCH("job creation",Table9[Primary Objective]))
),
_xlpm.med,
MEDIAN(_xlpm.data),
_xlpm.mad,
MEDIAN(ABS(_xlpm.data-_xlpm.med)),
SUMPRODUCT(--(ABS(_xlpm.data-_xlpm.med)&gt;2.5*_xlpm.mad))
)</f>
        <v>9</v>
      </c>
      <c r="BA32" s="202">
        <f t="array" ref="BA32">_xlfn.LET(
_xlpm.data,
_xlfn._xlws.FILTER(
Table9[Job created per $Mn],
ISNUMBER(Table9[Job created per $Mn])*
(Table9[Job created per $Mn]&gt;0)*
ISNUMBER(SEARCH("job creation",Table9[Primary Objective]))
),
_xlpm.med,
MEDIAN(_xlpm.data),
_xlpm.mad,
MEDIAN(ABS(_xlpm.data-_xlpm.med)),
AVERAGE(
_xlfn._xlws.FILTER(
_xlpm.data,
ABS(_xlpm.data-_xlpm.med)&lt;=2.5*_xlpm.mad
)
)
)</f>
        <v>292.02061040714676</v>
      </c>
      <c r="BB32" s="15">
        <f>AX32-AZ32</f>
        <v>28</v>
      </c>
      <c r="BD32" s="206" t="s">
        <v>647</v>
      </c>
      <c r="BE32" s="202">
        <f t="array" ref="BE32">MEDIAN(
_xlfn._xlws.FILTER(
Table9[Job improved per $Mn],
ISNUMBER(Table9[Job improved per $Mn])*
(Table9[Job improved per $Mn]&gt;0)*
ISNUMBER(SEARCH("job creation",Table9[Primary Objective]))
)
)</f>
        <v>1518.075432761626</v>
      </c>
      <c r="BF32" s="202">
        <f t="array" ref="BF32">AVERAGE(
_xlfn._xlws.FILTER(
Table9[Job improved per $Mn],
ISNUMBER(Table9[Job improved per $Mn])*
(Table9[Job improved per $Mn]&gt;0)*
ISNUMBER(SEARCH("job creation",Table9[Primary Objective]))
)
)</f>
        <v>6768.3212406701723</v>
      </c>
      <c r="BG32" s="15">
        <f>COUNTIFS(
Table9[Job improved per $Mn],"&gt;0",
Table9[Primary Objective],"*job creation*"
)</f>
        <v>31</v>
      </c>
      <c r="BH32" s="195">
        <f t="array" ref="BH32">_xlfn.LET(
_xlpm.data,
_xlfn._xlws.FILTER(
Table9[Job improved per $Mn],
ISNUMBER(Table9[Job improved per $Mn])*
(Table9[Job improved per $Mn]&gt;0)*
ISNUMBER(SEARCH("job creation",Table9[Primary Objective]))
),
_xlpm.med,
MEDIAN(_xlpm.data),
_xlpm.mad,
MEDIAN(ABS(_xlpm.data-_xlpm.med)),
SUMPRODUCT(--(ABS(_xlpm.data-_xlpm.med)&gt;2.5*_xlpm.mad))/COUNT(_xlpm.data)
)</f>
        <v>0.35483870967741937</v>
      </c>
      <c r="BI32" s="15">
        <f t="array" ref="BI32">_xlfn.LET(
_xlpm.data,
_xlfn._xlws.FILTER(
Table9[Job improved per $Mn],
ISNUMBER(Table9[Job improved per $Mn])*
(Table9[Job improved per $Mn]&gt;0)*
ISNUMBER(SEARCH("job creation",Table9[Primary Objective]))
),
_xlpm.med,
MEDIAN(_xlpm.data),
_xlpm.mad,
MEDIAN(ABS(_xlpm.data-_xlpm.med)),
SUMPRODUCT(--(ABS(_xlpm.data-_xlpm.med)&gt;2.5*_xlpm.mad))
)</f>
        <v>11</v>
      </c>
      <c r="BJ32" s="202">
        <f t="array" ref="BJ32">_xlfn.LET(
_xlpm.data,
_xlfn._xlws.FILTER(
Table9[Job improved per $Mn],
ISNUMBER(Table9[Job improved per $Mn])*
(Table9[Job improved per $Mn]&gt;0)*
ISNUMBER(SEARCH("job creation",Table9[Primary Objective]))
),
_xlpm.med,
MEDIAN(_xlpm.data),
_xlpm.mad,
MEDIAN(ABS(_xlpm.data-_xlpm.med)),
AVERAGE(
_xlfn._xlws.FILTER(
_xlpm.data,
ABS(_xlpm.data-_xlpm.med)&lt;=2.5*_xlpm.mad
)
)
)</f>
        <v>1089.2881721427452</v>
      </c>
      <c r="BK32" s="15">
        <f>BG32-BI32</f>
        <v>20</v>
      </c>
      <c r="BM32" s="206" t="s">
        <v>647</v>
      </c>
      <c r="BN32" s="203">
        <f t="array" ref="BN32">MEDIAN(
_xlfn._xlws.FILTER(
Table9[Beneficiary Income (USD) / Project Cost],
ISNUMBER(Table9[Beneficiary Income (USD) / Project Cost])*
(Table9[Beneficiary Income (USD) / Project Cost]&gt;0)*
ISNUMBER(SEARCH("job creation",Table9[Primary Objective]))
)
)</f>
        <v>1.0677128233333331</v>
      </c>
      <c r="BO32" s="203">
        <f t="array" ref="BO32">AVERAGE(
_xlfn._xlws.FILTER(
Table9[Beneficiary Income (USD) / Project Cost],
ISNUMBER(Table9[Beneficiary Income (USD) / Project Cost])*
(Table9[Beneficiary Income (USD) / Project Cost]&gt;0)*
ISNUMBER(SEARCH("job creation",Table9[Primary Objective]))
)
)</f>
        <v>1.3478918076797699</v>
      </c>
      <c r="BP32" s="15">
        <f>COUNTIFS(
Table9[Beneficiary Income (USD) / Project Cost],"&gt;0",
Table9[Primary Objective],"*job creation*"
)</f>
        <v>21</v>
      </c>
      <c r="BQ32" s="195">
        <f t="array" ref="BQ32">_xlfn.LET(
_xlpm.data,
_xlfn._xlws.FILTER(
Table9[Beneficiary Income (USD) / Project Cost],
ISNUMBER(Table9[Beneficiary Income (USD) / Project Cost])*
(Table9[Beneficiary Income (USD) / Project Cost]&gt;0)*
ISNUMBER(SEARCH("job creation",Table9[Primary Objective]))
),
_xlpm.med,
MEDIAN(_xlpm.data),
_xlpm.mad,
MEDIAN(ABS(_xlpm.data-_xlpm.med)),
SUMPRODUCT(--(ABS(_xlpm.data-_xlpm.med)&gt;2.5*_xlpm.mad))/COUNT(_xlpm.data)
)</f>
        <v>0.14285714285714285</v>
      </c>
      <c r="BR32" s="15">
        <f t="array" ref="BR32">_xlfn.LET(
_xlpm.data,
_xlfn._xlws.FILTER(
Table9[Beneficiary Income (USD) / Project Cost],
ISNUMBER(Table9[Beneficiary Income (USD) / Project Cost])*
(Table9[Beneficiary Income (USD) / Project Cost]&gt;0)*
ISNUMBER(SEARCH("job creation",Table9[Primary Objective]))
),
_xlpm.med,
MEDIAN(_xlpm.data),
_xlpm.mad,
MEDIAN(ABS(_xlpm.data-_xlpm.med)),
SUMPRODUCT(--(ABS(_xlpm.data-_xlpm.med)&gt;2.5*_xlpm.mad))
)</f>
        <v>3</v>
      </c>
      <c r="BS32" s="203">
        <f t="array" ref="BS32">_xlfn.LET(
_xlpm.data,
_xlfn._xlws.FILTER(
Table9[Beneficiary Income (USD) / Project Cost],
ISNUMBER(Table9[Beneficiary Income (USD) / Project Cost])*
(Table9[Beneficiary Income (USD) / Project Cost]&gt;0)*
ISNUMBER(SEARCH("job creation",Table9[Primary Objective]))
),
_xlpm.med,
MEDIAN(_xlpm.data),
_xlpm.mad,
MEDIAN(ABS(_xlpm.data-_xlpm.med)),
AVERAGE(
_xlfn._xlws.FILTER(
_xlpm.data,
ABS(_xlpm.data-_xlpm.med)&lt;=2.5*_xlpm.mad
)
)
)</f>
        <v>1.0373108229885604</v>
      </c>
      <c r="BT32" s="15">
        <f>BP32-BR32</f>
        <v>18</v>
      </c>
    </row>
    <row r="33" spans="2:72" x14ac:dyDescent="0.25">
      <c r="B33" s="206" t="s">
        <v>648</v>
      </c>
      <c r="C33" s="202">
        <f t="array" ref="C33">MEDIAN(_xlfn._xlws.FILTER(Table9[Income per beneficiary (USD)],(Table9[Income per beneficiary (USD)]&gt;0)*ISNUMBER(SEARCH("income improvement",Table9[Primary Objective]))))</f>
        <v>189.99599231861066</v>
      </c>
      <c r="D33" s="202">
        <f t="array" ref="D33">AVERAGE(_xlfn._xlws.FILTER(Table9[Income per beneficiary (USD)],(Table9[Income per beneficiary (USD)]&gt;0)*ISNUMBER(SEARCH("income improvement",Table9[Primary Objective]))))</f>
        <v>446.14076697653491</v>
      </c>
      <c r="E33" s="15">
        <f>COUNTIFS(Table9[Income per beneficiary (USD)],"&gt;0",Table9[Primary Objective],"*income improvement*")</f>
        <v>44</v>
      </c>
      <c r="F33" s="195">
        <f t="array" ref="F33">_xlfn.LET(
_xlpm.data,_xlfn._xlws.FILTER(
Table9[Income per beneficiary (USD)],
(Table9[Income per beneficiary (USD)]&gt;0)*
ISNUMBER(SEARCH("income improvement",Table9[Primary Objective]))
),
_xlpm.med,MEDIAN(_xlpm.data),
_xlpm.mad,MEDIAN(ABS(_xlpm.data-_xlpm.med)),
SUMPRODUCT(--(ABS(_xlpm.data-_xlpm.med)&gt;2.5*_xlpm.mad))/COUNT(_xlpm.data)
)</f>
        <v>0.20454545454545456</v>
      </c>
      <c r="G33" s="15">
        <f t="array" ref="G33">_xlfn.LET(
_xlpm.data,_xlfn._xlws.FILTER(
Table9[Income per beneficiary (USD)],
(Table9[Income per beneficiary (USD)]&gt;0)*
ISNUMBER(SEARCH("income improvement",Table9[Primary Objective]))
),
_xlpm.med,MEDIAN(_xlpm.data),
_xlpm.mad,MEDIAN(ABS(_xlpm.data-_xlpm.med)),
SUMPRODUCT(--(ABS(_xlpm.data-_xlpm.med)&gt;2.5*_xlpm.mad))
)</f>
        <v>9</v>
      </c>
      <c r="H33" s="202">
        <f t="array" ref="H33">_xlfn.LET(
_xlpm.data,_xlfn._xlws.FILTER(
Table9[Income per beneficiary (USD)],
(Table9[Income per beneficiary (USD)]&gt;0)*
ISNUMBER(SEARCH("income improvement",Table9[Primary Objective]))
),
_xlpm.med,MEDIAN(_xlpm.data),
_xlpm.mad,MEDIAN(ABS(_xlpm.data-_xlpm.med)),
AVERAGE(_xlfn._xlws.FILTER(_xlpm.data,ABS(_xlpm.data-_xlpm.med)&lt;=2.5*_xlpm.mad))
)</f>
        <v>193.20709578774699</v>
      </c>
      <c r="I33" s="202">
        <f>E33-G33</f>
        <v>35</v>
      </c>
      <c r="J33" s="130"/>
      <c r="K33" s="206" t="s">
        <v>648</v>
      </c>
      <c r="L33" s="203">
        <f t="array" ref="L33">MEDIAN(_xlfn._xlws.FILTER(Table9[Normalised Income Impact Ratio],ISNUMBER(Table9[Normalised Income Impact Ratio])*(Table9[Normalised Income Impact Ratio]&gt;0)*ISNUMBER(SEARCH("income improvement",Table9[Primary Objective]))))</f>
        <v>2.5295999999999999E-2</v>
      </c>
      <c r="M33" s="203">
        <f t="array" ref="M33">AVERAGE(_xlfn._xlws.FILTER(Table9[Normalised Income Impact Ratio],ISNUMBER(Table9[Normalised Income Impact Ratio])*(Table9[Normalised Income Impact Ratio]&gt;0)*ISNUMBER(SEARCH("income improvement",Table9[Primary Objective]))))</f>
        <v>7.5719240859744436E-2</v>
      </c>
      <c r="N33" s="15">
        <f>COUNTIFS(Table9[Normalised Income Impact Ratio],"&gt;0",Table9[Primary Objective],"*income improvement*")</f>
        <v>43</v>
      </c>
      <c r="O33" s="195">
        <f t="array" ref="O33">_xlfn.LET(_xlpm.data,_xlfn._xlws.FILTER(Table9[Normalised Income Impact Ratio],ISNUMBER(Table9[Normalised Income Impact Ratio])*(Table9[Normalised Income Impact Ratio]&gt;0)*ISNUMBER(SEARCH("income improvement",Table9[Primary Objective]))),_xlpm.med,MEDIAN(_xlpm.data),_xlpm.mad,MEDIAN(ABS(_xlpm.data-_xlpm.med)),SUMPRODUCT(--(ABS(_xlpm.data-_xlpm.med)&gt;2.5*_xlpm.mad))/COUNT(_xlpm.data))</f>
        <v>0.30232558139534882</v>
      </c>
      <c r="P33" s="15">
        <f t="array" ref="P33">_xlfn.LET(_xlpm.data,_xlfn._xlws.FILTER(Table9[Normalised Income Impact Ratio],ISNUMBER(Table9[Normalised Income Impact Ratio])*(Table9[Normalised Income Impact Ratio]&gt;0)*ISNUMBER(SEARCH("income improvement",Table9[Primary Objective]))),_xlpm.med,MEDIAN(_xlpm.data),_xlpm.mad,MEDIAN(ABS(_xlpm.data-_xlpm.med)),SUMPRODUCT(--(ABS(_xlpm.data-_xlpm.med)&gt;2.5*_xlpm.mad)))</f>
        <v>13</v>
      </c>
      <c r="Q33" s="203">
        <f t="array" ref="Q33">_xlfn.LET(_xlpm.data,_xlfn._xlws.FILTER(Table9[Normalised Income Impact Ratio],ISNUMBER(Table9[Normalised Income Impact Ratio])*(Table9[Normalised Income Impact Ratio]&gt;0)*ISNUMBER(SEARCH("income improvement",Table9[Primary Objective]))),_xlpm.med,MEDIAN(_xlpm.data),_xlpm.mad,MEDIAN(ABS(_xlpm.data-_xlpm.med)),AVERAGE(_xlfn._xlws.FILTER(_xlpm.data,ABS(_xlpm.data-_xlpm.med)&lt;=2.5*_xlpm.mad)))</f>
        <v>1.9804711722936529E-2</v>
      </c>
      <c r="R33" s="15">
        <f>N33-P33</f>
        <v>30</v>
      </c>
      <c r="T33" s="206" t="s">
        <v>648</v>
      </c>
      <c r="U33" s="203">
        <f t="array" ref="U33">MEDIAN(
_xlfn._xlws.FILTER(
Table9[Private Sector Investment (USD) / Project cost ],
ISNUMBER(Table9[Private Sector Investment (USD) / Project cost ])*
(Table9[Private Sector Investment (USD) / Project cost ]&gt;0)*
ISNUMBER(SEARCH("income improvement",Table9[Primary Objective]))
)
)</f>
        <v>0.48221049077583339</v>
      </c>
      <c r="V33" s="203">
        <f t="array" ref="V33">AVERAGE(
_xlfn._xlws.FILTER(
Table9[Private Sector Investment (USD) / Project cost ],
ISNUMBER(Table9[Private Sector Investment (USD) / Project cost ])*
(Table9[Private Sector Investment (USD) / Project cost ]&gt;0)*
ISNUMBER(SEARCH("income improvement",Table9[Primary Objective]))
)
)</f>
        <v>1.6060820741413953</v>
      </c>
      <c r="W33" s="15">
        <f>COUNTIFS(
Table9[Private Sector Investment (USD) / Project cost ],"&gt;0",
Table9[Primary Objective],"*income improvement*"
)</f>
        <v>53</v>
      </c>
      <c r="X33" s="195">
        <f t="array" ref="X33">_xlfn.LET(
_xlpm.data,_xlfn._xlws.FILTER(
Table9[Private Sector Investment (USD) / Project cost ],
ISNUMBER(Table9[Private Sector Investment (USD) / Project cost ])*
(Table9[Private Sector Investment (USD) / Project cost ]&gt;0)*
ISNUMBER(SEARCH("income improvement",Table9[Primary Objective]))
),
_xlpm.med,MEDIAN(_xlpm.data),
_xlpm.mad,MEDIAN(ABS(_xlpm.data-_xlpm.med)),
SUMPRODUCT(--(ABS(_xlpm.data-_xlpm.med)&gt;2.5*_xlpm.mad))/COUNT(_xlpm.data)
)</f>
        <v>0.18867924528301888</v>
      </c>
      <c r="Y33" s="15">
        <f t="array" ref="Y33">_xlfn.LET(
_xlpm.data,_xlfn._xlws.FILTER(
Table9[Private Sector Investment (USD) / Project cost ],
ISNUMBER(Table9[Private Sector Investment (USD) / Project cost ])*
(Table9[Private Sector Investment (USD) / Project cost ]&gt;0)*
ISNUMBER(SEARCH("income improvement",Table9[Primary Objective]))
),
_xlpm.med,MEDIAN(_xlpm.data),
_xlpm.mad,MEDIAN(ABS(_xlpm.data-_xlpm.med)),
SUMPRODUCT(--(ABS(_xlpm.data-_xlpm.med)&gt;2.5*_xlpm.mad))
)</f>
        <v>10</v>
      </c>
      <c r="Z33" s="203">
        <f t="array" ref="Z33">_xlfn.LET(
_xlpm.data,_xlfn._xlws.FILTER(
Table9[Private Sector Investment (USD) / Project cost ],
ISNUMBER(Table9[Private Sector Investment (USD) / Project cost ])*
(Table9[Private Sector Investment (USD) / Project cost ]&gt;0)*
ISNUMBER(SEARCH("income improvement",Table9[Primary Objective]))
),
_xlpm.med,MEDIAN(_xlpm.data),
_xlpm.mad,MEDIAN(ABS(_xlpm.data-_xlpm.med)),
AVERAGE(_xlfn._xlws.FILTER(_xlpm.data,ABS(_xlpm.data-_xlpm.med)&lt;=2.5*_xlpm.mad))
)</f>
        <v>0.47142979802855783</v>
      </c>
      <c r="AA33" s="15">
        <f>W33-Y33</f>
        <v>43</v>
      </c>
      <c r="AC33" s="206" t="s">
        <v>648</v>
      </c>
      <c r="AD33" s="203">
        <f t="array" ref="AD33">MEDIAN(
_xlfn._xlws.FILTER(
Table9[Private Sector Revenues Generated (USD) / Project cost],
ISNUMBER(Table9[Private Sector Revenues Generated (USD) / Project cost])*
(Table9[Private Sector Revenues Generated (USD) / Project cost]&gt;0)*
ISNUMBER(SEARCH("income improvement",Table9[Primary Objective]))
)
)</f>
        <v>1.5105740181268881</v>
      </c>
      <c r="AE33" s="203">
        <f t="array" ref="AE33">AVERAGE(
_xlfn._xlws.FILTER(
Table9[Private Sector Revenues Generated (USD) / Project cost],
ISNUMBER(Table9[Private Sector Revenues Generated (USD) / Project cost])*
(Table9[Private Sector Revenues Generated (USD) / Project cost]&gt;0)*
ISNUMBER(SEARCH("income improvement",Table9[Primary Objective]))
)
)</f>
        <v>3.0204195685875233</v>
      </c>
      <c r="AF33" s="15">
        <f>COUNTIFS(
Table9[Private Sector Revenues Generated (USD) / Project cost],"&gt;0",
Table9[Primary Objective],"*income improvement*"
)</f>
        <v>45</v>
      </c>
      <c r="AG33" s="195">
        <f t="array" ref="AG33">_xlfn.LET(
_xlpm.data,_xlfn._xlws.FILTER(
Table9[Private Sector Revenues Generated (USD) / Project cost],
ISNUMBER(Table9[Private Sector Revenues Generated (USD) / Project cost])*
(Table9[Private Sector Revenues Generated (USD) / Project cost]&gt;0)*
ISNUMBER(SEARCH("income improvement",Table9[Primary Objective]))
),
_xlpm.med,MEDIAN(_xlpm.data),
_xlpm.mad,MEDIAN(ABS(_xlpm.data-_xlpm.med)),
SUMPRODUCT(--(ABS(_xlpm.data-_xlpm.med)&gt;2.5*_xlpm.mad))/COUNT(_xlpm.data)
)</f>
        <v>0.15555555555555556</v>
      </c>
      <c r="AH33" s="15">
        <f t="array" ref="AH33">_xlfn.LET(
_xlpm.data,_xlfn._xlws.FILTER(
Table9[Private Sector Revenues Generated (USD) / Project cost],
ISNUMBER(Table9[Private Sector Revenues Generated (USD) / Project cost])*
(Table9[Private Sector Revenues Generated (USD) / Project cost]&gt;0)*
ISNUMBER(SEARCH("income improvement",Table9[Primary Objective]))
),
_xlpm.med,MEDIAN(_xlpm.data),
_xlpm.mad,MEDIAN(ABS(_xlpm.data-_xlpm.med)),
SUMPRODUCT(--(ABS(_xlpm.data-_xlpm.med)&gt;2.5*_xlpm.mad))
)</f>
        <v>7</v>
      </c>
      <c r="AI33" s="203">
        <f t="array" ref="AI33">_xlfn.LET(
_xlpm.data,_xlfn._xlws.FILTER(
Table9[Private Sector Revenues Generated (USD) / Project cost],
ISNUMBER(Table9[Private Sector Revenues Generated (USD) / Project cost])*
(Table9[Private Sector Revenues Generated (USD) / Project cost]&gt;0)*
ISNUMBER(SEARCH("income improvement",Table9[Primary Objective]))
),
_xlpm.med,MEDIAN(_xlpm.data),
_xlpm.mad,MEDIAN(ABS(_xlpm.data-_xlpm.med)),
AVERAGE(_xlfn._xlws.FILTER(_xlpm.data,ABS(_xlpm.data-_xlpm.med)&lt;=2.5*_xlpm.mad))
)</f>
        <v>1.1573244911209064</v>
      </c>
      <c r="AJ33" s="15">
        <f>AF33-AH33</f>
        <v>38</v>
      </c>
      <c r="AL33" s="206" t="s">
        <v>648</v>
      </c>
      <c r="AM33" s="203">
        <f t="array" ref="AM33">MEDIAN(
_xlfn._xlws.FILTER(
Table9[Export Revenue Generated (USD) /Project Cost],
ISNUMBER(Table9[Export Revenue Generated (USD) /Project Cost])*
(Table9[Export Revenue Generated (USD) /Project Cost]&gt;0)*
ISNUMBER(SEARCH("income improvement",Table9[Primary Objective]))
)
)</f>
        <v>0.14420347058823529</v>
      </c>
      <c r="AN33" s="203">
        <f t="array" ref="AN33">AVERAGE(
_xlfn._xlws.FILTER(
Table9[Export Revenue Generated (USD) /Project Cost],
ISNUMBER(Table9[Export Revenue Generated (USD) /Project Cost])*
(Table9[Export Revenue Generated (USD) /Project Cost]&gt;0)*
ISNUMBER(SEARCH("income improvement",Table9[Primary Objective]))
)
)</f>
        <v>7.6253269467308433</v>
      </c>
      <c r="AO33" s="15">
        <f>COUNTIFS(
Table9[Export Revenue Generated (USD) /Project Cost],"&gt;0",
Table9[Primary Objective],"*income improvement*"
)</f>
        <v>13</v>
      </c>
      <c r="AP33" s="195">
        <f t="array" ref="AP33">_xlfn.LET(
_xlpm.data,_xlfn._xlws.FILTER(
Table9[Export Revenue Generated (USD) /Project Cost],
ISNUMBER(Table9[Export Revenue Generated (USD) /Project Cost])*
(Table9[Export Revenue Generated (USD) /Project Cost]&gt;0)*
ISNUMBER(SEARCH("income improvement",Table9[Primary Objective]))
),
_xlpm.med,MEDIAN(_xlpm.data),
_xlpm.mad,MEDIAN(ABS(_xlpm.data-_xlpm.med)),
SUMPRODUCT(--(ABS(_xlpm.data-_xlpm.med)&gt;2.5*_xlpm.mad))/COUNT(_xlpm.data)
)</f>
        <v>0.23076923076923078</v>
      </c>
      <c r="AQ33" s="15">
        <f t="array" ref="AQ33">_xlfn.LET(
_xlpm.data,_xlfn._xlws.FILTER(
Table9[Export Revenue Generated (USD) /Project Cost],
ISNUMBER(Table9[Export Revenue Generated (USD) /Project Cost])*
(Table9[Export Revenue Generated (USD) /Project Cost]&gt;0)*
ISNUMBER(SEARCH("income improvement",Table9[Primary Objective]))
),
_xlpm.med,MEDIAN(_xlpm.data),
_xlpm.mad,MEDIAN(ABS(_xlpm.data-_xlpm.med)),
SUMPRODUCT(--(ABS(_xlpm.data-_xlpm.med)&gt;2.5*_xlpm.mad))
)</f>
        <v>3</v>
      </c>
      <c r="AR33" s="203">
        <f t="array" ref="AR33">_xlfn.LET(
_xlpm.data,_xlfn._xlws.FILTER(
Table9[Export Revenue Generated (USD) /Project Cost],
ISNUMBER(Table9[Export Revenue Generated (USD) /Project Cost])*
(Table9[Export Revenue Generated (USD) /Project Cost]&gt;0)*
ISNUMBER(SEARCH("income improvement",Table9[Primary Objective]))
),
_xlpm.med,MEDIAN(_xlpm.data),
_xlpm.mad,MEDIAN(ABS(_xlpm.data-_xlpm.med)),
AVERAGE(_xlfn._xlws.FILTER(_xlpm.data,ABS(_xlpm.data-_xlpm.med)&lt;=2.5*_xlpm.mad))
)</f>
        <v>0.13784480099681701</v>
      </c>
      <c r="AS33" s="15">
        <f>AO33-AQ33</f>
        <v>10</v>
      </c>
      <c r="AU33" s="206" t="s">
        <v>648</v>
      </c>
      <c r="AV33" s="202">
        <f t="array" ref="AV33">MEDIAN(
_xlfn._xlws.FILTER(
Table9[Job created per $Mn],
ISNUMBER(Table9[Job created per $Mn])*
(Table9[Job created per $Mn]&gt;0)*
ISNUMBER(SEARCH("income improvement",Table9[Primary Objective]))
)
)</f>
        <v>296.68732782369148</v>
      </c>
      <c r="AW33" s="202">
        <f t="array" ref="AW33">AVERAGE(
_xlfn._xlws.FILTER(
Table9[Job created per $Mn],
ISNUMBER(Table9[Job created per $Mn])*
(Table9[Job created per $Mn]&gt;0)*
ISNUMBER(SEARCH("income improvement",Table9[Primary Objective]))
)
)</f>
        <v>982.27658036991295</v>
      </c>
      <c r="AX33" s="15">
        <f>COUNTIFS(
Table9[Job created per $Mn],"&gt;0",
Table9[Primary Objective],"*income improvement*"
)</f>
        <v>38</v>
      </c>
      <c r="AY33" s="195">
        <f t="array" ref="AY33">_xlfn.LET(
_xlpm.data,
_xlfn._xlws.FILTER(
Table9[Job created per $Mn],
ISNUMBER(Table9[Job created per $Mn])*
(Table9[Job created per $Mn]&gt;0)*
ISNUMBER(SEARCH("income improvement",Table9[Primary Objective]))
),
_xlpm.med,
MEDIAN(_xlpm.data),
_xlpm.mad,
MEDIAN(ABS(_xlpm.data-_xlpm.med)),
SUMPRODUCT(--(ABS(_xlpm.data-_xlpm.med)&gt;2.5*_xlpm.mad))/COUNT(_xlpm.data)
)</f>
        <v>0.23684210526315788</v>
      </c>
      <c r="AZ33" s="15">
        <f t="array" ref="AZ33">_xlfn.LET(
_xlpm.data,
_xlfn._xlws.FILTER(
Table9[Job created per $Mn],
ISNUMBER(Table9[Job created per $Mn])*
(Table9[Job created per $Mn]&gt;0)*
ISNUMBER(SEARCH("income improvement",Table9[Primary Objective]))
),
_xlpm.med,
MEDIAN(_xlpm.data),
_xlpm.mad,
MEDIAN(ABS(_xlpm.data-_xlpm.med)),
SUMPRODUCT(--(ABS(_xlpm.data-_xlpm.med)&gt;2.5*_xlpm.mad))
)</f>
        <v>9</v>
      </c>
      <c r="BA33" s="202">
        <f t="array" ref="BA33">_xlfn.LET(
_xlpm.data,
_xlfn._xlws.FILTER(
Table9[Job created per $Mn],
ISNUMBER(Table9[Job created per $Mn])*
(Table9[Job created per $Mn]&gt;0)*
ISNUMBER(SEARCH("income improvement",Table9[Primary Objective]))
),
_xlpm.med,
MEDIAN(_xlpm.data),
_xlpm.mad,
MEDIAN(ABS(_xlpm.data-_xlpm.med)),
AVERAGE(
_xlfn._xlws.FILTER(
_xlpm.data,
ABS(_xlpm.data-_xlpm.med)&lt;=2.5*_xlpm.mad
)
)
)</f>
        <v>286.73454441779353</v>
      </c>
      <c r="BB33" s="15">
        <f>AX33-AZ33</f>
        <v>29</v>
      </c>
      <c r="BD33" s="206" t="s">
        <v>648</v>
      </c>
      <c r="BE33" s="202">
        <f t="array" ref="BE33">MEDIAN(
_xlfn._xlws.FILTER(
Table9[Job improved per $Mn],
ISNUMBER(Table9[Job improved per $Mn])*
(Table9[Job improved per $Mn]&gt;0)*
ISNUMBER(SEARCH("income improvement",Table9[Primary Objective]))
)
)</f>
        <v>2386.5026995573412</v>
      </c>
      <c r="BF33" s="202">
        <f t="array" ref="BF33">AVERAGE(
_xlfn._xlws.FILTER(
Table9[Job improved per $Mn],
ISNUMBER(Table9[Job improved per $Mn])*
(Table9[Job improved per $Mn]&gt;0)*
ISNUMBER(SEARCH("income improvement",Table9[Primary Objective]))
)
)</f>
        <v>5950.7646968735035</v>
      </c>
      <c r="BG33" s="15">
        <f>COUNTIFS(
Table9[Job improved per $Mn],"&gt;0",
Table9[Primary Objective],"*income improvement*"
)</f>
        <v>61</v>
      </c>
      <c r="BH33" s="195">
        <f t="array" ref="BH33">_xlfn.LET(
_xlpm.data,
_xlfn._xlws.FILTER(
Table9[Job improved per $Mn],
ISNUMBER(Table9[Job improved per $Mn])*
(Table9[Job improved per $Mn]&gt;0)*
ISNUMBER(SEARCH("income improvement",Table9[Primary Objective]))
),
_xlpm.med,
MEDIAN(_xlpm.data),
_xlpm.mad,
MEDIAN(ABS(_xlpm.data-_xlpm.med)),
SUMPRODUCT(--(ABS(_xlpm.data-_xlpm.med)&gt;2.5*_xlpm.mad))/COUNT(_xlpm.data)
)</f>
        <v>0.27868852459016391</v>
      </c>
      <c r="BI33" s="15">
        <f t="array" ref="BI33">_xlfn.LET(
_xlpm.data,
_xlfn._xlws.FILTER(
Table9[Job improved per $Mn],
ISNUMBER(Table9[Job improved per $Mn])*
(Table9[Job improved per $Mn]&gt;0)*
ISNUMBER(SEARCH("income improvement",Table9[Primary Objective]))
),
_xlpm.med,
MEDIAN(_xlpm.data),
_xlpm.mad,
MEDIAN(ABS(_xlpm.data-_xlpm.med)),
SUMPRODUCT(--(ABS(_xlpm.data-_xlpm.med)&gt;2.5*_xlpm.mad))
)</f>
        <v>17</v>
      </c>
      <c r="BJ33" s="202">
        <f t="array" ref="BJ33">_xlfn.LET(
_xlpm.data,
_xlfn._xlws.FILTER(
Table9[Job improved per $Mn],
ISNUMBER(Table9[Job improved per $Mn])*
(Table9[Job improved per $Mn]&gt;0)*
ISNUMBER(SEARCH("income improvement",Table9[Primary Objective]))
),
_xlpm.med,
MEDIAN(_xlpm.data),
_xlpm.mad,
MEDIAN(ABS(_xlpm.data-_xlpm.med)),
AVERAGE(
_xlfn._xlws.FILTER(
_xlpm.data,
ABS(_xlpm.data-_xlpm.med)&lt;=2.5*_xlpm.mad
)
)
)</f>
        <v>2026.1939595859899</v>
      </c>
      <c r="BK33" s="15">
        <f>BG33-BI33</f>
        <v>44</v>
      </c>
      <c r="BM33" s="206" t="s">
        <v>648</v>
      </c>
      <c r="BN33" s="203">
        <f t="array" ref="BN33">MEDIAN(
_xlfn._xlws.FILTER(
Table9[Beneficiary Income (USD) / Project Cost],
ISNUMBER(Table9[Beneficiary Income (USD) / Project Cost])*
(Table9[Beneficiary Income (USD) / Project Cost]&gt;0)*
ISNUMBER(SEARCH("income improvement",Table9[Primary Objective]))
)
)</f>
        <v>1.1640735593775156</v>
      </c>
      <c r="BO33" s="203">
        <f t="array" ref="BO33">AVERAGE(
_xlfn._xlws.FILTER(
Table9[Beneficiary Income (USD) / Project Cost],
ISNUMBER(Table9[Beneficiary Income (USD) / Project Cost])*
(Table9[Beneficiary Income (USD) / Project Cost]&gt;0)*
ISNUMBER(SEARCH("income improvement",Table9[Primary Objective]))
)
)</f>
        <v>1.5762862058440392</v>
      </c>
      <c r="BP33" s="15">
        <f>COUNTIFS(
Table9[Beneficiary Income (USD) / Project Cost],"&gt;0",
Table9[Primary Objective],"*income improvement*"
)</f>
        <v>44</v>
      </c>
      <c r="BQ33" s="195">
        <f t="array" ref="BQ33">_xlfn.LET(
_xlpm.data,
_xlfn._xlws.FILTER(
Table9[Beneficiary Income (USD) / Project Cost],
ISNUMBER(Table9[Beneficiary Income (USD) / Project Cost])*
(Table9[Beneficiary Income (USD) / Project Cost]&gt;0)*
ISNUMBER(SEARCH("income improvement",Table9[Primary Objective]))
),
_xlpm.med,
MEDIAN(_xlpm.data),
_xlpm.mad,
MEDIAN(ABS(_xlpm.data-_xlpm.med)),
SUMPRODUCT(--(ABS(_xlpm.data-_xlpm.med)&gt;2.5*_xlpm.mad))/COUNT(_xlpm.data)
)</f>
        <v>0.13636363636363635</v>
      </c>
      <c r="BR33" s="15">
        <f t="array" ref="BR33">_xlfn.LET(
_xlpm.data,
_xlfn._xlws.FILTER(
Table9[Beneficiary Income (USD) / Project Cost],
ISNUMBER(Table9[Beneficiary Income (USD) / Project Cost])*
(Table9[Beneficiary Income (USD) / Project Cost]&gt;0)*
ISNUMBER(SEARCH("income improvement",Table9[Primary Objective]))
),
_xlpm.med,
MEDIAN(_xlpm.data),
_xlpm.mad,
MEDIAN(ABS(_xlpm.data-_xlpm.med)),
SUMPRODUCT(--(ABS(_xlpm.data-_xlpm.med)&gt;2.5*_xlpm.mad))
)</f>
        <v>6</v>
      </c>
      <c r="BS33" s="203">
        <f t="array" ref="BS33">_xlfn.LET(
_xlpm.data,
_xlfn._xlws.FILTER(
Table9[Beneficiary Income (USD) / Project Cost],
ISNUMBER(Table9[Beneficiary Income (USD) / Project Cost])*
(Table9[Beneficiary Income (USD) / Project Cost]&gt;0)*
ISNUMBER(SEARCH("income improvement",Table9[Primary Objective]))
),
_xlpm.med,
MEDIAN(_xlpm.data),
_xlpm.mad,
MEDIAN(ABS(_xlpm.data-_xlpm.med)),
AVERAGE(
_xlfn._xlws.FILTER(
_xlpm.data,
ABS(_xlpm.data-_xlpm.med)&lt;=2.5*_xlpm.mad
)
)
)</f>
        <v>1.0965579695765688</v>
      </c>
      <c r="BT33" s="15">
        <f>BP33-BR33</f>
        <v>38</v>
      </c>
    </row>
    <row r="34" spans="2:72" x14ac:dyDescent="0.25">
      <c r="B34" s="206" t="s">
        <v>649</v>
      </c>
      <c r="C34" s="202">
        <f t="array" ref="C34">MEDIAN(_xlfn._xlws.FILTER(Table9[Income per beneficiary (USD)],(Table9[Income per beneficiary (USD)]&gt;0)*ISNUMBER(SEARCH("food security &amp; resilience",Table9[Primary Objective]))))</f>
        <v>191.32203389830511</v>
      </c>
      <c r="D34" s="202">
        <f t="array" ref="D34">AVERAGE(_xlfn._xlws.FILTER(Table9[Income per beneficiary (USD)],(Table9[Income per beneficiary (USD)]&gt;0)*ISNUMBER(SEARCH("food security &amp; resilience",Table9[Primary Objective]))))</f>
        <v>513.74298566480309</v>
      </c>
      <c r="E34" s="15">
        <f>COUNTIFS(Table9[Income per beneficiary (USD)],"&gt;0",Table9[Primary Objective],"*food security &amp; resilience*")</f>
        <v>31</v>
      </c>
      <c r="F34" s="195">
        <f t="array" ref="F34">_xlfn.LET(
_xlpm.data,_xlfn._xlws.FILTER(
Table9[Income per beneficiary (USD)],
(Table9[Income per beneficiary (USD)]&gt;0)*
ISNUMBER(SEARCH("food security &amp; resilience",Table9[Primary Objective]))
),
_xlpm.med,MEDIAN(_xlpm.data),
_xlpm.mad,MEDIAN(ABS(_xlpm.data-_xlpm.med)),
SUMPRODUCT(--(ABS(_xlpm.data-_xlpm.med)&gt;2.5*_xlpm.mad))/COUNT(_xlpm.data)
)</f>
        <v>0.25806451612903225</v>
      </c>
      <c r="G34" s="15">
        <f t="array" ref="G34">_xlfn.LET(
_xlpm.data,_xlfn._xlws.FILTER(
Table9[Income per beneficiary (USD)],
(Table9[Income per beneficiary (USD)]&gt;0)*
ISNUMBER(SEARCH("food security &amp; resilience",Table9[Primary Objective]))
),
_xlpm.med,MEDIAN(_xlpm.data),
_xlpm.mad,MEDIAN(ABS(_xlpm.data-_xlpm.med)),
SUMPRODUCT(--(ABS(_xlpm.data-_xlpm.med)&gt;2.5*_xlpm.mad))
)</f>
        <v>8</v>
      </c>
      <c r="H34" s="202">
        <f t="array" ref="H34">_xlfn.LET(
_xlpm.data,_xlfn._xlws.FILTER(
Table9[Income per beneficiary (USD)],
(Table9[Income per beneficiary (USD)]&gt;0)*
ISNUMBER(SEARCH("food security &amp; resilience",Table9[Primary Objective]))
),
_xlpm.med,MEDIAN(_xlpm.data),
_xlpm.mad,MEDIAN(ABS(_xlpm.data-_xlpm.med)),
AVERAGE(_xlfn._xlws.FILTER(_xlpm.data,ABS(_xlpm.data-_xlpm.med)&lt;=2.5*_xlpm.mad))
)</f>
        <v>172.50796991015258</v>
      </c>
      <c r="I34" s="202">
        <f>E34-G34</f>
        <v>23</v>
      </c>
      <c r="J34" s="130"/>
      <c r="K34" s="206" t="s">
        <v>649</v>
      </c>
      <c r="L34" s="203">
        <f t="array" ref="L34">MEDIAN(_xlfn._xlws.FILTER(Table9[Normalised Income Impact Ratio],ISNUMBER(Table9[Normalised Income Impact Ratio])*(Table9[Normalised Income Impact Ratio]&gt;0)*ISNUMBER(SEARCH("food security &amp; resilience",Table9[Primary Objective]))))</f>
        <v>2.5112285714285712E-2</v>
      </c>
      <c r="M34" s="203">
        <f t="array" ref="M34">AVERAGE(_xlfn._xlws.FILTER(Table9[Normalised Income Impact Ratio],ISNUMBER(Table9[Normalised Income Impact Ratio])*(Table9[Normalised Income Impact Ratio]&gt;0)*ISNUMBER(SEARCH("food security &amp; resilience",Table9[Primary Objective]))))</f>
        <v>6.8822387232483059E-2</v>
      </c>
      <c r="N34" s="15">
        <f>COUNTIFS(Table9[Normalised Income Impact Ratio],"&gt;0",Table9[Primary Objective],"*food security &amp; resilience*")</f>
        <v>30</v>
      </c>
      <c r="O34" s="195">
        <f t="array" ref="O34">_xlfn.LET(_xlpm.data,_xlfn._xlws.FILTER(Table9[Normalised Income Impact Ratio],ISNUMBER(Table9[Normalised Income Impact Ratio])*(Table9[Normalised Income Impact Ratio]&gt;0)*ISNUMBER(SEARCH("food security &amp; resilience",Table9[Primary Objective]))),_xlpm.med,MEDIAN(_xlpm.data),_xlpm.mad,MEDIAN(ABS(_xlpm.data-_xlpm.med)),SUMPRODUCT(--(ABS(_xlpm.data-_xlpm.med)&gt;2.5*_xlpm.mad))/COUNT(_xlpm.data))</f>
        <v>0.33333333333333331</v>
      </c>
      <c r="P34" s="15">
        <f t="array" ref="P34">_xlfn.LET(_xlpm.data,_xlfn._xlws.FILTER(Table9[Normalised Income Impact Ratio],ISNUMBER(Table9[Normalised Income Impact Ratio])*(Table9[Normalised Income Impact Ratio]&gt;0)*ISNUMBER(SEARCH("food security &amp; resilience",Table9[Primary Objective]))),_xlpm.med,MEDIAN(_xlpm.data),_xlpm.mad,MEDIAN(ABS(_xlpm.data-_xlpm.med)),SUMPRODUCT(--(ABS(_xlpm.data-_xlpm.med)&gt;2.5*_xlpm.mad)))</f>
        <v>10</v>
      </c>
      <c r="Q34" s="203">
        <f t="array" ref="Q34">_xlfn.LET(_xlpm.data,_xlfn._xlws.FILTER(Table9[Normalised Income Impact Ratio],ISNUMBER(Table9[Normalised Income Impact Ratio])*(Table9[Normalised Income Impact Ratio]&gt;0)*ISNUMBER(SEARCH("food security &amp; resilience",Table9[Primary Objective]))),_xlpm.med,MEDIAN(_xlpm.data),_xlpm.mad,MEDIAN(ABS(_xlpm.data-_xlpm.med)),AVERAGE(_xlfn._xlws.FILTER(_xlpm.data,ABS(_xlpm.data-_xlpm.med)&lt;=2.5*_xlpm.mad)))</f>
        <v>1.7656744690355507E-2</v>
      </c>
      <c r="R34" s="15">
        <f>N34-P34</f>
        <v>20</v>
      </c>
      <c r="T34" s="206" t="s">
        <v>649</v>
      </c>
      <c r="U34" s="203">
        <f t="array" ref="U34">MEDIAN(
_xlfn._xlws.FILTER(
Table9[Private Sector Investment (USD) / Project cost ],
ISNUMBER(Table9[Private Sector Investment (USD) / Project cost ])*
(Table9[Private Sector Investment (USD) / Project cost ]&gt;0)*
ISNUMBER(SEARCH("food security &amp; resilience",Table9[Primary Objective]))
)
)</f>
        <v>0.28582992421567488</v>
      </c>
      <c r="V34" s="203">
        <f t="array" ref="V34">AVERAGE(
_xlfn._xlws.FILTER(
Table9[Private Sector Investment (USD) / Project cost ],
ISNUMBER(Table9[Private Sector Investment (USD) / Project cost ])*
(Table9[Private Sector Investment (USD) / Project cost ]&gt;0)*
ISNUMBER(SEARCH("food security &amp; resilience",Table9[Primary Objective]))
)
)</f>
        <v>0.81522216417355964</v>
      </c>
      <c r="W34" s="15">
        <f>COUNTIFS(
Table9[Private Sector Investment (USD) / Project cost ],"&gt;0",
Table9[Primary Objective],"*food security &amp; resilience*"
)</f>
        <v>44</v>
      </c>
      <c r="X34" s="195">
        <f t="array" ref="X34">_xlfn.LET(
_xlpm.data,_xlfn._xlws.FILTER(
Table9[Private Sector Investment (USD) / Project cost ],
ISNUMBER(Table9[Private Sector Investment (USD) / Project cost ])*
(Table9[Private Sector Investment (USD) / Project cost ]&gt;0)*
ISNUMBER(SEARCH("food security &amp; resilience",Table9[Primary Objective]))
),
_xlpm.med,MEDIAN(_xlpm.data),
_xlpm.mad,MEDIAN(ABS(_xlpm.data-_xlpm.med)),
SUMPRODUCT(--(ABS(_xlpm.data-_xlpm.med)&gt;2.5*_xlpm.mad))/COUNT(_xlpm.data)
)</f>
        <v>0.25</v>
      </c>
      <c r="Y34" s="15">
        <f t="array" ref="Y34">_xlfn.LET(
_xlpm.data,_xlfn._xlws.FILTER(
Table9[Private Sector Investment (USD) / Project cost ],
ISNUMBER(Table9[Private Sector Investment (USD) / Project cost ])*
(Table9[Private Sector Investment (USD) / Project cost ]&gt;0)*
ISNUMBER(SEARCH("food security &amp; resilience",Table9[Primary Objective]))
),
_xlpm.med,MEDIAN(_xlpm.data),
_xlpm.mad,MEDIAN(ABS(_xlpm.data-_xlpm.med)),
SUMPRODUCT(--(ABS(_xlpm.data-_xlpm.med)&gt;2.5*_xlpm.mad))
)</f>
        <v>11</v>
      </c>
      <c r="Z34" s="203">
        <f t="array" ref="Z34">_xlfn.LET(
_xlpm.data,_xlfn._xlws.FILTER(
Table9[Private Sector Investment (USD) / Project cost ],
ISNUMBER(Table9[Private Sector Investment (USD) / Project cost ])*
(Table9[Private Sector Investment (USD) / Project cost ]&gt;0)*
ISNUMBER(SEARCH("food security &amp; resilience",Table9[Primary Objective]))
),
_xlpm.med,MEDIAN(_xlpm.data),
_xlpm.mad,MEDIAN(ABS(_xlpm.data-_xlpm.med)),
AVERAGE(_xlfn._xlws.FILTER(_xlpm.data,ABS(_xlpm.data-_xlpm.med)&lt;=2.5*_xlpm.mad))
)</f>
        <v>0.27556891442119158</v>
      </c>
      <c r="AA34" s="15">
        <f>W34-Y34</f>
        <v>33</v>
      </c>
      <c r="AC34" s="206" t="s">
        <v>649</v>
      </c>
      <c r="AD34" s="203">
        <f t="array" ref="AD34">MEDIAN(
_xlfn._xlws.FILTER(
Table9[Private Sector Revenues Generated (USD) / Project cost],
ISNUMBER(Table9[Private Sector Revenues Generated (USD) / Project cost])*
(Table9[Private Sector Revenues Generated (USD) / Project cost]&gt;0)*
ISNUMBER(SEARCH("food security &amp; resilience",Table9[Primary Objective]))
)
)</f>
        <v>1.33125</v>
      </c>
      <c r="AE34" s="203">
        <f t="array" ref="AE34">AVERAGE(
_xlfn._xlws.FILTER(
Table9[Private Sector Revenues Generated (USD) / Project cost],
ISNUMBER(Table9[Private Sector Revenues Generated (USD) / Project cost])*
(Table9[Private Sector Revenues Generated (USD) / Project cost]&gt;0)*
ISNUMBER(SEARCH("food security &amp; resilience",Table9[Primary Objective]))
)
)</f>
        <v>3.2104940965352342</v>
      </c>
      <c r="AF34" s="15">
        <f>COUNTIFS(
Table9[Private Sector Revenues Generated (USD) / Project cost],"&gt;0",
Table9[Primary Objective],"*food security &amp; resilience*"
)</f>
        <v>35</v>
      </c>
      <c r="AG34" s="195">
        <f t="array" ref="AG34">_xlfn.LET(
_xlpm.data,_xlfn._xlws.FILTER(
Table9[Private Sector Revenues Generated (USD) / Project cost],
ISNUMBER(Table9[Private Sector Revenues Generated (USD) / Project cost])*
(Table9[Private Sector Revenues Generated (USD) / Project cost]&gt;0)*
ISNUMBER(SEARCH("food security &amp; resilience",Table9[Primary Objective]))
),
_xlpm.med,MEDIAN(_xlpm.data),
_xlpm.mad,MEDIAN(ABS(_xlpm.data-_xlpm.med)),
SUMPRODUCT(--(ABS(_xlpm.data-_xlpm.med)&gt;2.5*_xlpm.mad))/COUNT(_xlpm.data)
)</f>
        <v>0.2</v>
      </c>
      <c r="AH34" s="15">
        <f t="array" ref="AH34">_xlfn.LET(
_xlpm.data,_xlfn._xlws.FILTER(
Table9[Private Sector Revenues Generated (USD) / Project cost],
ISNUMBER(Table9[Private Sector Revenues Generated (USD) / Project cost])*
(Table9[Private Sector Revenues Generated (USD) / Project cost]&gt;0)*
ISNUMBER(SEARCH("food security &amp; resilience",Table9[Primary Objective]))
),
_xlpm.med,MEDIAN(_xlpm.data),
_xlpm.mad,MEDIAN(ABS(_xlpm.data-_xlpm.med)),
SUMPRODUCT(--(ABS(_xlpm.data-_xlpm.med)&gt;2.5*_xlpm.mad))
)</f>
        <v>7</v>
      </c>
      <c r="AI34" s="203">
        <f t="array" ref="AI34">_xlfn.LET(
_xlpm.data,_xlfn._xlws.FILTER(
Table9[Private Sector Revenues Generated (USD) / Project cost],
ISNUMBER(Table9[Private Sector Revenues Generated (USD) / Project cost])*
(Table9[Private Sector Revenues Generated (USD) / Project cost]&gt;0)*
ISNUMBER(SEARCH("food security &amp; resilience",Table9[Primary Objective]))
),
_xlpm.med,MEDIAN(_xlpm.data),
_xlpm.mad,MEDIAN(ABS(_xlpm.data-_xlpm.med)),
AVERAGE(_xlfn._xlws.FILTER(_xlpm.data,ABS(_xlpm.data-_xlpm.med)&lt;=2.5*_xlpm.mad))
)</f>
        <v>0.96437710193991266</v>
      </c>
      <c r="AJ34" s="15">
        <f>AF34-AH34</f>
        <v>28</v>
      </c>
      <c r="AL34" s="206" t="s">
        <v>649</v>
      </c>
      <c r="AM34" s="203">
        <f t="array" ref="AM34">MEDIAN(
_xlfn._xlws.FILTER(
Table9[Export Revenue Generated (USD) /Project Cost],
ISNUMBER(Table9[Export Revenue Generated (USD) /Project Cost])*
(Table9[Export Revenue Generated (USD) /Project Cost]&gt;0)*
ISNUMBER(SEARCH("food security &amp; resilience",Table9[Primary Objective]))
)
)</f>
        <v>0.15241991711229946</v>
      </c>
      <c r="AN34" s="203">
        <f t="array" ref="AN34">AVERAGE(
_xlfn._xlws.FILTER(
Table9[Export Revenue Generated (USD) /Project Cost],
ISNUMBER(Table9[Export Revenue Generated (USD) /Project Cost])*
(Table9[Export Revenue Generated (USD) /Project Cost]&gt;0)*
ISNUMBER(SEARCH("food security &amp; resilience",Table9[Primary Objective]))
)
)</f>
        <v>9.864328057889761</v>
      </c>
      <c r="AO34" s="15">
        <f>COUNTIFS(
Table9[Export Revenue Generated (USD) /Project Cost],"&gt;0",
Table9[Primary Objective],"*food security &amp; resilience*"
)</f>
        <v>10</v>
      </c>
      <c r="AP34" s="195">
        <f t="array" ref="AP34">_xlfn.LET(
_xlpm.data,_xlfn._xlws.FILTER(
Table9[Export Revenue Generated (USD) /Project Cost],
ISNUMBER(Table9[Export Revenue Generated (USD) /Project Cost])*
(Table9[Export Revenue Generated (USD) /Project Cost]&gt;0)*
ISNUMBER(SEARCH("food security &amp; resilience",Table9[Primary Objective]))
),
_xlpm.med,MEDIAN(_xlpm.data),
_xlpm.mad,MEDIAN(ABS(_xlpm.data-_xlpm.med)),
SUMPRODUCT(--(ABS(_xlpm.data-_xlpm.med)&gt;2.5*_xlpm.mad))/COUNT(_xlpm.data)
)</f>
        <v>0.3</v>
      </c>
      <c r="AQ34" s="15">
        <f t="array" ref="AQ34">_xlfn.LET(
_xlpm.data,_xlfn._xlws.FILTER(
Table9[Export Revenue Generated (USD) /Project Cost],
ISNUMBER(Table9[Export Revenue Generated (USD) /Project Cost])*
(Table9[Export Revenue Generated (USD) /Project Cost]&gt;0)*
ISNUMBER(SEARCH("food security &amp; resilience",Table9[Primary Objective]))
),
_xlpm.med,MEDIAN(_xlpm.data),
_xlpm.mad,MEDIAN(ABS(_xlpm.data-_xlpm.med)),
SUMPRODUCT(--(ABS(_xlpm.data-_xlpm.med)&gt;2.5*_xlpm.mad))
)</f>
        <v>3</v>
      </c>
      <c r="AR34" s="203">
        <f t="array" ref="AR34">_xlfn.LET(
_xlpm.data,_xlfn._xlws.FILTER(
Table9[Export Revenue Generated (USD) /Project Cost],
ISNUMBER(Table9[Export Revenue Generated (USD) /Project Cost])*
(Table9[Export Revenue Generated (USD) /Project Cost]&gt;0)*
ISNUMBER(SEARCH("food security &amp; resilience",Table9[Primary Objective]))
),
_xlpm.med,MEDIAN(_xlpm.data),
_xlpm.mad,MEDIAN(ABS(_xlpm.data-_xlpm.med)),
AVERAGE(_xlfn._xlws.FILTER(_xlpm.data,ABS(_xlpm.data-_xlpm.med)&lt;=2.5*_xlpm.mad))
)</f>
        <v>0.12749689733783112</v>
      </c>
      <c r="AS34" s="15">
        <f>AO34-AQ34</f>
        <v>7</v>
      </c>
      <c r="AU34" s="206" t="s">
        <v>649</v>
      </c>
      <c r="AV34" s="202">
        <f t="array" ref="AV34">MEDIAN(
_xlfn._xlws.FILTER(
Table9[Job created per $Mn],
ISNUMBER(Table9[Job created per $Mn])*
(Table9[Job created per $Mn]&gt;0)*
ISNUMBER(SEARCH("food security &amp; resilience",Table9[Primary Objective]))
)
)</f>
        <v>237.04545454545456</v>
      </c>
      <c r="AW34" s="202">
        <f t="array" ref="AW34">AVERAGE(
_xlfn._xlws.FILTER(
Table9[Job created per $Mn],
ISNUMBER(Table9[Job created per $Mn])*
(Table9[Job created per $Mn]&gt;0)*
ISNUMBER(SEARCH("food security &amp; resilience",Table9[Primary Objective]))
)
)</f>
        <v>974.999481354517</v>
      </c>
      <c r="AX34" s="15">
        <f>COUNTIFS(
Table9[Job created per $Mn],"&gt;0",
Table9[Primary Objective],"*food security &amp; resilience*"
)</f>
        <v>28</v>
      </c>
      <c r="AY34" s="195">
        <f t="array" ref="AY34">_xlfn.LET(
_xlpm.data,
_xlfn._xlws.FILTER(
Table9[Job created per $Mn],
ISNUMBER(Table9[Job created per $Mn])*
(Table9[Job created per $Mn]&gt;0)*
ISNUMBER(SEARCH("food security &amp; resilience",Table9[Primary Objective]))
),
_xlpm.med,
MEDIAN(_xlpm.data),
_xlpm.mad,
MEDIAN(ABS(_xlpm.data-_xlpm.med)),
SUMPRODUCT(--(ABS(_xlpm.data-_xlpm.med)&gt;2.5*_xlpm.mad))/COUNT(_xlpm.data)
)</f>
        <v>0.25</v>
      </c>
      <c r="AZ34" s="15">
        <f t="array" ref="AZ34">_xlfn.LET(
_xlpm.data,
_xlfn._xlws.FILTER(
Table9[Job created per $Mn],
ISNUMBER(Table9[Job created per $Mn])*
(Table9[Job created per $Mn]&gt;0)*
ISNUMBER(SEARCH("food security &amp; resilience",Table9[Primary Objective]))
),
_xlpm.med,
MEDIAN(_xlpm.data),
_xlpm.mad,
MEDIAN(ABS(_xlpm.data-_xlpm.med)),
SUMPRODUCT(--(ABS(_xlpm.data-_xlpm.med)&gt;2.5*_xlpm.mad))
)</f>
        <v>7</v>
      </c>
      <c r="BA34" s="202">
        <f t="array" ref="BA34">_xlfn.LET(
_xlpm.data,
_xlfn._xlws.FILTER(
Table9[Job created per $Mn],
ISNUMBER(Table9[Job created per $Mn])*
(Table9[Job created per $Mn]&gt;0)*
ISNUMBER(SEARCH("food security &amp; resilience",Table9[Primary Objective]))
),
_xlpm.med,
MEDIAN(_xlpm.data),
_xlpm.mad,
MEDIAN(ABS(_xlpm.data-_xlpm.med)),
AVERAGE(
_xlfn._xlws.FILTER(
_xlpm.data,
ABS(_xlpm.data-_xlpm.med)&lt;=2.5*_xlpm.mad
)
)
)</f>
        <v>237.13361423387428</v>
      </c>
      <c r="BB34" s="15">
        <f>AX34-AZ34</f>
        <v>21</v>
      </c>
      <c r="BD34" s="206" t="s">
        <v>649</v>
      </c>
      <c r="BE34" s="202">
        <f t="array" ref="BE34">MEDIAN(
_xlfn._xlws.FILTER(
Table9[Job improved per $Mn],
ISNUMBER(Table9[Job improved per $Mn])*
(Table9[Job improved per $Mn]&gt;0)*
ISNUMBER(SEARCH("food security &amp; resilience",Table9[Primary Objective]))
)
)</f>
        <v>2120.75</v>
      </c>
      <c r="BF34" s="202">
        <f t="array" ref="BF34">AVERAGE(
_xlfn._xlws.FILTER(
Table9[Job improved per $Mn],
ISNUMBER(Table9[Job improved per $Mn])*
(Table9[Job improved per $Mn]&gt;0)*
ISNUMBER(SEARCH("food security &amp; resilience",Table9[Primary Objective]))
)
)</f>
        <v>5335.533665965103</v>
      </c>
      <c r="BG34" s="15">
        <f>COUNTIFS(
Table9[Job improved per $Mn],"&gt;0",
Table9[Primary Objective],"*food security &amp; resilience*"
)</f>
        <v>49</v>
      </c>
      <c r="BH34" s="195">
        <f t="array" ref="BH34">_xlfn.LET(
_xlpm.data,
_xlfn._xlws.FILTER(
Table9[Job improved per $Mn],
ISNUMBER(Table9[Job improved per $Mn])*
(Table9[Job improved per $Mn]&gt;0)*
ISNUMBER(SEARCH("food security &amp; resilience",Table9[Primary Objective]))
),
_xlpm.med,
MEDIAN(_xlpm.data),
_xlpm.mad,
MEDIAN(ABS(_xlpm.data-_xlpm.med)),
SUMPRODUCT(--(ABS(_xlpm.data-_xlpm.med)&gt;2.5*_xlpm.mad))/COUNT(_xlpm.data)
)</f>
        <v>0.26530612244897961</v>
      </c>
      <c r="BI34" s="15">
        <f t="array" ref="BI34">_xlfn.LET(
_xlpm.data,
_xlfn._xlws.FILTER(
Table9[Job improved per $Mn],
ISNUMBER(Table9[Job improved per $Mn])*
(Table9[Job improved per $Mn]&gt;0)*
ISNUMBER(SEARCH("food security &amp; resilience",Table9[Primary Objective]))
),
_xlpm.med,
MEDIAN(_xlpm.data),
_xlpm.mad,
MEDIAN(ABS(_xlpm.data-_xlpm.med)),
SUMPRODUCT(--(ABS(_xlpm.data-_xlpm.med)&gt;2.5*_xlpm.mad))
)</f>
        <v>13</v>
      </c>
      <c r="BJ34" s="202">
        <f t="array" ref="BJ34">_xlfn.LET(
_xlpm.data,
_xlfn._xlws.FILTER(
Table9[Job improved per $Mn],
ISNUMBER(Table9[Job improved per $Mn])*
(Table9[Job improved per $Mn]&gt;0)*
ISNUMBER(SEARCH("food security &amp; resilience",Table9[Primary Objective]))
),
_xlpm.med,
MEDIAN(_xlpm.data),
_xlpm.mad,
MEDIAN(ABS(_xlpm.data-_xlpm.med)),
AVERAGE(
_xlfn._xlws.FILTER(
_xlpm.data,
ABS(_xlpm.data-_xlpm.med)&lt;=2.5*_xlpm.mad
)
)
)</f>
        <v>1783.0076299921288</v>
      </c>
      <c r="BK34" s="15">
        <f>BG34-BI34</f>
        <v>36</v>
      </c>
      <c r="BM34" s="412" t="s">
        <v>649</v>
      </c>
      <c r="BN34" s="236">
        <f t="array" ref="BN34">MEDIAN(
_xlfn._xlws.FILTER(
Table9[Beneficiary Income (USD) / Project Cost],
ISNUMBER(Table9[Beneficiary Income (USD) / Project Cost])*
(Table9[Beneficiary Income (USD) / Project Cost]&gt;0)*
ISNUMBER(SEARCH("food security &amp; resilience",Table9[Primary Objective]))
)
)</f>
        <v>0.96</v>
      </c>
      <c r="BO34" s="203">
        <f t="array" ref="BO34">AVERAGE(
_xlfn._xlws.FILTER(
Table9[Beneficiary Income (USD) / Project Cost],
ISNUMBER(Table9[Beneficiary Income (USD) / Project Cost])*
(Table9[Beneficiary Income (USD) / Project Cost]&gt;0)*
ISNUMBER(SEARCH("food security &amp; resilience",Table9[Primary Objective]))
)
)</f>
        <v>1.427082693768831</v>
      </c>
      <c r="BP34" s="15">
        <f>COUNTIFS(
Table9[Beneficiary Income (USD) / Project Cost],"&gt;0",
Table9[Primary Objective],"*food security &amp; resilience*"
)</f>
        <v>31</v>
      </c>
      <c r="BQ34" s="195">
        <f t="array" ref="BQ34">_xlfn.LET(
_xlpm.data,
_xlfn._xlws.FILTER(
Table9[Beneficiary Income (USD) / Project Cost],
ISNUMBER(Table9[Beneficiary Income (USD) / Project Cost])*
(Table9[Beneficiary Income (USD) / Project Cost]&gt;0)*
ISNUMBER(SEARCH("food security &amp; resilience",Table9[Primary Objective]))
),
_xlpm.med,
MEDIAN(_xlpm.data),
_xlpm.mad,
MEDIAN(ABS(_xlpm.data-_xlpm.med)),
SUMPRODUCT(--(ABS(_xlpm.data-_xlpm.med)&gt;2.5*_xlpm.mad))/COUNT(_xlpm.data)
)</f>
        <v>0.12903225806451613</v>
      </c>
      <c r="BR34" s="15">
        <f t="array" ref="BR34">_xlfn.LET(
_xlpm.data,
_xlfn._xlws.FILTER(
Table9[Beneficiary Income (USD) / Project Cost],
ISNUMBER(Table9[Beneficiary Income (USD) / Project Cost])*
(Table9[Beneficiary Income (USD) / Project Cost]&gt;0)*
ISNUMBER(SEARCH("food security &amp; resilience",Table9[Primary Objective]))
),
_xlpm.med,
MEDIAN(_xlpm.data),
_xlpm.mad,
MEDIAN(ABS(_xlpm.data-_xlpm.med)),
SUMPRODUCT(--(ABS(_xlpm.data-_xlpm.med)&gt;2.5*_xlpm.mad))
)</f>
        <v>4</v>
      </c>
      <c r="BS34" s="203">
        <f t="array" ref="BS34">_xlfn.LET(
_xlpm.data,
_xlfn._xlws.FILTER(
Table9[Beneficiary Income (USD) / Project Cost],
ISNUMBER(Table9[Beneficiary Income (USD) / Project Cost])*
(Table9[Beneficiary Income (USD) / Project Cost]&gt;0)*
ISNUMBER(SEARCH("food security &amp; resilience",Table9[Primary Objective]))
),
_xlpm.med,
MEDIAN(_xlpm.data),
_xlpm.mad,
MEDIAN(ABS(_xlpm.data-_xlpm.med)),
AVERAGE(
_xlfn._xlws.FILTER(
_xlpm.data,
ABS(_xlpm.data-_xlpm.med)&lt;=2.5*_xlpm.mad
)
)
)</f>
        <v>0.93143701757193909</v>
      </c>
      <c r="BT34" s="15">
        <f>BP34-BR34</f>
        <v>27</v>
      </c>
    </row>
    <row r="36" spans="2:72" ht="31.9" customHeight="1" x14ac:dyDescent="0.25">
      <c r="B36" s="330" t="s">
        <v>707</v>
      </c>
      <c r="C36" s="528" t="s">
        <v>622</v>
      </c>
      <c r="D36" s="529"/>
      <c r="K36" s="410" t="s">
        <v>707</v>
      </c>
      <c r="L36" s="533" t="s">
        <v>709</v>
      </c>
      <c r="M36" s="515"/>
      <c r="T36" s="410" t="s">
        <v>707</v>
      </c>
      <c r="U36" s="380" t="s">
        <v>623</v>
      </c>
      <c r="V36" s="380"/>
      <c r="AC36" s="410" t="s">
        <v>707</v>
      </c>
      <c r="AD36" s="533" t="s">
        <v>624</v>
      </c>
      <c r="AE36" s="515"/>
      <c r="AL36" s="410" t="s">
        <v>707</v>
      </c>
      <c r="AM36" s="533" t="s">
        <v>562</v>
      </c>
      <c r="AN36" s="515"/>
      <c r="AU36" s="410" t="s">
        <v>707</v>
      </c>
      <c r="AV36" s="536" t="s">
        <v>31</v>
      </c>
      <c r="AW36" s="515"/>
      <c r="BD36" s="410" t="s">
        <v>707</v>
      </c>
      <c r="BE36" s="536" t="s">
        <v>33</v>
      </c>
      <c r="BF36" s="515"/>
      <c r="BM36" s="410" t="s">
        <v>707</v>
      </c>
      <c r="BN36" s="536" t="s">
        <v>33</v>
      </c>
      <c r="BO36" s="515"/>
    </row>
    <row r="37" spans="2:72" ht="48" customHeight="1" x14ac:dyDescent="0.25">
      <c r="B37" s="201" t="s">
        <v>627</v>
      </c>
      <c r="C37" s="200" t="s">
        <v>628</v>
      </c>
      <c r="D37" s="419" t="s">
        <v>698</v>
      </c>
      <c r="K37" s="200" t="s">
        <v>627</v>
      </c>
      <c r="L37" s="200" t="s">
        <v>628</v>
      </c>
      <c r="M37" s="419" t="s">
        <v>698</v>
      </c>
      <c r="T37" s="200" t="s">
        <v>627</v>
      </c>
      <c r="U37" s="200" t="s">
        <v>628</v>
      </c>
      <c r="V37" s="419" t="s">
        <v>698</v>
      </c>
      <c r="AC37" s="200" t="s">
        <v>627</v>
      </c>
      <c r="AD37" s="200" t="s">
        <v>628</v>
      </c>
      <c r="AE37" s="419" t="s">
        <v>698</v>
      </c>
      <c r="AL37" s="200" t="s">
        <v>627</v>
      </c>
      <c r="AM37" s="200" t="s">
        <v>628</v>
      </c>
      <c r="AN37" s="419" t="s">
        <v>698</v>
      </c>
      <c r="AU37" s="200" t="s">
        <v>627</v>
      </c>
      <c r="AV37" s="200" t="s">
        <v>628</v>
      </c>
      <c r="AW37" s="419" t="s">
        <v>698</v>
      </c>
      <c r="BD37" s="200" t="s">
        <v>627</v>
      </c>
      <c r="BE37" s="200" t="s">
        <v>628</v>
      </c>
      <c r="BF37" s="419" t="s">
        <v>698</v>
      </c>
      <c r="BM37" s="200" t="s">
        <v>627</v>
      </c>
      <c r="BN37" s="200" t="s">
        <v>628</v>
      </c>
      <c r="BO37" s="419" t="s">
        <v>698</v>
      </c>
    </row>
    <row r="38" spans="2:72" ht="27" customHeight="1" x14ac:dyDescent="0.25">
      <c r="B38" s="372" t="s">
        <v>631</v>
      </c>
      <c r="C38" s="202">
        <f>C4</f>
        <v>189.99599231861066</v>
      </c>
      <c r="D38" s="202">
        <f>H4</f>
        <v>193.20709578774699</v>
      </c>
      <c r="K38" s="411" t="s">
        <v>631</v>
      </c>
      <c r="L38" s="203">
        <f>L4</f>
        <v>2.5295999999999999E-2</v>
      </c>
      <c r="M38" s="203">
        <f>Q4</f>
        <v>1.9804711722936529E-2</v>
      </c>
      <c r="T38" s="411" t="s">
        <v>631</v>
      </c>
      <c r="U38" s="203">
        <f>U4</f>
        <v>0.43977591240875907</v>
      </c>
      <c r="V38" s="203">
        <f>Z4</f>
        <v>0.42706102368504933</v>
      </c>
      <c r="AC38" s="411" t="s">
        <v>631</v>
      </c>
      <c r="AD38" s="203">
        <f>AD4</f>
        <v>1.33125</v>
      </c>
      <c r="AE38" s="203">
        <f>AI4</f>
        <v>1.0470640789475101</v>
      </c>
      <c r="AL38" s="411" t="s">
        <v>631</v>
      </c>
      <c r="AM38" s="203">
        <f>AM4</f>
        <v>0.12824730379810756</v>
      </c>
      <c r="AN38" s="203">
        <f>AR4</f>
        <v>0.1029357100877261</v>
      </c>
      <c r="AU38" s="411" t="s">
        <v>631</v>
      </c>
      <c r="AV38" s="202">
        <f>AV4</f>
        <v>279.67741935483872</v>
      </c>
      <c r="AW38" s="202">
        <f>BA4</f>
        <v>278.25100874351381</v>
      </c>
      <c r="BD38" s="411" t="s">
        <v>631</v>
      </c>
      <c r="BE38" s="202">
        <f>BE4</f>
        <v>2120.75</v>
      </c>
      <c r="BF38" s="202">
        <f>BJ4</f>
        <v>1922.269923714186</v>
      </c>
      <c r="BM38" s="424" t="s">
        <v>631</v>
      </c>
      <c r="BN38" s="203">
        <f>BN4</f>
        <v>1.1640735593775156</v>
      </c>
      <c r="BO38" s="203">
        <f>BS4</f>
        <v>1.0965579695765688</v>
      </c>
    </row>
    <row r="39" spans="2:72" ht="16.899999999999999" customHeight="1" x14ac:dyDescent="0.25">
      <c r="B39" s="373" t="s">
        <v>700</v>
      </c>
      <c r="C39" s="373"/>
      <c r="D39" s="373"/>
      <c r="K39" s="409" t="s">
        <v>700</v>
      </c>
      <c r="L39" s="373"/>
      <c r="M39" s="373"/>
      <c r="T39" s="409" t="s">
        <v>700</v>
      </c>
      <c r="U39" s="373"/>
      <c r="V39" s="373"/>
      <c r="AC39" s="409" t="s">
        <v>700</v>
      </c>
      <c r="AD39" s="373"/>
      <c r="AE39" s="373"/>
      <c r="AL39" s="409" t="s">
        <v>700</v>
      </c>
      <c r="AM39" s="373"/>
      <c r="AN39" s="373"/>
      <c r="AU39" s="409" t="s">
        <v>700</v>
      </c>
      <c r="AV39" s="373"/>
      <c r="AW39" s="373"/>
      <c r="BD39" s="409" t="s">
        <v>700</v>
      </c>
      <c r="BE39" s="373"/>
      <c r="BF39" s="373"/>
      <c r="BM39" s="293" t="s">
        <v>700</v>
      </c>
      <c r="BN39" s="373"/>
      <c r="BO39" s="373"/>
    </row>
    <row r="40" spans="2:72" x14ac:dyDescent="0.25">
      <c r="B40" s="206" t="s">
        <v>714</v>
      </c>
      <c r="C40" s="202">
        <f>C6</f>
        <v>125.03383604055691</v>
      </c>
      <c r="D40" s="202">
        <f>H6</f>
        <v>101.12335105001353</v>
      </c>
      <c r="G40" s="190"/>
      <c r="K40" s="412" t="s">
        <v>714</v>
      </c>
      <c r="L40" s="203">
        <f>L6</f>
        <v>2.4128012820512822E-2</v>
      </c>
      <c r="M40" s="203">
        <f>Q6</f>
        <v>1.7921764853599875E-2</v>
      </c>
      <c r="T40" s="412" t="s">
        <v>714</v>
      </c>
      <c r="U40" s="203">
        <f>U6</f>
        <v>0.30848466448692158</v>
      </c>
      <c r="V40" s="203">
        <f>Z6</f>
        <v>0.2483186867653196</v>
      </c>
      <c r="AC40" s="412" t="s">
        <v>714</v>
      </c>
      <c r="AD40" s="203">
        <f>AD6</f>
        <v>1.33125</v>
      </c>
      <c r="AE40" s="203">
        <f>AI6</f>
        <v>0.99383734268372981</v>
      </c>
      <c r="AL40" s="412" t="s">
        <v>714</v>
      </c>
      <c r="AM40" s="203">
        <f>AM6</f>
        <v>0.10208563993256134</v>
      </c>
      <c r="AN40" s="203">
        <f>AR6</f>
        <v>7.5771497720443726E-2</v>
      </c>
      <c r="AU40" s="412" t="s">
        <v>714</v>
      </c>
      <c r="AV40" s="202">
        <f>AV6</f>
        <v>209.55307262569829</v>
      </c>
      <c r="AW40" s="202">
        <f>BA6</f>
        <v>216.14040688917038</v>
      </c>
      <c r="BD40" s="412" t="s">
        <v>714</v>
      </c>
      <c r="BE40" s="202">
        <f>BE6</f>
        <v>2386.5026995573412</v>
      </c>
      <c r="BF40" s="202">
        <f>BJ6</f>
        <v>2283.937366824412</v>
      </c>
      <c r="BM40" s="425" t="s">
        <v>714</v>
      </c>
      <c r="BN40" s="203">
        <f>BN6</f>
        <v>1.0993652525186981</v>
      </c>
      <c r="BO40" s="203">
        <f>BS6</f>
        <v>0.92410585800417921</v>
      </c>
    </row>
    <row r="41" spans="2:72" x14ac:dyDescent="0.25">
      <c r="B41" s="206" t="s">
        <v>715</v>
      </c>
      <c r="C41" s="202">
        <f>C7</f>
        <v>508.48724598018771</v>
      </c>
      <c r="D41" s="202">
        <f>H7</f>
        <v>341.37323398598392</v>
      </c>
      <c r="K41" s="206" t="s">
        <v>715</v>
      </c>
      <c r="L41" s="203">
        <f>L7</f>
        <v>4.3549867665947851E-2</v>
      </c>
      <c r="M41" s="203">
        <f>Q7</f>
        <v>4.6110373426690297E-2</v>
      </c>
      <c r="T41" s="206" t="s">
        <v>715</v>
      </c>
      <c r="U41" s="203">
        <f>U7</f>
        <v>0.70857276000000002</v>
      </c>
      <c r="V41" s="203">
        <f>Z7</f>
        <v>0.46263606622796732</v>
      </c>
      <c r="AC41" s="206" t="s">
        <v>715</v>
      </c>
      <c r="AD41" s="203">
        <f>AD7</f>
        <v>1.7337664800000001</v>
      </c>
      <c r="AE41" s="203">
        <f>AI7</f>
        <v>1.2889526433572809</v>
      </c>
      <c r="AL41" s="206" t="s">
        <v>715</v>
      </c>
      <c r="AM41" s="203">
        <f>AM7</f>
        <v>0.1122911370079798</v>
      </c>
      <c r="AN41" s="203">
        <f>AR7</f>
        <v>2.52078849034325</v>
      </c>
      <c r="AU41" s="206" t="s">
        <v>715</v>
      </c>
      <c r="AV41" s="202">
        <f>AV7</f>
        <v>598.59825652691143</v>
      </c>
      <c r="AW41" s="202">
        <f>BA7</f>
        <v>480.20004127764838</v>
      </c>
      <c r="BD41" s="206" t="s">
        <v>715</v>
      </c>
      <c r="BE41" s="202">
        <f>BE7</f>
        <v>820.24489795918362</v>
      </c>
      <c r="BF41" s="202">
        <f>BJ7</f>
        <v>402.91174603497973</v>
      </c>
      <c r="BM41" s="206" t="s">
        <v>715</v>
      </c>
      <c r="BN41" s="203">
        <f>BN7</f>
        <v>1.6198021143968986</v>
      </c>
      <c r="BO41" s="203">
        <f>BS7</f>
        <v>1.464488734227164</v>
      </c>
    </row>
    <row r="42" spans="2:72" x14ac:dyDescent="0.25">
      <c r="B42" s="206" t="s">
        <v>634</v>
      </c>
      <c r="C42" s="202">
        <f>C8</f>
        <v>1000.3537064110849</v>
      </c>
      <c r="D42" s="202">
        <f>H8</f>
        <v>1000.3537064110848</v>
      </c>
      <c r="K42" s="412" t="s">
        <v>634</v>
      </c>
      <c r="L42" s="203">
        <f>L8</f>
        <v>6.8120532947706508E-2</v>
      </c>
      <c r="M42" s="203">
        <f>Q8</f>
        <v>6.8120532947706508E-2</v>
      </c>
      <c r="T42" s="412" t="s">
        <v>634</v>
      </c>
      <c r="U42" s="203">
        <f>U8</f>
        <v>0.84191089108910888</v>
      </c>
      <c r="V42" s="203">
        <f>Z8</f>
        <v>0.78914105951189617</v>
      </c>
      <c r="AC42" s="412" t="s">
        <v>634</v>
      </c>
      <c r="AD42" s="203">
        <f>AD8</f>
        <v>0.36717139999999998</v>
      </c>
      <c r="AE42" s="203">
        <f>AI8</f>
        <v>0.18977381881188118</v>
      </c>
      <c r="AL42" s="412" t="s">
        <v>634</v>
      </c>
      <c r="AM42" s="203">
        <f>AM8</f>
        <v>79.736000000000004</v>
      </c>
      <c r="AN42" s="203">
        <f>AR8</f>
        <v>79.736000000000004</v>
      </c>
      <c r="AU42" s="412" t="s">
        <v>634</v>
      </c>
      <c r="AV42" s="202">
        <f>AV8</f>
        <v>296.63366336633658</v>
      </c>
      <c r="AW42" s="202">
        <f>BA8</f>
        <v>276.91307603487616</v>
      </c>
      <c r="BD42" s="412" t="s">
        <v>634</v>
      </c>
      <c r="BE42" s="202">
        <f>BE8</f>
        <v>1195.569505719822</v>
      </c>
      <c r="BF42" s="202">
        <f>BJ8</f>
        <v>923.6686847750758</v>
      </c>
      <c r="BM42" s="425" t="s">
        <v>634</v>
      </c>
      <c r="BN42" s="203">
        <f>BN8</f>
        <v>1.0742828635910415</v>
      </c>
      <c r="BO42" s="203">
        <f>BS8</f>
        <v>1.0742828635910415</v>
      </c>
    </row>
    <row r="43" spans="2:72" x14ac:dyDescent="0.25">
      <c r="B43" s="373" t="s">
        <v>635</v>
      </c>
      <c r="C43" s="373"/>
      <c r="D43" s="373"/>
      <c r="K43" s="409" t="s">
        <v>635</v>
      </c>
      <c r="L43" s="373"/>
      <c r="M43" s="373"/>
      <c r="T43" s="409" t="s">
        <v>635</v>
      </c>
      <c r="U43" s="373"/>
      <c r="V43" s="373"/>
      <c r="AC43" s="409" t="s">
        <v>635</v>
      </c>
      <c r="AD43" s="373"/>
      <c r="AE43" s="373"/>
      <c r="AL43" s="409" t="s">
        <v>635</v>
      </c>
      <c r="AM43" s="373"/>
      <c r="AN43" s="373"/>
      <c r="AU43" s="409" t="s">
        <v>635</v>
      </c>
      <c r="AV43" s="373"/>
      <c r="AW43" s="373"/>
      <c r="BD43" s="409" t="s">
        <v>635</v>
      </c>
      <c r="BE43" s="373"/>
      <c r="BF43" s="373"/>
      <c r="BM43" s="293" t="s">
        <v>635</v>
      </c>
      <c r="BN43" s="373"/>
      <c r="BO43" s="373"/>
    </row>
    <row r="44" spans="2:72" x14ac:dyDescent="0.25">
      <c r="B44" s="206" t="s">
        <v>716</v>
      </c>
      <c r="C44" s="202">
        <f>C10</f>
        <v>188.66995073891621</v>
      </c>
      <c r="D44" s="202">
        <f>H10</f>
        <v>197.98268201646579</v>
      </c>
      <c r="K44" s="206" t="s">
        <v>716</v>
      </c>
      <c r="L44" s="203">
        <f>L10</f>
        <v>2.6493124495294999E-2</v>
      </c>
      <c r="M44" s="203">
        <f>Q10</f>
        <v>1.9854915260853125E-2</v>
      </c>
      <c r="T44" s="206" t="s">
        <v>716</v>
      </c>
      <c r="U44" s="203">
        <f>U10</f>
        <v>0.48221049077583339</v>
      </c>
      <c r="V44" s="203">
        <f>Z10</f>
        <v>0.4342926189260185</v>
      </c>
      <c r="AC44" s="206" t="s">
        <v>716</v>
      </c>
      <c r="AD44" s="203">
        <f>AD10</f>
        <v>0.48617511520737328</v>
      </c>
      <c r="AE44" s="203">
        <f>AI10</f>
        <v>0.21346738366232937</v>
      </c>
      <c r="AL44" s="206" t="s">
        <v>716</v>
      </c>
      <c r="AM44" s="203">
        <f>AM10</f>
        <v>0.1606363636363636</v>
      </c>
      <c r="AN44" s="203">
        <f>AR10</f>
        <v>0.21410421197335974</v>
      </c>
      <c r="AU44" s="206" t="s">
        <v>716</v>
      </c>
      <c r="AV44" s="202">
        <f>AV10</f>
        <v>232.73108176739458</v>
      </c>
      <c r="AW44" s="202">
        <f>BA10</f>
        <v>178.95821865650223</v>
      </c>
      <c r="BD44" s="206" t="s">
        <v>716</v>
      </c>
      <c r="BE44" s="202">
        <f>BE10</f>
        <v>3050.909090909091</v>
      </c>
      <c r="BF44" s="202">
        <f>BJ10</f>
        <v>2709.7043391719071</v>
      </c>
      <c r="BM44" s="206" t="s">
        <v>716</v>
      </c>
      <c r="BN44" s="203">
        <f>BN10</f>
        <v>1.583870967741936</v>
      </c>
      <c r="BO44" s="203">
        <f>BS10</f>
        <v>1.6342597221576054</v>
      </c>
    </row>
    <row r="45" spans="2:72" x14ac:dyDescent="0.25">
      <c r="B45" s="206" t="s">
        <v>717</v>
      </c>
      <c r="C45" s="202">
        <f>C11</f>
        <v>117.60204960463879</v>
      </c>
      <c r="D45" s="202">
        <f>H11</f>
        <v>108.58255558680986</v>
      </c>
      <c r="K45" s="206" t="s">
        <v>717</v>
      </c>
      <c r="L45" s="203">
        <f>L11</f>
        <v>2.4928571428571428E-2</v>
      </c>
      <c r="M45" s="203">
        <f>Q11</f>
        <v>1.3856682945957688E-2</v>
      </c>
      <c r="T45" s="206" t="s">
        <v>717</v>
      </c>
      <c r="U45" s="203">
        <f>U11</f>
        <v>0.79365079365079361</v>
      </c>
      <c r="V45" s="203">
        <f>Z11</f>
        <v>0.6244249811431789</v>
      </c>
      <c r="AC45" s="206" t="s">
        <v>717</v>
      </c>
      <c r="AD45" s="203">
        <f>AD11</f>
        <v>1.93865246449457</v>
      </c>
      <c r="AE45" s="203">
        <f>AI11</f>
        <v>1.5848955604574146</v>
      </c>
      <c r="AL45" s="206" t="s">
        <v>717</v>
      </c>
      <c r="AM45" s="203">
        <f>AM11</f>
        <v>1.3324959804657428</v>
      </c>
      <c r="AN45" s="203">
        <f>AR11</f>
        <v>0.71729081019915197</v>
      </c>
      <c r="AU45" s="206" t="s">
        <v>717</v>
      </c>
      <c r="AV45" s="202">
        <f>AV11</f>
        <v>591.85231975281738</v>
      </c>
      <c r="AW45" s="202">
        <f>BA11</f>
        <v>507.54572181686581</v>
      </c>
      <c r="BD45" s="206" t="s">
        <v>717</v>
      </c>
      <c r="BE45" s="202">
        <f>BE11</f>
        <v>3839.333698908828</v>
      </c>
      <c r="BF45" s="202">
        <f>BJ11</f>
        <v>4382.8559657190499</v>
      </c>
      <c r="BM45" s="206" t="s">
        <v>717</v>
      </c>
      <c r="BN45" s="203">
        <f>BN11</f>
        <v>1.485714285714286</v>
      </c>
      <c r="BO45" s="203">
        <f>BS11</f>
        <v>1.3692438221268184</v>
      </c>
    </row>
    <row r="46" spans="2:72" x14ac:dyDescent="0.25">
      <c r="B46" s="206" t="s">
        <v>718</v>
      </c>
      <c r="C46" s="202">
        <f>C12</f>
        <v>261.03095479055395</v>
      </c>
      <c r="D46" s="202">
        <f>H12</f>
        <v>281.37129921011558</v>
      </c>
      <c r="K46" s="206" t="s">
        <v>718</v>
      </c>
      <c r="L46" s="203">
        <f>L12</f>
        <v>2.5295999999999999E-2</v>
      </c>
      <c r="M46" s="203">
        <f>Q12</f>
        <v>2.4031787904528593E-2</v>
      </c>
      <c r="T46" s="206" t="s">
        <v>718</v>
      </c>
      <c r="U46" s="203">
        <f>U12</f>
        <v>0.1757894736842105</v>
      </c>
      <c r="V46" s="203">
        <f>Z12</f>
        <v>0.19858877598612323</v>
      </c>
      <c r="AC46" s="206" t="s">
        <v>718</v>
      </c>
      <c r="AD46" s="203">
        <f>AD12</f>
        <v>0.23866666666666669</v>
      </c>
      <c r="AE46" s="203">
        <f>AI12</f>
        <v>0.21464265583049064</v>
      </c>
      <c r="AL46" s="206" t="s">
        <v>718</v>
      </c>
      <c r="AM46" s="203">
        <f>AM12</f>
        <v>3.6333847829880667E-2</v>
      </c>
      <c r="AN46" s="203">
        <f>AR12</f>
        <v>3.2814023277639069E-2</v>
      </c>
      <c r="AU46" s="206" t="s">
        <v>718</v>
      </c>
      <c r="AV46" s="202">
        <f>AV12</f>
        <v>199.58210803281219</v>
      </c>
      <c r="AW46" s="202">
        <f>BA12</f>
        <v>299.8935950710985</v>
      </c>
      <c r="BD46" s="206" t="s">
        <v>718</v>
      </c>
      <c r="BE46" s="202">
        <f>BE12</f>
        <v>1500.4662878093845</v>
      </c>
      <c r="BF46" s="202">
        <f>BJ12</f>
        <v>1238.7700348219118</v>
      </c>
      <c r="BM46" s="206" t="s">
        <v>718</v>
      </c>
      <c r="BN46" s="203">
        <f>BN12</f>
        <v>0.57605489442643898</v>
      </c>
      <c r="BO46" s="203">
        <f>BS12</f>
        <v>0.48420487264456058</v>
      </c>
    </row>
    <row r="47" spans="2:72" ht="15" customHeight="1" x14ac:dyDescent="0.25">
      <c r="B47" s="376" t="s">
        <v>737</v>
      </c>
      <c r="C47" s="374"/>
      <c r="D47" s="374"/>
      <c r="K47" s="376" t="s">
        <v>737</v>
      </c>
      <c r="L47" s="373"/>
      <c r="M47" s="373"/>
      <c r="T47" s="376" t="s">
        <v>737</v>
      </c>
      <c r="U47" s="373"/>
      <c r="V47" s="373"/>
      <c r="AC47" s="376" t="s">
        <v>737</v>
      </c>
      <c r="AD47" s="373"/>
      <c r="AE47" s="373"/>
      <c r="AL47" s="376" t="s">
        <v>737</v>
      </c>
      <c r="AM47" s="373"/>
      <c r="AN47" s="373"/>
      <c r="AU47" s="376" t="s">
        <v>737</v>
      </c>
      <c r="AV47" s="373"/>
      <c r="AW47" s="373"/>
      <c r="BD47" s="376" t="s">
        <v>737</v>
      </c>
      <c r="BE47" s="373"/>
      <c r="BF47" s="373"/>
      <c r="BM47" s="426" t="s">
        <v>639</v>
      </c>
      <c r="BN47" s="373"/>
      <c r="BO47" s="373"/>
    </row>
    <row r="48" spans="2:72" x14ac:dyDescent="0.25">
      <c r="B48" s="206" t="s">
        <v>569</v>
      </c>
      <c r="C48" s="202">
        <f>C14</f>
        <v>108.65816765946225</v>
      </c>
      <c r="D48" s="202">
        <f>H14</f>
        <v>78.476919036384587</v>
      </c>
      <c r="K48" s="412" t="s">
        <v>569</v>
      </c>
      <c r="L48" s="203">
        <f>L14</f>
        <v>1.8666992000736318E-2</v>
      </c>
      <c r="M48" s="203">
        <f>Q14</f>
        <v>2.1521500998600163E-2</v>
      </c>
      <c r="T48" s="412" t="s">
        <v>569</v>
      </c>
      <c r="U48" s="203">
        <f>U14</f>
        <v>0.2697065081379364</v>
      </c>
      <c r="V48" s="203">
        <f>Z14</f>
        <v>0.18838534009125088</v>
      </c>
      <c r="AC48" s="412" t="s">
        <v>569</v>
      </c>
      <c r="AD48" s="203">
        <f>AD14</f>
        <v>0.68604651162790697</v>
      </c>
      <c r="AE48" s="203">
        <f>AI14</f>
        <v>0.79243985376346848</v>
      </c>
      <c r="AL48" s="412" t="s">
        <v>569</v>
      </c>
      <c r="AM48" s="203">
        <f>AM14</f>
        <v>3.6333847829880667E-2</v>
      </c>
      <c r="AN48" s="203">
        <f>AR14</f>
        <v>3.6333847829880667E-2</v>
      </c>
      <c r="AU48" s="412" t="s">
        <v>569</v>
      </c>
      <c r="AV48" s="202">
        <f>AV14</f>
        <v>83.451118963486451</v>
      </c>
      <c r="AW48" s="202">
        <f>BA14</f>
        <v>37.362166931668924</v>
      </c>
      <c r="BD48" s="412" t="s">
        <v>569</v>
      </c>
      <c r="BE48" s="202">
        <f>BE14</f>
        <v>4904.8194999176394</v>
      </c>
      <c r="BF48" s="202">
        <f>BJ14</f>
        <v>5676.3537572809855</v>
      </c>
      <c r="BM48" s="425" t="s">
        <v>569</v>
      </c>
      <c r="BN48" s="203">
        <f>BN14</f>
        <v>1.1971754362416105</v>
      </c>
      <c r="BO48" s="203">
        <f>BS14</f>
        <v>1.4361119292339291</v>
      </c>
    </row>
    <row r="49" spans="2:67" x14ac:dyDescent="0.25">
      <c r="B49" s="206" t="s">
        <v>658</v>
      </c>
      <c r="C49" s="202">
        <f>C15</f>
        <v>198.7638426627511</v>
      </c>
      <c r="D49" s="202">
        <f>H15</f>
        <v>217.63550829196475</v>
      </c>
      <c r="K49" s="412" t="s">
        <v>658</v>
      </c>
      <c r="L49" s="203">
        <f>L15</f>
        <v>2.6056929877820469E-2</v>
      </c>
      <c r="M49" s="203">
        <f>Q15</f>
        <v>2.1945071535214869E-2</v>
      </c>
      <c r="T49" s="412" t="s">
        <v>658</v>
      </c>
      <c r="U49" s="203">
        <f>U15</f>
        <v>0.31970482897384311</v>
      </c>
      <c r="V49" s="203">
        <f>Z15</f>
        <v>0.27223122273315842</v>
      </c>
      <c r="AC49" s="412" t="s">
        <v>658</v>
      </c>
      <c r="AD49" s="203">
        <f>AD15</f>
        <v>1.9327001256074459</v>
      </c>
      <c r="AE49" s="203">
        <f>AI15</f>
        <v>1.4361326190379069</v>
      </c>
      <c r="AL49" s="412" t="s">
        <v>658</v>
      </c>
      <c r="AM49" s="203">
        <f>AM15</f>
        <v>9.1880142857142869E-2</v>
      </c>
      <c r="AN49" s="203">
        <f>AR15</f>
        <v>7.3882832622338926E-2</v>
      </c>
      <c r="AU49" s="412" t="s">
        <v>658</v>
      </c>
      <c r="AV49" s="202">
        <f>AV15</f>
        <v>635.90163934426232</v>
      </c>
      <c r="AW49" s="202">
        <f>BA15</f>
        <v>517.55639485739061</v>
      </c>
      <c r="BD49" s="412" t="s">
        <v>658</v>
      </c>
      <c r="BE49" s="202">
        <f>BE15</f>
        <v>2497.840827596086</v>
      </c>
      <c r="BF49" s="202">
        <f>BJ15</f>
        <v>2579.2045060776695</v>
      </c>
      <c r="BM49" s="425" t="s">
        <v>658</v>
      </c>
      <c r="BN49" s="203">
        <f>BN15</f>
        <v>1.2907713052836876</v>
      </c>
      <c r="BO49" s="203">
        <f>BS15</f>
        <v>1.1550785110267823</v>
      </c>
    </row>
    <row r="50" spans="2:67" x14ac:dyDescent="0.25">
      <c r="B50" s="206" t="s">
        <v>659</v>
      </c>
      <c r="C50" s="202">
        <f>C16</f>
        <v>270.83958837772394</v>
      </c>
      <c r="D50" s="202">
        <f>H16</f>
        <v>241.83368626197085</v>
      </c>
      <c r="K50" s="412" t="s">
        <v>659</v>
      </c>
      <c r="L50" s="203">
        <f>L16</f>
        <v>3.923450788381494E-2</v>
      </c>
      <c r="M50" s="203">
        <f>Q16</f>
        <v>4.0689375319343697E-2</v>
      </c>
      <c r="T50" s="412" t="s">
        <v>659</v>
      </c>
      <c r="U50" s="203">
        <f>U16</f>
        <v>0.52782178217821785</v>
      </c>
      <c r="V50" s="203">
        <f>Z16</f>
        <v>0.48740605038359769</v>
      </c>
      <c r="AC50" s="412" t="s">
        <v>659</v>
      </c>
      <c r="AD50" s="203">
        <f>AD16</f>
        <v>1.2038596491228071</v>
      </c>
      <c r="AE50" s="203">
        <f>AI16</f>
        <v>0.97906527533860199</v>
      </c>
      <c r="AL50" s="412" t="s">
        <v>659</v>
      </c>
      <c r="AM50" s="203">
        <f>AM16</f>
        <v>0.39370681069663382</v>
      </c>
      <c r="AN50" s="203">
        <f>AR16</f>
        <v>0.24743156432833674</v>
      </c>
      <c r="AU50" s="412" t="s">
        <v>659</v>
      </c>
      <c r="AV50" s="202">
        <f>AV16</f>
        <v>198.89429824764571</v>
      </c>
      <c r="AW50" s="202">
        <f>BA16</f>
        <v>155.02880321389327</v>
      </c>
      <c r="BD50" s="412" t="s">
        <v>659</v>
      </c>
      <c r="BE50" s="202">
        <f>BE16</f>
        <v>1761.5542521994134</v>
      </c>
      <c r="BF50" s="202">
        <f>BJ16</f>
        <v>1523.4732546657742</v>
      </c>
      <c r="BM50" s="425" t="s">
        <v>659</v>
      </c>
      <c r="BN50" s="203">
        <f>BN16</f>
        <v>1.1640735593775156</v>
      </c>
      <c r="BO50" s="203">
        <f>BS16</f>
        <v>1.0610852274389311</v>
      </c>
    </row>
    <row r="51" spans="2:67" x14ac:dyDescent="0.25">
      <c r="B51" s="206" t="s">
        <v>571</v>
      </c>
      <c r="C51" s="202">
        <f>C17</f>
        <v>310.31798831659512</v>
      </c>
      <c r="D51" s="202">
        <f>H17</f>
        <v>211.37865887773009</v>
      </c>
      <c r="K51" s="412" t="s">
        <v>571</v>
      </c>
      <c r="L51" s="203">
        <f>L17</f>
        <v>1.5295037480412312E-2</v>
      </c>
      <c r="M51" s="203">
        <f>Q17</f>
        <v>1.0522778610129948E-2</v>
      </c>
      <c r="T51" s="412" t="s">
        <v>571</v>
      </c>
      <c r="U51" s="203">
        <f>U17</f>
        <v>1.133113833333333</v>
      </c>
      <c r="V51" s="203">
        <f>Z17</f>
        <v>0.6434649166666665</v>
      </c>
      <c r="AC51" s="412" t="s">
        <v>571</v>
      </c>
      <c r="AD51" s="203">
        <f>AD17</f>
        <v>0.53767324166666663</v>
      </c>
      <c r="AE51" s="203">
        <f>AI17</f>
        <v>0.53767324166666663</v>
      </c>
      <c r="AL51" s="412" t="s">
        <v>571</v>
      </c>
      <c r="AM51" s="198" t="str">
        <f>AM17</f>
        <v>N/A</v>
      </c>
      <c r="AN51" s="198" t="str">
        <f>AR17</f>
        <v>N/A</v>
      </c>
      <c r="AU51" s="412" t="s">
        <v>571</v>
      </c>
      <c r="AV51" s="202">
        <f>AV17</f>
        <v>565.18920068027205</v>
      </c>
      <c r="AW51" s="202">
        <f>BA17</f>
        <v>565.18920068027205</v>
      </c>
      <c r="BD51" s="412" t="s">
        <v>571</v>
      </c>
      <c r="BE51" s="202">
        <f>BE17</f>
        <v>833.85126253891383</v>
      </c>
      <c r="BF51" s="202">
        <f>BJ17</f>
        <v>724.83176254156479</v>
      </c>
      <c r="BM51" s="425" t="s">
        <v>571</v>
      </c>
      <c r="BN51" s="203">
        <f>BN17</f>
        <v>0.89272098440677961</v>
      </c>
      <c r="BO51" s="203">
        <f>BS17</f>
        <v>1.0914830657328014</v>
      </c>
    </row>
    <row r="52" spans="2:67" x14ac:dyDescent="0.25">
      <c r="B52" s="373" t="s">
        <v>643</v>
      </c>
      <c r="C52" s="373"/>
      <c r="D52" s="373"/>
      <c r="K52" s="409" t="s">
        <v>643</v>
      </c>
      <c r="L52" s="373"/>
      <c r="M52" s="373"/>
      <c r="T52" s="409" t="s">
        <v>643</v>
      </c>
      <c r="U52" s="373"/>
      <c r="V52" s="373"/>
      <c r="AC52" s="409" t="s">
        <v>643</v>
      </c>
      <c r="AD52" s="373"/>
      <c r="AE52" s="373"/>
      <c r="AL52" s="409" t="s">
        <v>643</v>
      </c>
      <c r="AM52" s="373"/>
      <c r="AN52" s="373"/>
      <c r="AU52" s="409" t="s">
        <v>643</v>
      </c>
      <c r="AV52" s="373"/>
      <c r="AW52" s="373"/>
      <c r="BD52" s="409" t="s">
        <v>643</v>
      </c>
      <c r="BE52" s="373"/>
      <c r="BF52" s="373"/>
      <c r="BM52" s="293" t="s">
        <v>643</v>
      </c>
      <c r="BN52" s="373"/>
      <c r="BO52" s="373"/>
    </row>
    <row r="53" spans="2:67" x14ac:dyDescent="0.25">
      <c r="B53" s="206" t="s">
        <v>586</v>
      </c>
      <c r="C53" s="202">
        <f>C19</f>
        <v>154.28601015043586</v>
      </c>
      <c r="D53" s="202">
        <f>H19</f>
        <v>159.72542083458265</v>
      </c>
      <c r="K53" s="412" t="s">
        <v>586</v>
      </c>
      <c r="L53" s="203">
        <f>L19</f>
        <v>4.0204608987968862E-2</v>
      </c>
      <c r="M53" s="203">
        <f>Q19</f>
        <v>2.6261486063480204E-2</v>
      </c>
      <c r="T53" s="412" t="s">
        <v>586</v>
      </c>
      <c r="U53" s="203">
        <f>U19</f>
        <v>0.31970482897384311</v>
      </c>
      <c r="V53" s="203">
        <f>Z19</f>
        <v>0.29119939462637839</v>
      </c>
      <c r="AC53" s="412" t="s">
        <v>586</v>
      </c>
      <c r="AD53" s="203">
        <f>AD19</f>
        <v>1.1209320865687951</v>
      </c>
      <c r="AE53" s="203">
        <f>AI19</f>
        <v>0.9812408924125855</v>
      </c>
      <c r="AL53" s="412" t="s">
        <v>586</v>
      </c>
      <c r="AM53" s="203">
        <f>AM19</f>
        <v>0.10208563993256134</v>
      </c>
      <c r="AN53" s="203">
        <f>AR19</f>
        <v>0.11392918360264429</v>
      </c>
      <c r="AU53" s="412" t="s">
        <v>586</v>
      </c>
      <c r="AV53" s="202">
        <f>AV19</f>
        <v>227.74559947095156</v>
      </c>
      <c r="AW53" s="202">
        <f>BA19</f>
        <v>219.75291450667294</v>
      </c>
      <c r="BD53" s="412" t="s">
        <v>586</v>
      </c>
      <c r="BE53" s="202">
        <f>BE19</f>
        <v>2386.5026995573412</v>
      </c>
      <c r="BF53" s="202">
        <f>BJ19</f>
        <v>2357.6192103151984</v>
      </c>
      <c r="BM53" s="425" t="s">
        <v>586</v>
      </c>
      <c r="BN53" s="203">
        <f>BN19</f>
        <v>0.82986517142857141</v>
      </c>
      <c r="BO53" s="203">
        <f>BS19</f>
        <v>0.87556732389550163</v>
      </c>
    </row>
    <row r="54" spans="2:67" x14ac:dyDescent="0.25">
      <c r="B54" s="206" t="s">
        <v>583</v>
      </c>
      <c r="C54" s="202">
        <f>C20</f>
        <v>191.32203389830511</v>
      </c>
      <c r="D54" s="202">
        <f>H20</f>
        <v>176.82506634490929</v>
      </c>
      <c r="K54" s="412" t="s">
        <v>583</v>
      </c>
      <c r="L54" s="203">
        <f>L20</f>
        <v>2.6493124495294999E-2</v>
      </c>
      <c r="M54" s="203">
        <f>Q20</f>
        <v>2.3891690454265181E-2</v>
      </c>
      <c r="T54" s="412" t="s">
        <v>583</v>
      </c>
      <c r="U54" s="203">
        <f>U20</f>
        <v>0.48347128953771279</v>
      </c>
      <c r="V54" s="203">
        <f>Z20</f>
        <v>0.45013482465486071</v>
      </c>
      <c r="AC54" s="412" t="s">
        <v>583</v>
      </c>
      <c r="AD54" s="203">
        <f>AD20</f>
        <v>1.959925063457816</v>
      </c>
      <c r="AE54" s="203">
        <f>AI20</f>
        <v>1.266577466416499</v>
      </c>
      <c r="AL54" s="412" t="s">
        <v>583</v>
      </c>
      <c r="AM54" s="203">
        <f>AM20</f>
        <v>0.29210173529411765</v>
      </c>
      <c r="AN54" s="203">
        <f>AR20</f>
        <v>0.15530701710452899</v>
      </c>
      <c r="AU54" s="412" t="s">
        <v>583</v>
      </c>
      <c r="AV54" s="202">
        <f>AV20</f>
        <v>629.30083333333323</v>
      </c>
      <c r="AW54" s="202">
        <f>BA20</f>
        <v>588.71523014841364</v>
      </c>
      <c r="BD54" s="412" t="s">
        <v>583</v>
      </c>
      <c r="BE54" s="202">
        <f>BE20</f>
        <v>3189.769846249128</v>
      </c>
      <c r="BF54" s="202">
        <f>BJ20</f>
        <v>2592.8889018296109</v>
      </c>
      <c r="BM54" s="425" t="s">
        <v>583</v>
      </c>
      <c r="BN54" s="203">
        <f>BN20</f>
        <v>1.832535885167464</v>
      </c>
      <c r="BO54" s="203">
        <f>BS20</f>
        <v>1.6853982482269858</v>
      </c>
    </row>
    <row r="55" spans="2:67" x14ac:dyDescent="0.25">
      <c r="B55" s="206" t="s">
        <v>589</v>
      </c>
      <c r="C55" s="202">
        <f>C21</f>
        <v>116.634423977346</v>
      </c>
      <c r="D55" s="202">
        <f>H21</f>
        <v>88.927485070643755</v>
      </c>
      <c r="K55" s="412" t="s">
        <v>589</v>
      </c>
      <c r="L55" s="203">
        <f>L21</f>
        <v>8.0074098435085287E-3</v>
      </c>
      <c r="M55" s="203">
        <f>Q21</f>
        <v>5.3804514356055244E-3</v>
      </c>
      <c r="T55" s="412" t="s">
        <v>589</v>
      </c>
      <c r="U55" s="203">
        <f>U21</f>
        <v>0.97482539682539682</v>
      </c>
      <c r="V55" s="203">
        <f>Z21</f>
        <v>0.74640468125869674</v>
      </c>
      <c r="AC55" s="412" t="s">
        <v>589</v>
      </c>
      <c r="AD55" s="203">
        <f>AD21</f>
        <v>0.8147368421052632</v>
      </c>
      <c r="AE55" s="203">
        <f>AI21</f>
        <v>0.65143726657486856</v>
      </c>
      <c r="AL55" s="412" t="s">
        <v>589</v>
      </c>
      <c r="AM55" s="203">
        <f>AM21</f>
        <v>39.888838136141864</v>
      </c>
      <c r="AN55" s="203">
        <f>AR21</f>
        <v>39.888838136141857</v>
      </c>
      <c r="AU55" s="412" t="s">
        <v>589</v>
      </c>
      <c r="AV55" s="202">
        <f>AV21</f>
        <v>196.64</v>
      </c>
      <c r="AW55" s="202">
        <f>BA21</f>
        <v>180.43696184074571</v>
      </c>
      <c r="BD55" s="412" t="s">
        <v>589</v>
      </c>
      <c r="BE55" s="202">
        <f>BE21</f>
        <v>1411.6709671323986</v>
      </c>
      <c r="BF55" s="202">
        <f>BJ21</f>
        <v>724.23056380779747</v>
      </c>
      <c r="BM55" s="425" t="s">
        <v>589</v>
      </c>
      <c r="BN55" s="203">
        <f>BN21</f>
        <v>0.80423280423280419</v>
      </c>
      <c r="BO55" s="203">
        <f>BS21</f>
        <v>0.69513979813633442</v>
      </c>
    </row>
    <row r="56" spans="2:67" x14ac:dyDescent="0.25">
      <c r="B56" s="206" t="s">
        <v>597</v>
      </c>
      <c r="C56" s="202">
        <f>C22</f>
        <v>212.87799860937119</v>
      </c>
      <c r="D56" s="202">
        <f>H22</f>
        <v>232.91370595749353</v>
      </c>
      <c r="K56" s="412" t="s">
        <v>597</v>
      </c>
      <c r="L56" s="203">
        <f>L22</f>
        <v>1.8363905735518514E-2</v>
      </c>
      <c r="M56" s="203">
        <f>Q22</f>
        <v>2.1150299671132272E-2</v>
      </c>
      <c r="T56" s="412" t="s">
        <v>597</v>
      </c>
      <c r="U56" s="203">
        <f>U22</f>
        <v>0.29404642185850494</v>
      </c>
      <c r="V56" s="203">
        <f>Z22</f>
        <v>0.21553145695419498</v>
      </c>
      <c r="AC56" s="412" t="s">
        <v>597</v>
      </c>
      <c r="AD56" s="203">
        <f>AD22</f>
        <v>1.8035812692425064</v>
      </c>
      <c r="AE56" s="203">
        <f>AI22</f>
        <v>1.8035812692425066</v>
      </c>
      <c r="AL56" s="412" t="s">
        <v>597</v>
      </c>
      <c r="AM56" s="198" t="str">
        <f>AM22</f>
        <v>N/A</v>
      </c>
      <c r="AN56" s="198" t="str">
        <f>AR22</f>
        <v>N/A</v>
      </c>
      <c r="AU56" s="412" t="s">
        <v>597</v>
      </c>
      <c r="AV56" s="202">
        <f>AV22</f>
        <v>737.890410958904</v>
      </c>
      <c r="AW56" s="202">
        <f>BA22</f>
        <v>737.890410958904</v>
      </c>
      <c r="BD56" s="412" t="s">
        <v>597</v>
      </c>
      <c r="BE56" s="202">
        <f>BE22</f>
        <v>518.20000000000005</v>
      </c>
      <c r="BF56" s="202">
        <f>BJ22</f>
        <v>490.95113274806022</v>
      </c>
      <c r="BM56" s="425" t="s">
        <v>597</v>
      </c>
      <c r="BN56" s="203">
        <f>BN22</f>
        <v>0.5791622575831703</v>
      </c>
      <c r="BO56" s="203">
        <f>BS22</f>
        <v>0.38960493642799587</v>
      </c>
    </row>
    <row r="57" spans="2:67" ht="30" x14ac:dyDescent="0.25">
      <c r="B57" s="373" t="s">
        <v>719</v>
      </c>
      <c r="C57" s="373"/>
      <c r="D57" s="373"/>
      <c r="K57" s="373" t="s">
        <v>719</v>
      </c>
      <c r="L57" s="373"/>
      <c r="M57" s="373"/>
      <c r="T57" s="373" t="s">
        <v>719</v>
      </c>
      <c r="U57" s="373"/>
      <c r="V57" s="373"/>
      <c r="AC57" s="374" t="s">
        <v>719</v>
      </c>
      <c r="AD57" s="373"/>
      <c r="AE57" s="373"/>
      <c r="AL57" s="374" t="s">
        <v>719</v>
      </c>
      <c r="AM57" s="373"/>
      <c r="AN57" s="373"/>
      <c r="AU57" s="374" t="s">
        <v>719</v>
      </c>
      <c r="AV57" s="373"/>
      <c r="AW57" s="373"/>
      <c r="BD57" s="374" t="s">
        <v>719</v>
      </c>
      <c r="BE57" s="373"/>
      <c r="BF57" s="373"/>
      <c r="BM57" s="374" t="s">
        <v>719</v>
      </c>
      <c r="BN57" s="373"/>
      <c r="BO57" s="373"/>
    </row>
    <row r="58" spans="2:67" x14ac:dyDescent="0.25">
      <c r="B58" s="206" t="s">
        <v>720</v>
      </c>
      <c r="C58" s="202">
        <f>C24</f>
        <v>261.03095479055395</v>
      </c>
      <c r="D58" s="202">
        <f>H24</f>
        <v>276.58226598274604</v>
      </c>
      <c r="K58" s="206" t="s">
        <v>720</v>
      </c>
      <c r="L58" s="203">
        <f>L24</f>
        <v>2.1857319389547651E-2</v>
      </c>
      <c r="M58" s="203">
        <f>Q24</f>
        <v>1.7255451541505821E-2</v>
      </c>
      <c r="T58" s="206" t="s">
        <v>720</v>
      </c>
      <c r="U58" s="203">
        <f>U24</f>
        <v>0.29726449999999999</v>
      </c>
      <c r="V58" s="203">
        <f>Z24</f>
        <v>0.26989244799009021</v>
      </c>
      <c r="AC58" s="206" t="s">
        <v>720</v>
      </c>
      <c r="AD58" s="203">
        <f>AD24</f>
        <v>0.27511904761904765</v>
      </c>
      <c r="AE58" s="203">
        <f>AI24</f>
        <v>0.17465274997965166</v>
      </c>
      <c r="AL58" s="206" t="s">
        <v>720</v>
      </c>
      <c r="AM58" s="203">
        <f>AM24</f>
        <v>3.6333847829880667E-2</v>
      </c>
      <c r="AN58" s="203">
        <f>AR24</f>
        <v>1.8512298914940332E-2</v>
      </c>
      <c r="AU58" s="206" t="s">
        <v>720</v>
      </c>
      <c r="AV58" s="202">
        <f>AV24</f>
        <v>239.28585880124223</v>
      </c>
      <c r="AW58" s="202">
        <f>BA24</f>
        <v>239.12275000958243</v>
      </c>
      <c r="BD58" s="206" t="s">
        <v>720</v>
      </c>
      <c r="BE58" s="202">
        <f>BE24</f>
        <v>1482.8571428571429</v>
      </c>
      <c r="BF58" s="202">
        <f>BJ24</f>
        <v>1127.4344683979175</v>
      </c>
      <c r="BM58" s="206" t="s">
        <v>720</v>
      </c>
      <c r="BN58" s="203">
        <f>BN24</f>
        <v>0.50114407140589967</v>
      </c>
      <c r="BO58" s="203">
        <f>BS24</f>
        <v>0.4789529597412599</v>
      </c>
    </row>
    <row r="59" spans="2:67" x14ac:dyDescent="0.25">
      <c r="B59" s="206" t="s">
        <v>721</v>
      </c>
      <c r="C59" s="202">
        <f>C25</f>
        <v>247.04261754384419</v>
      </c>
      <c r="D59" s="202">
        <f>H25</f>
        <v>156.90842668420058</v>
      </c>
      <c r="K59" s="206" t="s">
        <v>721</v>
      </c>
      <c r="L59" s="203">
        <f>L25</f>
        <v>9.9489920937024051E-2</v>
      </c>
      <c r="M59" s="203">
        <f>Q25</f>
        <v>7.7653786077303236E-2</v>
      </c>
      <c r="T59" s="206" t="s">
        <v>721</v>
      </c>
      <c r="U59" s="203">
        <f>U25</f>
        <v>0.25141106448692158</v>
      </c>
      <c r="V59" s="203">
        <f>Z25</f>
        <v>0.1833911079954508</v>
      </c>
      <c r="AC59" s="206" t="s">
        <v>721</v>
      </c>
      <c r="AD59" s="203">
        <f>AD25</f>
        <v>1.9327001256074459</v>
      </c>
      <c r="AE59" s="203">
        <f>AI25</f>
        <v>2.0201605716549067</v>
      </c>
      <c r="AL59" s="206" t="s">
        <v>721</v>
      </c>
      <c r="AM59" s="203">
        <f>AM25</f>
        <v>0.14420347058823529</v>
      </c>
      <c r="AN59" s="203">
        <f>AR25</f>
        <v>0.14420347058823529</v>
      </c>
      <c r="AU59" s="206" t="s">
        <v>721</v>
      </c>
      <c r="AV59" s="202">
        <f>AV25</f>
        <v>213.86744540375824</v>
      </c>
      <c r="AW59" s="202">
        <f>BA25</f>
        <v>220.9140982994187</v>
      </c>
      <c r="BD59" s="206" t="s">
        <v>721</v>
      </c>
      <c r="BE59" s="202">
        <f>BE25</f>
        <v>2582.7247616241302</v>
      </c>
      <c r="BF59" s="202">
        <f>BJ25</f>
        <v>2678.4291375876105</v>
      </c>
      <c r="BM59" s="206" t="s">
        <v>721</v>
      </c>
      <c r="BN59" s="203">
        <f>BN25</f>
        <v>0.74586469244285469</v>
      </c>
      <c r="BO59" s="203">
        <f>BS25</f>
        <v>0.95032193379998353</v>
      </c>
    </row>
    <row r="60" spans="2:67" x14ac:dyDescent="0.25">
      <c r="B60" s="206" t="s">
        <v>722</v>
      </c>
      <c r="C60" s="202">
        <f>C26</f>
        <v>350.35714285714278</v>
      </c>
      <c r="D60" s="202">
        <f>H26</f>
        <v>400.82154224953797</v>
      </c>
      <c r="K60" s="206" t="s">
        <v>722</v>
      </c>
      <c r="L60" s="203">
        <f>L26</f>
        <v>8.0657894736842109E-2</v>
      </c>
      <c r="M60" s="203">
        <f>Q26</f>
        <v>6.1591796770617366E-2</v>
      </c>
      <c r="T60" s="206" t="s">
        <v>722</v>
      </c>
      <c r="U60" s="203">
        <f>U26</f>
        <v>0.68600237051805535</v>
      </c>
      <c r="V60" s="203">
        <f>Z26</f>
        <v>0.60690639557495552</v>
      </c>
      <c r="AC60" s="206" t="s">
        <v>722</v>
      </c>
      <c r="AD60" s="203">
        <f>AD26</f>
        <v>0.82296650717703346</v>
      </c>
      <c r="AE60" s="203">
        <f>AI26</f>
        <v>0.75290243002258994</v>
      </c>
      <c r="AL60" s="206" t="s">
        <v>722</v>
      </c>
      <c r="AM60" s="203">
        <f>AM26</f>
        <v>1.340712426989807</v>
      </c>
      <c r="AN60" s="203">
        <f>AR26</f>
        <v>0.69925959883979449</v>
      </c>
      <c r="AU60" s="206" t="s">
        <v>722</v>
      </c>
      <c r="AV60" s="202">
        <f>AV26</f>
        <v>466.26765135529945</v>
      </c>
      <c r="AW60" s="202">
        <f>BA26</f>
        <v>378.70915549932164</v>
      </c>
      <c r="BD60" s="206" t="s">
        <v>722</v>
      </c>
      <c r="BE60" s="202">
        <f>BE26</f>
        <v>1781.818181818182</v>
      </c>
      <c r="BF60" s="202">
        <f>BJ26</f>
        <v>984.61092739725973</v>
      </c>
      <c r="BM60" s="206" t="s">
        <v>722</v>
      </c>
      <c r="BN60" s="203">
        <f>BN26</f>
        <v>1.832535885167464</v>
      </c>
      <c r="BO60" s="203">
        <f>BS26</f>
        <v>1.7013500060626776</v>
      </c>
    </row>
    <row r="61" spans="2:67" x14ac:dyDescent="0.25">
      <c r="B61" s="206" t="s">
        <v>723</v>
      </c>
      <c r="C61" s="202">
        <f>C27</f>
        <v>87.461244316931172</v>
      </c>
      <c r="D61" s="202">
        <f>H27</f>
        <v>75.354174530961473</v>
      </c>
      <c r="K61" s="206" t="s">
        <v>723</v>
      </c>
      <c r="L61" s="203">
        <f>L27</f>
        <v>1.4928784258192673E-2</v>
      </c>
      <c r="M61" s="203">
        <f>Q27</f>
        <v>1.4157635471086965E-2</v>
      </c>
      <c r="T61" s="206" t="s">
        <v>723</v>
      </c>
      <c r="U61" s="203">
        <f>U27</f>
        <v>0.52136840328265355</v>
      </c>
      <c r="V61" s="203">
        <f>Z27</f>
        <v>0.54620031738909847</v>
      </c>
      <c r="AC61" s="206" t="s">
        <v>723</v>
      </c>
      <c r="AD61" s="203">
        <f>AD27</f>
        <v>1.846845771728908</v>
      </c>
      <c r="AE61" s="203">
        <f>AI27</f>
        <v>1.6250745576543071</v>
      </c>
      <c r="AL61" s="206" t="s">
        <v>723</v>
      </c>
      <c r="AM61" s="203">
        <f>AM27</f>
        <v>9.1394616883116897E-2</v>
      </c>
      <c r="AN61" s="203">
        <f>AR27</f>
        <v>7.4821835349983157E-2</v>
      </c>
      <c r="AU61" s="206" t="s">
        <v>723</v>
      </c>
      <c r="AV61" s="202">
        <f>AV27</f>
        <v>598.59825652691143</v>
      </c>
      <c r="AW61" s="202">
        <f>BA27</f>
        <v>418.53926272689989</v>
      </c>
      <c r="BD61" s="206" t="s">
        <v>723</v>
      </c>
      <c r="BE61" s="202">
        <f>BE27</f>
        <v>5866.4210526315792</v>
      </c>
      <c r="BF61" s="202">
        <f>BJ27</f>
        <v>6029.4888956444174</v>
      </c>
      <c r="BM61" s="206" t="s">
        <v>723</v>
      </c>
      <c r="BN61" s="203">
        <f>BN27</f>
        <v>1.434350872483221</v>
      </c>
      <c r="BO61" s="203">
        <f>BS27</f>
        <v>1.3487102009014673</v>
      </c>
    </row>
    <row r="62" spans="2:67" x14ac:dyDescent="0.25">
      <c r="B62" s="373" t="s">
        <v>644</v>
      </c>
      <c r="C62" s="373"/>
      <c r="D62" s="373"/>
      <c r="K62" s="409" t="s">
        <v>644</v>
      </c>
      <c r="L62" s="373"/>
      <c r="M62" s="373"/>
      <c r="T62" s="409" t="s">
        <v>644</v>
      </c>
      <c r="U62" s="373"/>
      <c r="V62" s="373"/>
      <c r="AC62" s="409" t="s">
        <v>644</v>
      </c>
      <c r="AD62" s="373"/>
      <c r="AE62" s="373"/>
      <c r="AL62" s="409" t="s">
        <v>644</v>
      </c>
      <c r="AM62" s="373"/>
      <c r="AN62" s="373"/>
      <c r="AU62" s="409" t="s">
        <v>644</v>
      </c>
      <c r="AV62" s="373"/>
      <c r="AW62" s="373"/>
      <c r="BD62" s="409" t="s">
        <v>644</v>
      </c>
      <c r="BE62" s="373"/>
      <c r="BF62" s="373"/>
      <c r="BM62" s="293" t="s">
        <v>644</v>
      </c>
      <c r="BN62" s="373"/>
      <c r="BO62" s="373"/>
    </row>
    <row r="63" spans="2:67" x14ac:dyDescent="0.25">
      <c r="B63" s="206" t="s">
        <v>645</v>
      </c>
      <c r="C63" s="202">
        <f>C29</f>
        <v>132.465622476475</v>
      </c>
      <c r="D63" s="202">
        <f>H29</f>
        <v>93.455402460992175</v>
      </c>
      <c r="K63" s="412" t="s">
        <v>645</v>
      </c>
      <c r="L63" s="203">
        <f>L29</f>
        <v>2.1857319389547651E-2</v>
      </c>
      <c r="M63" s="203">
        <f>Q29</f>
        <v>1.8587579644245466E-2</v>
      </c>
      <c r="T63" s="412" t="s">
        <v>645</v>
      </c>
      <c r="U63" s="203">
        <f>U29</f>
        <v>0.5274942244224422</v>
      </c>
      <c r="V63" s="203">
        <f>Z29</f>
        <v>0.50910058153198756</v>
      </c>
      <c r="AC63" s="412" t="s">
        <v>645</v>
      </c>
      <c r="AD63" s="203">
        <f>AD29</f>
        <v>1.6775150232509577</v>
      </c>
      <c r="AE63" s="203">
        <f>AI29</f>
        <v>1.2682050206300455</v>
      </c>
      <c r="AL63" s="412" t="s">
        <v>645</v>
      </c>
      <c r="AM63" s="203">
        <f>AM29</f>
        <v>0.34741362139326759</v>
      </c>
      <c r="AN63" s="203">
        <f>AR29</f>
        <v>0.20770347748492701</v>
      </c>
      <c r="AU63" s="412" t="s">
        <v>645</v>
      </c>
      <c r="AV63" s="202">
        <f>AV29</f>
        <v>337.46556473829202</v>
      </c>
      <c r="AW63" s="202">
        <f>BA29</f>
        <v>271.71630521772698</v>
      </c>
      <c r="BD63" s="412" t="s">
        <v>645</v>
      </c>
      <c r="BE63" s="202">
        <f>BE29</f>
        <v>2582.7247616241302</v>
      </c>
      <c r="BF63" s="202">
        <f>BJ29</f>
        <v>2320.4492435811849</v>
      </c>
      <c r="BM63" s="425" t="s">
        <v>645</v>
      </c>
      <c r="BN63" s="203">
        <f>BN29</f>
        <v>1.197129437050968</v>
      </c>
      <c r="BO63" s="203">
        <f>BS29</f>
        <v>1.1895756181879988</v>
      </c>
    </row>
    <row r="64" spans="2:67" x14ac:dyDescent="0.25">
      <c r="B64" s="206" t="s">
        <v>42</v>
      </c>
      <c r="C64" s="202">
        <f>C30</f>
        <v>285.22750050110238</v>
      </c>
      <c r="D64" s="202">
        <f>H30</f>
        <v>240.56880647927713</v>
      </c>
      <c r="K64" s="412" t="s">
        <v>42</v>
      </c>
      <c r="L64" s="203">
        <f>L30</f>
        <v>0.10487849853156572</v>
      </c>
      <c r="M64" s="203">
        <f>Q30</f>
        <v>3.1752111139481093E-2</v>
      </c>
      <c r="T64" s="412" t="s">
        <v>42</v>
      </c>
      <c r="U64" s="203">
        <f>U30</f>
        <v>0.26501766784452302</v>
      </c>
      <c r="V64" s="203">
        <f>Z30</f>
        <v>0.15455596198954852</v>
      </c>
      <c r="AC64" s="412" t="s">
        <v>42</v>
      </c>
      <c r="AD64" s="203">
        <f>AD30</f>
        <v>0.48617511520737328</v>
      </c>
      <c r="AE64" s="203">
        <f>AI30</f>
        <v>0.48707640707608274</v>
      </c>
      <c r="AL64" s="412" t="s">
        <v>42</v>
      </c>
      <c r="AM64" s="203">
        <f>AM30</f>
        <v>3.6333847829880667E-2</v>
      </c>
      <c r="AN64" s="203">
        <f>AR30</f>
        <v>4.4627247193539832E-2</v>
      </c>
      <c r="AU64" s="412" t="s">
        <v>42</v>
      </c>
      <c r="AV64" s="202">
        <f>AV30</f>
        <v>194.39139415246055</v>
      </c>
      <c r="AW64" s="202">
        <f>BA30</f>
        <v>235.25294235582641</v>
      </c>
      <c r="BD64" s="412" t="s">
        <v>42</v>
      </c>
      <c r="BE64" s="202">
        <f>BE30</f>
        <v>1482.8571428571429</v>
      </c>
      <c r="BF64" s="202">
        <f>BJ30</f>
        <v>976.5725239665976</v>
      </c>
      <c r="BM64" s="425" t="s">
        <v>42</v>
      </c>
      <c r="BN64" s="203">
        <f>BN30</f>
        <v>0.96</v>
      </c>
      <c r="BO64" s="203">
        <f>BS30</f>
        <v>0.91767787609304985</v>
      </c>
    </row>
    <row r="65" spans="2:67" ht="15" customHeight="1" x14ac:dyDescent="0.25">
      <c r="B65" s="375" t="s">
        <v>646</v>
      </c>
      <c r="C65" s="373"/>
      <c r="D65" s="373"/>
      <c r="K65" s="414" t="s">
        <v>646</v>
      </c>
      <c r="L65" s="373"/>
      <c r="M65" s="373"/>
      <c r="T65" s="414" t="s">
        <v>646</v>
      </c>
      <c r="U65" s="373"/>
      <c r="V65" s="373"/>
      <c r="AC65" s="414" t="s">
        <v>646</v>
      </c>
      <c r="AD65" s="373"/>
      <c r="AE65" s="373"/>
      <c r="AL65" s="414" t="s">
        <v>646</v>
      </c>
      <c r="AM65" s="373"/>
      <c r="AN65" s="373"/>
      <c r="AU65" s="414" t="s">
        <v>646</v>
      </c>
      <c r="AV65" s="373"/>
      <c r="AW65" s="373"/>
      <c r="BD65" s="414" t="s">
        <v>646</v>
      </c>
      <c r="BE65" s="373"/>
      <c r="BF65" s="373"/>
      <c r="BM65" s="414" t="s">
        <v>646</v>
      </c>
      <c r="BN65" s="373"/>
      <c r="BO65" s="373"/>
    </row>
    <row r="66" spans="2:67" x14ac:dyDescent="0.25">
      <c r="B66" s="206" t="s">
        <v>647</v>
      </c>
      <c r="C66" s="202">
        <f>C32</f>
        <v>285.22750050110238</v>
      </c>
      <c r="D66" s="202">
        <f>H32</f>
        <v>248.00016887164691</v>
      </c>
      <c r="K66" s="412" t="s">
        <v>647</v>
      </c>
      <c r="L66" s="203">
        <f>L32</f>
        <v>2.5295999999999999E-2</v>
      </c>
      <c r="M66" s="203">
        <f>Q32</f>
        <v>2.0102962624800894E-2</v>
      </c>
      <c r="T66" s="412" t="s">
        <v>647</v>
      </c>
      <c r="U66" s="203">
        <f>U32</f>
        <v>0.81891687625434328</v>
      </c>
      <c r="V66" s="203">
        <f>Z32</f>
        <v>0.70459181377280466</v>
      </c>
      <c r="AC66" s="412" t="s">
        <v>647</v>
      </c>
      <c r="AD66" s="203">
        <f>AD32</f>
        <v>1.9212935826045361</v>
      </c>
      <c r="AE66" s="203">
        <f>AI32</f>
        <v>1.3200447411983578</v>
      </c>
      <c r="AL66" s="412" t="s">
        <v>647</v>
      </c>
      <c r="AM66" s="203">
        <f>AM32</f>
        <v>0.10208563993256134</v>
      </c>
      <c r="AN66" s="203">
        <f>AR32</f>
        <v>7.4373766549661421E-2</v>
      </c>
      <c r="AU66" s="412" t="s">
        <v>647</v>
      </c>
      <c r="AV66" s="202">
        <f>AV32</f>
        <v>337.46556473829202</v>
      </c>
      <c r="AW66" s="202">
        <f>BA32</f>
        <v>292.02061040714676</v>
      </c>
      <c r="BD66" s="412" t="s">
        <v>647</v>
      </c>
      <c r="BE66" s="202">
        <f>BE32</f>
        <v>1518.075432761626</v>
      </c>
      <c r="BF66" s="202">
        <f>BJ32</f>
        <v>1089.2881721427452</v>
      </c>
      <c r="BM66" s="425" t="s">
        <v>647</v>
      </c>
      <c r="BN66" s="203">
        <f>BN32</f>
        <v>1.0677128233333331</v>
      </c>
      <c r="BO66" s="203">
        <f>BS32</f>
        <v>1.0373108229885604</v>
      </c>
    </row>
    <row r="67" spans="2:67" x14ac:dyDescent="0.25">
      <c r="B67" s="206" t="s">
        <v>648</v>
      </c>
      <c r="C67" s="202">
        <f>C33</f>
        <v>189.99599231861066</v>
      </c>
      <c r="D67" s="202">
        <f>H33</f>
        <v>193.20709578774699</v>
      </c>
      <c r="K67" s="412" t="s">
        <v>648</v>
      </c>
      <c r="L67" s="203">
        <f>L33</f>
        <v>2.5295999999999999E-2</v>
      </c>
      <c r="M67" s="203">
        <f>Q33</f>
        <v>1.9804711722936529E-2</v>
      </c>
      <c r="T67" s="412" t="s">
        <v>648</v>
      </c>
      <c r="U67" s="203">
        <f>U33</f>
        <v>0.48221049077583339</v>
      </c>
      <c r="V67" s="203">
        <f>Z33</f>
        <v>0.47142979802855783</v>
      </c>
      <c r="AC67" s="412" t="s">
        <v>648</v>
      </c>
      <c r="AD67" s="203">
        <f>AD33</f>
        <v>1.5105740181268881</v>
      </c>
      <c r="AE67" s="203">
        <f>AI33</f>
        <v>1.1573244911209064</v>
      </c>
      <c r="AL67" s="412" t="s">
        <v>648</v>
      </c>
      <c r="AM67" s="203">
        <f>AM33</f>
        <v>0.14420347058823529</v>
      </c>
      <c r="AN67" s="203">
        <f>AR33</f>
        <v>0.13784480099681701</v>
      </c>
      <c r="AU67" s="412" t="s">
        <v>648</v>
      </c>
      <c r="AV67" s="202">
        <f>AV33</f>
        <v>296.68732782369148</v>
      </c>
      <c r="AW67" s="202">
        <f>BA33</f>
        <v>286.73454441779353</v>
      </c>
      <c r="BD67" s="412" t="s">
        <v>648</v>
      </c>
      <c r="BE67" s="202">
        <f>BE33</f>
        <v>2386.5026995573412</v>
      </c>
      <c r="BF67" s="202">
        <f>BJ33</f>
        <v>2026.1939595859899</v>
      </c>
      <c r="BM67" s="425" t="s">
        <v>648</v>
      </c>
      <c r="BN67" s="203">
        <f>BN33</f>
        <v>1.1640735593775156</v>
      </c>
      <c r="BO67" s="203">
        <f>BS33</f>
        <v>1.0965579695765688</v>
      </c>
    </row>
    <row r="68" spans="2:67" x14ac:dyDescent="0.25">
      <c r="B68" s="206" t="s">
        <v>649</v>
      </c>
      <c r="C68" s="202">
        <f>C34</f>
        <v>191.32203389830511</v>
      </c>
      <c r="D68" s="202">
        <f>H34</f>
        <v>172.50796991015258</v>
      </c>
      <c r="K68" s="412" t="s">
        <v>649</v>
      </c>
      <c r="L68" s="203">
        <f>L34</f>
        <v>2.5112285714285712E-2</v>
      </c>
      <c r="M68" s="203">
        <f>Q34</f>
        <v>1.7656744690355507E-2</v>
      </c>
      <c r="T68" s="412" t="s">
        <v>649</v>
      </c>
      <c r="U68" s="203">
        <f>U34</f>
        <v>0.28582992421567488</v>
      </c>
      <c r="V68" s="203">
        <f>Z34</f>
        <v>0.27556891442119158</v>
      </c>
      <c r="AC68" s="412" t="s">
        <v>649</v>
      </c>
      <c r="AD68" s="203">
        <f>AD34</f>
        <v>1.33125</v>
      </c>
      <c r="AE68" s="203">
        <f>AI34</f>
        <v>0.96437710193991266</v>
      </c>
      <c r="AL68" s="412" t="s">
        <v>649</v>
      </c>
      <c r="AM68" s="203">
        <f>AM34</f>
        <v>0.15241991711229946</v>
      </c>
      <c r="AN68" s="203">
        <f>AR34</f>
        <v>0.12749689733783112</v>
      </c>
      <c r="AU68" s="412" t="s">
        <v>649</v>
      </c>
      <c r="AV68" s="202">
        <f>AV34</f>
        <v>237.04545454545456</v>
      </c>
      <c r="AW68" s="202">
        <f>BA34</f>
        <v>237.13361423387428</v>
      </c>
      <c r="BD68" s="412" t="s">
        <v>649</v>
      </c>
      <c r="BE68" s="202">
        <f>BE34</f>
        <v>2120.75</v>
      </c>
      <c r="BF68" s="202">
        <f>BJ34</f>
        <v>1783.0076299921288</v>
      </c>
      <c r="BM68" s="425" t="s">
        <v>649</v>
      </c>
      <c r="BN68" s="203">
        <f>BN34</f>
        <v>0.96</v>
      </c>
      <c r="BO68" s="203">
        <f>BS34</f>
        <v>0.93143701757193909</v>
      </c>
    </row>
    <row r="74" spans="2:67" x14ac:dyDescent="0.25">
      <c r="U74" s="13"/>
      <c r="V74" s="13"/>
      <c r="AD74" s="13"/>
      <c r="AE74" s="13"/>
      <c r="AV74" s="130"/>
      <c r="AW74" s="130"/>
      <c r="BB74" s="537"/>
      <c r="BC74" s="537"/>
      <c r="BE74" s="130"/>
      <c r="BF74" s="130"/>
    </row>
    <row r="75" spans="2:67" x14ac:dyDescent="0.25">
      <c r="U75" s="13"/>
      <c r="V75" s="13"/>
      <c r="AD75" s="13"/>
      <c r="AE75" s="13"/>
      <c r="AV75" s="130"/>
      <c r="AW75" s="130"/>
      <c r="BB75" s="538"/>
      <c r="BC75" s="538"/>
      <c r="BE75" s="130"/>
      <c r="BF75" s="130"/>
    </row>
  </sheetData>
  <sheetProtection algorithmName="SHA-512" hashValue="xR+O5858CG6gbZf92qsceRpQ2SuYaP1URU3s4/Gc86lB+RWgKV6uISLvab2UME0HaaR49RHLad5W3WcqeVuyKA==" saltValue="99mO78GW1YfJuXqpuWLMig==" spinCount="100000" sheet="1" objects="1" scenarios="1"/>
  <mergeCells count="17">
    <mergeCell ref="BC74:BC75"/>
    <mergeCell ref="C36:D36"/>
    <mergeCell ref="U2:AA2"/>
    <mergeCell ref="AV2:BB2"/>
    <mergeCell ref="AV36:AW36"/>
    <mergeCell ref="BB74:BB75"/>
    <mergeCell ref="C2:I2"/>
    <mergeCell ref="L36:M36"/>
    <mergeCell ref="AD2:AJ2"/>
    <mergeCell ref="BE36:BF36"/>
    <mergeCell ref="BN2:BT2"/>
    <mergeCell ref="L2:R2"/>
    <mergeCell ref="AM36:AN36"/>
    <mergeCell ref="AM2:AS2"/>
    <mergeCell ref="AD36:AE36"/>
    <mergeCell ref="BE2:BK2"/>
    <mergeCell ref="BN36:BO3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82AFDC"/>
  </sheetPr>
  <dimension ref="A1:CH115"/>
  <sheetViews>
    <sheetView showGridLines="0" topLeftCell="A15" zoomScale="80" zoomScaleNormal="80" workbookViewId="0">
      <selection activeCell="F30" sqref="F30"/>
    </sheetView>
  </sheetViews>
  <sheetFormatPr defaultRowHeight="15" x14ac:dyDescent="0.25"/>
  <cols>
    <col min="1" max="1" width="29.42578125" customWidth="1"/>
    <col min="2" max="2" width="1.7109375" hidden="1" customWidth="1"/>
    <col min="3" max="3" width="17.7109375" customWidth="1"/>
    <col min="4" max="4" width="16" customWidth="1"/>
    <col min="5" max="5" width="14" customWidth="1"/>
    <col min="6" max="7" width="18" customWidth="1"/>
    <col min="8" max="8" width="14" customWidth="1"/>
    <col min="9" max="9" width="28" customWidth="1"/>
    <col min="10" max="10" width="64.28515625" customWidth="1"/>
    <col min="11" max="11" width="27.28515625" customWidth="1"/>
    <col min="12" max="12" width="12" customWidth="1"/>
    <col min="13" max="13" width="14" customWidth="1"/>
    <col min="14" max="14" width="12" customWidth="1"/>
    <col min="15" max="15" width="18" customWidth="1"/>
    <col min="16" max="16" width="14" customWidth="1"/>
    <col min="17" max="17" width="12" customWidth="1"/>
    <col min="18" max="18" width="14" customWidth="1"/>
    <col min="19" max="19" width="12" customWidth="1"/>
    <col min="44" max="51" width="13" hidden="1" customWidth="1"/>
    <col min="52" max="52" width="42" customWidth="1"/>
    <col min="53" max="53" width="14.7109375" customWidth="1"/>
    <col min="54" max="54" width="28" customWidth="1"/>
    <col min="55" max="56" width="18" customWidth="1"/>
    <col min="57" max="58" width="14" customWidth="1"/>
    <col min="59" max="59" width="24" hidden="1" customWidth="1"/>
    <col min="60" max="60" width="24" customWidth="1"/>
    <col min="61" max="61" width="18" customWidth="1"/>
    <col min="62" max="62" width="14" customWidth="1"/>
    <col min="63" max="63" width="34" customWidth="1"/>
    <col min="64" max="64" width="15.5703125" customWidth="1"/>
    <col min="65" max="73" width="16" customWidth="1"/>
    <col min="74" max="75" width="10" customWidth="1"/>
    <col min="78" max="78" width="13" customWidth="1"/>
    <col min="79" max="79" width="9.28515625" customWidth="1"/>
    <col min="80" max="80" width="13" customWidth="1"/>
    <col min="81" max="81" width="8.42578125" customWidth="1"/>
    <col min="82" max="86" width="13" customWidth="1"/>
  </cols>
  <sheetData>
    <row r="1" spans="1:86" ht="29.45" customHeight="1" x14ac:dyDescent="0.25">
      <c r="A1" s="542" t="s">
        <v>738</v>
      </c>
      <c r="B1" s="542"/>
      <c r="C1" s="542"/>
      <c r="D1" s="542"/>
      <c r="E1" s="542"/>
      <c r="F1" s="542"/>
      <c r="G1" s="542"/>
      <c r="H1" s="542"/>
      <c r="I1" s="542"/>
      <c r="J1" s="542"/>
      <c r="AR1" s="436" t="s">
        <v>739</v>
      </c>
      <c r="AS1" s="436" t="s">
        <v>11</v>
      </c>
      <c r="AT1" s="436" t="s">
        <v>10</v>
      </c>
      <c r="AU1" s="436" t="s">
        <v>740</v>
      </c>
      <c r="AV1" s="436" t="s">
        <v>564</v>
      </c>
      <c r="AW1" s="436" t="s">
        <v>563</v>
      </c>
      <c r="AX1" s="436" t="s">
        <v>12</v>
      </c>
      <c r="AY1" s="436" t="s">
        <v>741</v>
      </c>
      <c r="AZ1" s="446" t="s">
        <v>742</v>
      </c>
      <c r="BA1" s="446"/>
      <c r="BB1" s="446" t="s">
        <v>743</v>
      </c>
      <c r="BC1" s="446" t="s">
        <v>11</v>
      </c>
      <c r="BD1" s="446" t="s">
        <v>744</v>
      </c>
      <c r="BE1" s="446" t="s">
        <v>10</v>
      </c>
      <c r="BF1" s="446" t="s">
        <v>745</v>
      </c>
      <c r="BG1" s="446" t="s">
        <v>740</v>
      </c>
      <c r="BH1" s="446" t="s">
        <v>746</v>
      </c>
      <c r="BI1" s="446" t="s">
        <v>564</v>
      </c>
      <c r="BJ1" s="446" t="s">
        <v>563</v>
      </c>
      <c r="BK1" s="446" t="s">
        <v>12</v>
      </c>
      <c r="BL1" s="446" t="s">
        <v>747</v>
      </c>
      <c r="BM1" s="446" t="s">
        <v>622</v>
      </c>
      <c r="BN1" s="446" t="s">
        <v>748</v>
      </c>
      <c r="BO1" s="446" t="s">
        <v>624</v>
      </c>
      <c r="BP1" s="446" t="s">
        <v>749</v>
      </c>
      <c r="BQ1" s="446" t="s">
        <v>750</v>
      </c>
      <c r="BR1" s="446" t="s">
        <v>31</v>
      </c>
      <c r="BS1" s="446" t="s">
        <v>751</v>
      </c>
      <c r="BT1" s="446" t="s">
        <v>33</v>
      </c>
      <c r="BU1" s="446" t="s">
        <v>34</v>
      </c>
      <c r="BV1" s="446" t="s">
        <v>752</v>
      </c>
      <c r="BW1" s="446" t="s">
        <v>753</v>
      </c>
      <c r="BZ1" s="446" t="s">
        <v>754</v>
      </c>
      <c r="CA1" s="446" t="s">
        <v>741</v>
      </c>
      <c r="CB1" s="446" t="s">
        <v>755</v>
      </c>
      <c r="CC1" s="446" t="s">
        <v>756</v>
      </c>
      <c r="CD1" s="446" t="s">
        <v>628</v>
      </c>
      <c r="CE1" s="446" t="s">
        <v>694</v>
      </c>
      <c r="CF1" s="446" t="s">
        <v>757</v>
      </c>
      <c r="CG1" s="446" t="s">
        <v>758</v>
      </c>
      <c r="CH1" s="446" t="s">
        <v>724</v>
      </c>
    </row>
    <row r="2" spans="1:86" ht="24" customHeight="1" x14ac:dyDescent="0.25">
      <c r="A2" s="543" t="s">
        <v>759</v>
      </c>
      <c r="B2" s="543"/>
      <c r="C2" s="543"/>
      <c r="D2" s="543"/>
      <c r="E2" s="543"/>
      <c r="F2" s="543"/>
      <c r="G2" s="543"/>
      <c r="H2" s="543"/>
      <c r="I2" s="543"/>
      <c r="J2" s="543"/>
      <c r="AR2" t="s">
        <v>622</v>
      </c>
      <c r="AS2" t="s">
        <v>760</v>
      </c>
      <c r="AT2" t="s">
        <v>760</v>
      </c>
      <c r="AU2" t="s">
        <v>760</v>
      </c>
      <c r="AV2" t="s">
        <v>760</v>
      </c>
      <c r="AW2" t="s">
        <v>760</v>
      </c>
      <c r="AX2" t="s">
        <v>760</v>
      </c>
      <c r="AY2" t="s">
        <v>760</v>
      </c>
      <c r="AZ2" s="438" t="s">
        <v>35</v>
      </c>
      <c r="BA2" s="469" t="s">
        <v>36</v>
      </c>
      <c r="BB2" s="438" t="s">
        <v>37</v>
      </c>
      <c r="BC2" s="438" t="s">
        <v>39</v>
      </c>
      <c r="BD2" s="438" t="s">
        <v>39</v>
      </c>
      <c r="BE2" s="438" t="s">
        <v>761</v>
      </c>
      <c r="BF2" s="438" t="s">
        <v>718</v>
      </c>
      <c r="BG2" s="438" t="s">
        <v>673</v>
      </c>
      <c r="BH2" s="438" t="s">
        <v>728</v>
      </c>
      <c r="BI2" s="438" t="s">
        <v>583</v>
      </c>
      <c r="BJ2" s="438" t="s">
        <v>42</v>
      </c>
      <c r="BK2" s="438" t="s">
        <v>602</v>
      </c>
      <c r="BL2" s="17" t="s">
        <v>41</v>
      </c>
      <c r="BM2" s="447">
        <v>191.32203389830511</v>
      </c>
      <c r="BN2" s="447"/>
      <c r="BO2" s="447">
        <v>8.6875821515046692E-2</v>
      </c>
      <c r="BP2" s="447"/>
      <c r="BQ2" s="447">
        <v>5285.393258426966</v>
      </c>
      <c r="BR2" s="447">
        <v>189.20068027210891</v>
      </c>
      <c r="BS2" s="447">
        <v>3775.280898876405</v>
      </c>
      <c r="BT2" s="447">
        <v>264.88095238095241</v>
      </c>
      <c r="BU2" s="447">
        <v>8.6875821515046692E-2</v>
      </c>
      <c r="BV2" s="438">
        <f t="shared" ref="BV2:BV33" si="0">--AND(OR($C$4="All",$BD2=$C$4),OR($C$5="All",$BI2=$C$5),OR($C$6="All",$BF2=$C$6),OR($C$7="All",$BJ2=$C$7),OR($C$8="All",$BH2=$C$8),OR($C$9="All",ISNUMBER(SEARCH(LOWER($C$9),LOWER($BK2)))),OR($C$10="All",ISNUMBER(SEARCH(LOWER($C$10),LOWER($BB2)))))</f>
        <v>1</v>
      </c>
      <c r="BW2" s="438">
        <f>IF(BV2=1,COUNTIF($BV$2:BV2,1),"")</f>
        <v>1</v>
      </c>
      <c r="BZ2" s="384" t="s">
        <v>762</v>
      </c>
      <c r="CA2" s="384" t="s">
        <v>763</v>
      </c>
      <c r="CB2" s="384" t="s">
        <v>622</v>
      </c>
      <c r="CC2" s="384">
        <f>SUMPRODUCT(--(($BV$2:$BV$87=1)*ISNUMBER($BM$2:$BM$87)))</f>
        <v>44</v>
      </c>
      <c r="CD2" s="384">
        <f>IF($CC$2=0,"",IF(ISODD($CC$2),_xlfn.AGGREGATE(15,6,$BM$2:$BM$87/((($BV$2:$BV$87=1)*ISNUMBER($BM$2:$BM$87))),($CC$2+1)/2),AVERAGE(_xlfn.AGGREGATE(15,6,$BM$2:$BM$87/((($BV$2:$BV$87=1)*ISNUMBER($BM$2:$BM$87))),$CC$2/2),_xlfn.AGGREGATE(15,6,$BM$2:$BM$87/((($BV$2:$BV$87=1)*ISNUMBER($BM$2:$BM$87))),$CC$2/2+1))))</f>
        <v>189.99599231861066</v>
      </c>
      <c r="CE2" s="384">
        <f>IF($CC$2=0,"",IF(ISODD($CC$2),_xlfn.AGGREGATE(15,6,ABS($BM$2:$BM$87-$CD$2)/((($BV$2:$BV$87=1)*ISNUMBER($BM$2:$BM$87))),($CC$2+1)/2),AVERAGE(_xlfn.AGGREGATE(15,6,ABS($BM$2:$BM$87-$CD$2)/((($BV$2:$BV$87=1)*ISNUMBER($BM$2:$BM$87))),$CC$2/2),_xlfn.AGGREGATE(15,6,ABS($BM$2:$BM$87-$CD$2)/((($BV$2:$BV$87=1)*ISNUMBER($BM$2:$BM$87))),$CC$2/2+1))))</f>
        <v>139.41004596096892</v>
      </c>
      <c r="CF2" s="384">
        <f>IF($CC$2=0,"",$CD$2-2.5*$CE$2)</f>
        <v>-158.52912258381161</v>
      </c>
      <c r="CG2" s="384">
        <f>IF($CC$2=0,"",$CD$2+2.5*$CE$2)</f>
        <v>538.52110722103293</v>
      </c>
      <c r="CH2" s="384">
        <f t="array" ref="CH2">IF($CC$2=0,"",IFERROR(SUMPRODUCT(--(($BV$2:$BV$87=1)*ISNUMBER($BM$2:$BM$87)),--($BM$2:$BM$87&gt;=$CF$2),--($BM$2:$BM$87&lt;=$CG$2),$BM$2:$BM$87)/SUMPRODUCT(--(($BV$2:$BV$87=1)*ISNUMBER($BM$2:$BM$87)),--($BM$2:$BM$87&gt;=$CF$2),--($BM$2:$BM$87&lt;=$CG$2)),""))</f>
        <v>193.20709578774699</v>
      </c>
    </row>
    <row r="3" spans="1:86" ht="24" customHeight="1" x14ac:dyDescent="0.25">
      <c r="AR3" t="s">
        <v>748</v>
      </c>
      <c r="AS3" t="s">
        <v>39</v>
      </c>
      <c r="AT3" t="s">
        <v>718</v>
      </c>
      <c r="AU3" t="s">
        <v>764</v>
      </c>
      <c r="AV3" t="s">
        <v>586</v>
      </c>
      <c r="AW3" t="s">
        <v>42</v>
      </c>
      <c r="AX3" t="s">
        <v>765</v>
      </c>
      <c r="AY3" t="s">
        <v>327</v>
      </c>
      <c r="AZ3" s="438" t="s">
        <v>43</v>
      </c>
      <c r="BA3" s="486" t="s">
        <v>44</v>
      </c>
      <c r="BB3" s="438" t="s">
        <v>45</v>
      </c>
      <c r="BC3" s="438" t="s">
        <v>39</v>
      </c>
      <c r="BD3" s="438" t="s">
        <v>39</v>
      </c>
      <c r="BE3" s="438" t="s">
        <v>761</v>
      </c>
      <c r="BF3" s="438" t="s">
        <v>718</v>
      </c>
      <c r="BG3" s="438" t="s">
        <v>674</v>
      </c>
      <c r="BH3" s="438" t="s">
        <v>727</v>
      </c>
      <c r="BI3" s="438" t="s">
        <v>583</v>
      </c>
      <c r="BJ3" s="438" t="s">
        <v>49</v>
      </c>
      <c r="BK3" s="438" t="s">
        <v>603</v>
      </c>
      <c r="BL3" s="17" t="s">
        <v>48</v>
      </c>
      <c r="BM3" s="447"/>
      <c r="BN3" s="447"/>
      <c r="BO3" s="447"/>
      <c r="BP3" s="447"/>
      <c r="BQ3" s="447"/>
      <c r="BR3" s="447"/>
      <c r="BS3" s="447">
        <v>1100.6289308176099</v>
      </c>
      <c r="BT3" s="447">
        <v>908.57142857142867</v>
      </c>
      <c r="BU3" s="447"/>
      <c r="BV3" s="438">
        <f t="shared" si="0"/>
        <v>1</v>
      </c>
      <c r="BW3" s="438">
        <f>IF(BV3=1,COUNTIF($BV$2:BV3,1),"")</f>
        <v>2</v>
      </c>
      <c r="BZ3" s="384" t="s">
        <v>762</v>
      </c>
      <c r="CA3" s="384" t="s">
        <v>763</v>
      </c>
      <c r="CB3" s="384" t="s">
        <v>748</v>
      </c>
      <c r="CC3" s="384">
        <f>SUMPRODUCT(--(($BV$2:$BV$87=1)*ISNUMBER($BN$2:$BN$87)))</f>
        <v>57</v>
      </c>
      <c r="CD3" s="384">
        <f>IF($CC$3=0,"",IF(ISODD($CC$3),_xlfn.AGGREGATE(15,6,$BN$2:$BN$87/((($BV$2:$BV$87=1)*ISNUMBER($BN$2:$BN$87))),($CC$3+1)/2),AVERAGE(_xlfn.AGGREGATE(15,6,$BN$2:$BN$87/((($BV$2:$BV$87=1)*ISNUMBER($BN$2:$BN$87))),$CC$3/2),_xlfn.AGGREGATE(15,6,$BN$2:$BN$87/((($BV$2:$BV$87=1)*ISNUMBER($BN$2:$BN$87))),$CC$3/2+1))))</f>
        <v>0.43977591240875907</v>
      </c>
      <c r="CE3" s="384">
        <f>IF($CC$3=0,"",IF(ISODD($CC$3),_xlfn.AGGREGATE(15,6,ABS($BN$2:$BN$87-$CD$3)/((($BV$2:$BV$87=1)*ISNUMBER($BN$2:$BN$87))),($CC$3+1)/2),AVERAGE(_xlfn.AGGREGATE(15,6,ABS($BN$2:$BN$87-$CD$3)/((($BV$2:$BV$87=1)*ISNUMBER($BN$2:$BN$87))),$CC$3/2),_xlfn.AGGREGATE(15,6,ABS($BN$2:$BN$87-$CD$3)/((($BV$2:$BV$87=1)*ISNUMBER($BN$2:$BN$87))),$CC$3/2+1))))</f>
        <v>0.37249269651989109</v>
      </c>
      <c r="CF3" s="384">
        <f>IF($CC$3=0,"",$CD$3-2.5*$CE$3)</f>
        <v>-0.49145582889096867</v>
      </c>
      <c r="CG3" s="384">
        <f>IF($CC$3=0,"",$CD$3+2.5*$CE$3)</f>
        <v>1.3710076537084868</v>
      </c>
      <c r="CH3" s="384">
        <f>IF($CC$3=0,"",IFERROR(SUMPRODUCT(--(($BV$2:$BV$87=1)*ISNUMBER($BN$2:$BN$87)),--($BN$2:$BN$87&gt;=$CF$3),--($BN$2:$BN$87&lt;=$CG$3),$BN$2:$BN$87)/SUMPRODUCT(--(($BV$2:$BV$87=1)*ISNUMBER($BN$2:$BN$87)),--($BN$2:$BN$87&gt;=$CF$3),--($BN$2:$BN$87&lt;=$CG$3)),""))</f>
        <v>0.42706102368504933</v>
      </c>
    </row>
    <row r="4" spans="1:86" ht="19.899999999999999" customHeight="1" x14ac:dyDescent="0.25">
      <c r="A4" s="442" t="s">
        <v>11</v>
      </c>
      <c r="B4" s="15"/>
      <c r="C4" s="540" t="s">
        <v>760</v>
      </c>
      <c r="D4" s="515"/>
      <c r="AR4" t="s">
        <v>624</v>
      </c>
      <c r="AS4" t="s">
        <v>597</v>
      </c>
      <c r="AT4" t="s">
        <v>766</v>
      </c>
      <c r="AU4" t="s">
        <v>727</v>
      </c>
      <c r="AV4" t="s">
        <v>583</v>
      </c>
      <c r="AW4" t="s">
        <v>49</v>
      </c>
      <c r="AX4" t="s">
        <v>767</v>
      </c>
      <c r="AY4" t="s">
        <v>67</v>
      </c>
      <c r="AZ4" s="438" t="s">
        <v>50</v>
      </c>
      <c r="BA4" s="469" t="s">
        <v>51</v>
      </c>
      <c r="BB4" s="438" t="s">
        <v>52</v>
      </c>
      <c r="BC4" s="438" t="s">
        <v>39</v>
      </c>
      <c r="BD4" s="438" t="s">
        <v>39</v>
      </c>
      <c r="BE4" s="438" t="s">
        <v>761</v>
      </c>
      <c r="BF4" s="438" t="s">
        <v>718</v>
      </c>
      <c r="BG4" s="438" t="s">
        <v>587</v>
      </c>
      <c r="BH4" s="438" t="s">
        <v>764</v>
      </c>
      <c r="BI4" s="438" t="s">
        <v>583</v>
      </c>
      <c r="BJ4" s="438" t="s">
        <v>42</v>
      </c>
      <c r="BK4" s="438" t="s">
        <v>602</v>
      </c>
      <c r="BL4" s="17" t="s">
        <v>54</v>
      </c>
      <c r="BM4" s="447"/>
      <c r="BN4" s="447"/>
      <c r="BO4" s="447">
        <v>1.779428571428571E-2</v>
      </c>
      <c r="BP4" s="447"/>
      <c r="BQ4" s="447"/>
      <c r="BR4" s="447"/>
      <c r="BS4" s="447">
        <v>674.37379576107901</v>
      </c>
      <c r="BT4" s="447">
        <v>1482.8571428571429</v>
      </c>
      <c r="BU4" s="447"/>
      <c r="BV4" s="438">
        <f t="shared" si="0"/>
        <v>1</v>
      </c>
      <c r="BW4" s="438">
        <f>IF(BV4=1,COUNTIF($BV$2:BV4,1),"")</f>
        <v>3</v>
      </c>
      <c r="BZ4" s="384" t="s">
        <v>762</v>
      </c>
      <c r="CA4" s="384" t="s">
        <v>763</v>
      </c>
      <c r="CB4" s="384" t="s">
        <v>624</v>
      </c>
      <c r="CC4" s="384">
        <f>SUMPRODUCT(--(($BV$2:$BV$87=1)*ISNUMBER($BO$2:$BO$87)))</f>
        <v>47</v>
      </c>
      <c r="CD4" s="384">
        <f>IF($CC$4=0,"",IF(ISODD($CC$4),_xlfn.AGGREGATE(15,6,$BO$2:$BO$87/((($BV$2:$BV$87=1)*ISNUMBER($BO$2:$BO$87))),($CC$4+1)/2),AVERAGE(_xlfn.AGGREGATE(15,6,$BO$2:$BO$87/((($BV$2:$BV$87=1)*ISNUMBER($BO$2:$BO$87))),$CC$4/2),_xlfn.AGGREGATE(15,6,$BO$2:$BO$87/((($BV$2:$BV$87=1)*ISNUMBER($BO$2:$BO$87))),$CC$4/2+1))))</f>
        <v>1.33125</v>
      </c>
      <c r="CE4" s="384">
        <f>IF($CC$4=0,"",IF(ISODD($CC$4),_xlfn.AGGREGATE(15,6,ABS($BO$2:$BO$87-$CD$4)/((($BV$2:$BV$87=1)*ISNUMBER($BO$2:$BO$87))),($CC$4+1)/2),AVERAGE(_xlfn.AGGREGATE(15,6,ABS($BO$2:$BO$87-$CD$4)/((($BV$2:$BV$87=1)*ISNUMBER($BO$2:$BO$87))),$CC$4/2),_xlfn.AGGREGATE(15,6,ABS($BO$2:$BO$87-$CD$4)/((($BV$2:$BV$87=1)*ISNUMBER($BO$2:$BO$87))),$CC$4/2+1))))</f>
        <v>1.0925833333333332</v>
      </c>
      <c r="CF4" s="384">
        <f>IF($CC$4=0,"",$CD$4-2.5*$CE$4)</f>
        <v>-1.4002083333333333</v>
      </c>
      <c r="CG4" s="384">
        <f>IF($CC$4=0,"",$CD$4+2.5*$CE$4)</f>
        <v>4.0627083333333331</v>
      </c>
      <c r="CH4" s="384">
        <f>IF($CC$4=0,"",IFERROR(SUMPRODUCT(--(($BV$2:$BV$87=1)*ISNUMBER($BO$2:$BO$87)),--($BO$2:$BO$87&gt;=$CF$4),--($BO$2:$BO$87&lt;=$CG$4),$BO$2:$BO$87)/SUMPRODUCT(--(($BV$2:$BV$87=1)*ISNUMBER($BO$2:$BO$87)),--($BO$2:$BO$87&gt;=$CF$4),--($BO$2:$BO$87&lt;=$CG$4)),""))</f>
        <v>1.0470640789475101</v>
      </c>
    </row>
    <row r="5" spans="1:86" ht="19.899999999999999" customHeight="1" x14ac:dyDescent="0.25">
      <c r="A5" s="442" t="s">
        <v>564</v>
      </c>
      <c r="B5" s="15"/>
      <c r="C5" s="540" t="s">
        <v>760</v>
      </c>
      <c r="D5" s="515"/>
      <c r="AR5" t="s">
        <v>749</v>
      </c>
      <c r="AS5" t="s">
        <v>729</v>
      </c>
      <c r="AT5" t="s">
        <v>716</v>
      </c>
      <c r="AU5" t="s">
        <v>728</v>
      </c>
      <c r="AV5" t="s">
        <v>597</v>
      </c>
      <c r="AX5" t="s">
        <v>603</v>
      </c>
      <c r="AY5" t="s">
        <v>52</v>
      </c>
      <c r="AZ5" s="438" t="s">
        <v>55</v>
      </c>
      <c r="BA5" s="469" t="s">
        <v>56</v>
      </c>
      <c r="BB5" s="438" t="s">
        <v>57</v>
      </c>
      <c r="BC5" s="438" t="s">
        <v>39</v>
      </c>
      <c r="BD5" s="438" t="s">
        <v>39</v>
      </c>
      <c r="BE5" s="438" t="s">
        <v>761</v>
      </c>
      <c r="BF5" s="438" t="s">
        <v>718</v>
      </c>
      <c r="BG5" s="438" t="s">
        <v>584</v>
      </c>
      <c r="BH5" s="438" t="s">
        <v>49</v>
      </c>
      <c r="BI5" s="438" t="s">
        <v>597</v>
      </c>
      <c r="BJ5" s="438" t="s">
        <v>49</v>
      </c>
      <c r="BK5" s="438" t="s">
        <v>602</v>
      </c>
      <c r="BL5" s="17" t="s">
        <v>60</v>
      </c>
      <c r="BM5" s="447">
        <v>13.5</v>
      </c>
      <c r="BN5" s="447"/>
      <c r="BO5" s="447"/>
      <c r="BP5" s="447"/>
      <c r="BQ5" s="447"/>
      <c r="BR5" s="447"/>
      <c r="BS5" s="447">
        <v>1286.903860711582</v>
      </c>
      <c r="BT5" s="447">
        <v>777.05882352941182</v>
      </c>
      <c r="BU5" s="447">
        <v>1.0490294117647059E-2</v>
      </c>
      <c r="BV5" s="438">
        <f t="shared" si="0"/>
        <v>1</v>
      </c>
      <c r="BW5" s="438">
        <f>IF(BV5=1,COUNTIF($BV$2:BV5,1),"")</f>
        <v>4</v>
      </c>
      <c r="BZ5" s="384" t="s">
        <v>762</v>
      </c>
      <c r="CA5" s="384" t="s">
        <v>763</v>
      </c>
      <c r="CB5" s="384" t="s">
        <v>749</v>
      </c>
      <c r="CC5" s="384">
        <f>SUMPRODUCT(--(($BV$2:$BV$87=1)*ISNUMBER($BP$2:$BP$87)))</f>
        <v>14</v>
      </c>
      <c r="CD5" s="384">
        <f>IF($CC$5=0,"",IF(ISODD($CC$5),_xlfn.AGGREGATE(15,6,$BP$2:$BP$87/((($BV$2:$BV$87=1)*ISNUMBER($BP$2:$BP$87))),($CC$5+1)/2),AVERAGE(_xlfn.AGGREGATE(15,6,$BP$2:$BP$87/((($BV$2:$BV$87=1)*ISNUMBER($BP$2:$BP$87))),$CC$5/2),_xlfn.AGGREGATE(15,6,$BP$2:$BP$87/((($BV$2:$BV$87=1)*ISNUMBER($BP$2:$BP$87))),$CC$5/2+1))))</f>
        <v>0.12824730379810756</v>
      </c>
      <c r="CE5" s="384">
        <f>IF($CC$5=0,"",IF(ISODD($CC$5),_xlfn.AGGREGATE(15,6,ABS($BP$2:$BP$87-$CD$5)/((($BV$2:$BV$87=1)*ISNUMBER($BP$2:$BP$87))),($CC$5+1)/2),AVERAGE(_xlfn.AGGREGATE(15,6,ABS($BP$2:$BP$87-$CD$5)/((($BV$2:$BV$87=1)*ISNUMBER($BP$2:$BP$87))),$CC$5/2),_xlfn.AGGREGATE(15,6,ABS($BP$2:$BP$87-$CD$5)/((($BV$2:$BV$87=1)*ISNUMBER($BP$2:$BP$87))),$CC$5/2+1))))</f>
        <v>0.10841917769737489</v>
      </c>
      <c r="CF5" s="384">
        <f>IF($CC$5=0,"",$CD$5-2.5*$CE$5)</f>
        <v>-0.14280064044532964</v>
      </c>
      <c r="CG5" s="384">
        <f>IF($CC$5=0,"",$CD$5+2.5*$CE$5)</f>
        <v>0.39929524804154476</v>
      </c>
      <c r="CH5" s="384">
        <f>IF($CC$5=0,"",IFERROR(SUMPRODUCT(--(($BV$2:$BV$87=1)*ISNUMBER($BP$2:$BP$87)),--($BP$2:$BP$87&gt;=$CF$5),--($BP$2:$BP$87&lt;=$CG$5),$BP$2:$BP$87)/SUMPRODUCT(--(($BV$2:$BV$87=1)*ISNUMBER($BP$2:$BP$87)),--($BP$2:$BP$87&gt;=$CF$5),--($BP$2:$BP$87&lt;=$CG$5)),""))</f>
        <v>0.1029357100877261</v>
      </c>
    </row>
    <row r="6" spans="1:86" ht="19.899999999999999" customHeight="1" x14ac:dyDescent="0.25">
      <c r="A6" s="442" t="s">
        <v>10</v>
      </c>
      <c r="B6" s="15"/>
      <c r="C6" s="540" t="s">
        <v>760</v>
      </c>
      <c r="D6" s="515"/>
      <c r="AR6" t="s">
        <v>31</v>
      </c>
      <c r="AU6" t="s">
        <v>49</v>
      </c>
      <c r="AV6" t="s">
        <v>589</v>
      </c>
      <c r="AY6" t="s">
        <v>254</v>
      </c>
      <c r="AZ6" s="438" t="s">
        <v>61</v>
      </c>
      <c r="BA6" s="469" t="s">
        <v>62</v>
      </c>
      <c r="BB6" s="438" t="s">
        <v>63</v>
      </c>
      <c r="BC6" s="438" t="s">
        <v>39</v>
      </c>
      <c r="BD6" s="438" t="s">
        <v>39</v>
      </c>
      <c r="BE6" s="438" t="s">
        <v>761</v>
      </c>
      <c r="BF6" s="438" t="s">
        <v>718</v>
      </c>
      <c r="BG6" s="438" t="s">
        <v>674</v>
      </c>
      <c r="BH6" s="438" t="s">
        <v>727</v>
      </c>
      <c r="BI6" s="438" t="s">
        <v>583</v>
      </c>
      <c r="BJ6" s="438" t="s">
        <v>42</v>
      </c>
      <c r="BK6" s="438" t="s">
        <v>617</v>
      </c>
      <c r="BL6" s="17" t="s">
        <v>41</v>
      </c>
      <c r="BM6" s="447">
        <v>379.44</v>
      </c>
      <c r="BN6" s="447"/>
      <c r="BO6" s="447"/>
      <c r="BP6" s="447"/>
      <c r="BQ6" s="447">
        <v>1840.711111111111</v>
      </c>
      <c r="BR6" s="447">
        <v>543.26830210546655</v>
      </c>
      <c r="BS6" s="447">
        <v>749.74656046343216</v>
      </c>
      <c r="BT6" s="447">
        <v>1333.7840448135989</v>
      </c>
      <c r="BU6" s="447">
        <v>0.50645748502994015</v>
      </c>
      <c r="BV6" s="438">
        <f t="shared" si="0"/>
        <v>1</v>
      </c>
      <c r="BW6" s="438">
        <f>IF(BV6=1,COUNTIF($BV$2:BV6,1),"")</f>
        <v>5</v>
      </c>
      <c r="BZ6" s="384" t="s">
        <v>762</v>
      </c>
      <c r="CA6" s="384" t="s">
        <v>763</v>
      </c>
      <c r="CB6" s="384" t="s">
        <v>31</v>
      </c>
      <c r="CC6" s="384">
        <f>SUMPRODUCT(--((($BV$2:$BV$87=1)*ISNUMBER($BR$2:$BR$87))))</f>
        <v>41</v>
      </c>
      <c r="CD6" s="384">
        <f>IF($CC$6=0,"",IF(ISODD($CC$6),_xlfn.AGGREGATE(15,6,$BR$2:$BR$87/((($BV$2:$BV$87=1)*ISNUMBER($BR$2:$BR$87))),($CC$6+1)/2),AVERAGE(_xlfn.AGGREGATE(15,6,$BR$2:$BR$87/((($BV$2:$BV$87=1)*ISNUMBER($BR$2:$BR$87))),$CC$6/2),_xlfn.AGGREGATE(15,6,$BR$2:$BR$87/((($BV$2:$BV$87=1)*ISNUMBER($BR$2:$BR$87))),$CC$6/2+1))))</f>
        <v>279.67741935483872</v>
      </c>
      <c r="CE6" s="384">
        <f>IF($CC$6=0,"",IF(ISODD($CC$6),_xlfn.AGGREGATE(15,6,ABS($BR$2:$BR$87-$CD$6)/((($BV$2:$BV$87=1)*ISNUMBER($BR$2:$BR$87))),($CC$6+1)/2),AVERAGE(_xlfn.AGGREGATE(15,6,ABS($BR$2:$BR$87-$CD$6)/((($BV$2:$BV$87=1)*ISNUMBER($BR$2:$BR$87))),$CC$6/2),_xlfn.AGGREGATE(15,6,ABS($BR$2:$BR$87-$CD$6)/((($BV$2:$BV$87=1)*ISNUMBER($BR$2:$BR$87))),$CC$6/2+1))))</f>
        <v>263.59088275062783</v>
      </c>
      <c r="CF6" s="384">
        <f>IF($CC$6=0,"",$CD$6-2.5*$CE$6)</f>
        <v>-379.29978752173082</v>
      </c>
      <c r="CG6" s="384">
        <f>IF($CC$6=0,"",$CD$6+2.5*$CE$6)</f>
        <v>938.6546262314082</v>
      </c>
      <c r="CH6" s="384">
        <f>IF($CC$6=0,"",IFERROR(SUMPRODUCT(--((($BV$2:$BV$87=1)*ISNUMBER($BR$2:$BR$87))),--($BR$2:$BR$87&gt;=$CF$6),--($BR$2:$BR$87&lt;=$CG$6),$BR$2:$BR$87)/SUMPRODUCT(--((($BV$2:$BV$87=1)*ISNUMBER($BR$2:$BR$87))),--($BR$2:$BR$87&gt;=$CF$6),--($BR$2:$BR$87&lt;=$CG$6)),""))</f>
        <v>278.25100874351381</v>
      </c>
    </row>
    <row r="7" spans="1:86" ht="19.899999999999999" customHeight="1" x14ac:dyDescent="0.25">
      <c r="A7" s="442" t="s">
        <v>563</v>
      </c>
      <c r="B7" s="15"/>
      <c r="C7" s="540" t="s">
        <v>760</v>
      </c>
      <c r="D7" s="515"/>
      <c r="AR7" t="s">
        <v>33</v>
      </c>
      <c r="AY7" t="s">
        <v>45</v>
      </c>
      <c r="AZ7" s="438" t="s">
        <v>65</v>
      </c>
      <c r="BA7" s="469" t="s">
        <v>66</v>
      </c>
      <c r="BB7" s="438" t="s">
        <v>768</v>
      </c>
      <c r="BC7" s="438" t="s">
        <v>39</v>
      </c>
      <c r="BD7" s="438" t="s">
        <v>39</v>
      </c>
      <c r="BE7" s="438" t="s">
        <v>761</v>
      </c>
      <c r="BF7" s="438" t="s">
        <v>766</v>
      </c>
      <c r="BG7" s="438" t="s">
        <v>673</v>
      </c>
      <c r="BH7" s="438" t="s">
        <v>728</v>
      </c>
      <c r="BI7" s="438" t="s">
        <v>589</v>
      </c>
      <c r="BJ7" s="438" t="s">
        <v>49</v>
      </c>
      <c r="BK7" s="438" t="s">
        <v>602</v>
      </c>
      <c r="BL7" s="17" t="s">
        <v>70</v>
      </c>
      <c r="BM7" s="447">
        <v>116.634423977346</v>
      </c>
      <c r="BN7" s="447">
        <v>1.3678571428571431</v>
      </c>
      <c r="BO7" s="447">
        <v>0.31157142857142861</v>
      </c>
      <c r="BP7" s="447"/>
      <c r="BQ7" s="447"/>
      <c r="BR7" s="447"/>
      <c r="BS7" s="447">
        <v>78.503939215521356</v>
      </c>
      <c r="BT7" s="447">
        <v>12738.21428571429</v>
      </c>
      <c r="BU7" s="447">
        <v>1.485714285714286</v>
      </c>
      <c r="BV7" s="438">
        <f t="shared" si="0"/>
        <v>1</v>
      </c>
      <c r="BW7" s="438">
        <f>IF(BV7=1,COUNTIF($BV$2:BV7,1),"")</f>
        <v>6</v>
      </c>
      <c r="BZ7" s="384" t="s">
        <v>762</v>
      </c>
      <c r="CA7" s="384" t="s">
        <v>763</v>
      </c>
      <c r="CB7" s="384" t="s">
        <v>33</v>
      </c>
      <c r="CC7" s="384">
        <f>SUMPRODUCT(--((($BV$2:$BV$87=1)*ISNUMBER($BT$2:$BT$87))))</f>
        <v>65</v>
      </c>
      <c r="CD7" s="384">
        <f>IF($CC$7=0,"",IF(ISODD($CC$7),_xlfn.AGGREGATE(15,6,$BT$2:$BT$87/((($BV$2:$BV$87=1)*ISNUMBER($BT$2:$BT$87))),($CC$7+1)/2),AVERAGE(_xlfn.AGGREGATE(15,6,$BT$2:$BT$87/((($BV$2:$BV$87=1)*ISNUMBER($BT$2:$BT$87))),$CC$7/2),_xlfn.AGGREGATE(15,6,$BT$2:$BT$87/((($BV$2:$BV$87=1)*ISNUMBER($BT$2:$BT$87))),$CC$7/2+1))))</f>
        <v>2120.75</v>
      </c>
      <c r="CE7" s="384">
        <f>IF($CC$7=0,"",IF(ISODD($CC$7),_xlfn.AGGREGATE(15,6,ABS($BT$2:$BT$87-$CD$7)/((($BV$2:$BV$87=1)*ISNUMBER($BT$2:$BT$87))),($CC$7+1)/2),AVERAGE(_xlfn.AGGREGATE(15,6,ABS($BT$2:$BT$87-$CD$7)/((($BV$2:$BV$87=1)*ISNUMBER($BT$2:$BT$87))),$CC$7/2),_xlfn.AGGREGATE(15,6,ABS($BT$2:$BT$87-$CD$7)/((($BV$2:$BV$87=1)*ISNUMBER($BT$2:$BT$87))),$CC$7/2+1))))</f>
        <v>1893.8045454545454</v>
      </c>
      <c r="CF7" s="384">
        <f>IF($CC$7=0,"",$CD$7-2.5*$CE$7)</f>
        <v>-2613.761363636364</v>
      </c>
      <c r="CG7" s="384">
        <f>IF($CC$7=0,"",$CD$7+2.5*$CE$7)</f>
        <v>6855.261363636364</v>
      </c>
      <c r="CH7" s="384">
        <f>IF($CC$7=0,"",IFERROR(SUMPRODUCT(--((($BV$2:$BV$87=1)*ISNUMBER($BT$2:$BT$87))),--($BT$2:$BT$87&gt;=$CF$7),--($BT$2:$BT$87&lt;=$CG$7),$BT$2:$BT$87)/SUMPRODUCT(--((($BV$2:$BV$87=1)*ISNUMBER($BT$2:$BT$87))),--($BT$2:$BT$87&gt;=$CF$7),--($BT$2:$BT$87&lt;=$CG$7)),""))</f>
        <v>1922.269923714186</v>
      </c>
    </row>
    <row r="8" spans="1:86" ht="19.899999999999999" customHeight="1" x14ac:dyDescent="0.25">
      <c r="A8" s="442" t="s">
        <v>740</v>
      </c>
      <c r="B8" s="15"/>
      <c r="C8" s="540" t="s">
        <v>760</v>
      </c>
      <c r="D8" s="515"/>
      <c r="AR8" t="s">
        <v>34</v>
      </c>
      <c r="AY8" t="s">
        <v>360</v>
      </c>
      <c r="AZ8" s="438" t="s">
        <v>71</v>
      </c>
      <c r="BA8" s="486" t="s">
        <v>72</v>
      </c>
      <c r="BB8" s="438" t="s">
        <v>73</v>
      </c>
      <c r="BC8" s="438" t="s">
        <v>75</v>
      </c>
      <c r="BD8" s="438" t="s">
        <v>729</v>
      </c>
      <c r="BE8" s="438" t="s">
        <v>761</v>
      </c>
      <c r="BF8" s="438" t="s">
        <v>718</v>
      </c>
      <c r="BG8" s="438" t="s">
        <v>673</v>
      </c>
      <c r="BH8" s="438" t="s">
        <v>728</v>
      </c>
      <c r="BI8" s="438" t="s">
        <v>589</v>
      </c>
      <c r="BJ8" s="438" t="s">
        <v>49</v>
      </c>
      <c r="BK8" s="438" t="s">
        <v>76</v>
      </c>
      <c r="BL8" s="17" t="s">
        <v>77</v>
      </c>
      <c r="BM8" s="447"/>
      <c r="BN8" s="447"/>
      <c r="BO8" s="447"/>
      <c r="BP8" s="447"/>
      <c r="BQ8" s="447"/>
      <c r="BR8" s="447"/>
      <c r="BS8" s="447">
        <v>538.46153846153845</v>
      </c>
      <c r="BT8" s="447">
        <v>1857.1428571428571</v>
      </c>
      <c r="BU8" s="447"/>
      <c r="BV8" s="438">
        <f t="shared" si="0"/>
        <v>1</v>
      </c>
      <c r="BW8" s="438">
        <f>IF(BV8=1,COUNTIF($BV$2:BV8,1),"")</f>
        <v>7</v>
      </c>
      <c r="BZ8" s="384" t="s">
        <v>762</v>
      </c>
      <c r="CA8" s="384" t="s">
        <v>763</v>
      </c>
      <c r="CB8" s="384" t="s">
        <v>34</v>
      </c>
      <c r="CC8" s="384">
        <f>SUMPRODUCT(--(($BV$2:$BV$87=1)*ISNUMBER($BU$2:$BU$87)))</f>
        <v>44</v>
      </c>
      <c r="CD8" s="384">
        <f>IF($CC$8=0,"",IF(ISODD($CC$8),_xlfn.AGGREGATE(15,6,$BU$2:$BU$87/((($BV$2:$BV$87=1)*ISNUMBER($BU$2:$BU$87))),($CC$8+1)/2),AVERAGE(_xlfn.AGGREGATE(15,6,$BU$2:$BU$87/((($BV$2:$BV$87=1)*ISNUMBER($BU$2:$BU$87))),$CC$8/2),_xlfn.AGGREGATE(15,6,$BU$2:$BU$87/((($BV$2:$BV$87=1)*ISNUMBER($BU$2:$BU$87))),$CC$8/2+1))))</f>
        <v>1.1640735593775156</v>
      </c>
      <c r="CE8" s="384">
        <f>IF($CC$8=0,"",IF(ISODD($CC$8),_xlfn.AGGREGATE(15,6,ABS($BU$2:$BU$87-$CD$8)/((($BV$2:$BV$87=1)*ISNUMBER($BU$2:$BU$87))),($CC$8+1)/2),AVERAGE(_xlfn.AGGREGATE(15,6,ABS($BU$2:$BU$87-$CD$8)/((($BV$2:$BV$87=1)*ISNUMBER($BU$2:$BU$87))),$CC$8/2),_xlfn.AGGREGATE(15,6,ABS($BU$2:$BU$87-$CD$8)/((($BV$2:$BV$87=1)*ISNUMBER($BU$2:$BU$87))),$CC$8/2+1))))</f>
        <v>0.75425777415888096</v>
      </c>
      <c r="CF8" s="384">
        <f>IF($CC$8=0,"",$CD$8-2.5*$CE$8)</f>
        <v>-0.72157087601968684</v>
      </c>
      <c r="CG8" s="384">
        <f>IF($CC$8=0,"",$CD$8+2.5*$CE$8)</f>
        <v>3.0497179947747179</v>
      </c>
      <c r="CH8" s="384">
        <f>IF($CC$8=0,"",IFERROR(SUMPRODUCT(--(($BV$2:$BV$87=1)*ISNUMBER($BU$2:$BU$87)),--($BU$2:$BU$87&gt;=$CF$8),--($BU$2:$BU$87&lt;=$CG$8),$BU$2:$BU$87)/SUMPRODUCT(--(($BV$2:$BV$87=1)*ISNUMBER($BU$2:$BU$87)),--($BU$2:$BU$87&gt;=$CF$8),--($BU$2:$BU$87&lt;=$CG$8)),""))</f>
        <v>1.0965579695765688</v>
      </c>
    </row>
    <row r="9" spans="1:86" ht="19.899999999999999" customHeight="1" x14ac:dyDescent="0.25">
      <c r="A9" s="442" t="s">
        <v>12</v>
      </c>
      <c r="B9" s="15"/>
      <c r="C9" s="540" t="s">
        <v>760</v>
      </c>
      <c r="D9" s="515"/>
      <c r="AY9" t="s">
        <v>57</v>
      </c>
      <c r="AZ9" s="438" t="s">
        <v>78</v>
      </c>
      <c r="BA9" s="469" t="s">
        <v>79</v>
      </c>
      <c r="BB9" s="438" t="s">
        <v>80</v>
      </c>
      <c r="BC9" s="438" t="s">
        <v>39</v>
      </c>
      <c r="BD9" s="438" t="s">
        <v>39</v>
      </c>
      <c r="BE9" s="438" t="s">
        <v>761</v>
      </c>
      <c r="BF9" s="438" t="s">
        <v>718</v>
      </c>
      <c r="BG9" s="438" t="s">
        <v>587</v>
      </c>
      <c r="BH9" s="438" t="s">
        <v>764</v>
      </c>
      <c r="BI9" s="438" t="s">
        <v>583</v>
      </c>
      <c r="BJ9" s="438" t="s">
        <v>42</v>
      </c>
      <c r="BK9" s="438" t="s">
        <v>617</v>
      </c>
      <c r="BL9" s="17" t="s">
        <v>41</v>
      </c>
      <c r="BM9" s="447">
        <v>330.73987568280279</v>
      </c>
      <c r="BN9" s="447">
        <v>0.15087964225829531</v>
      </c>
      <c r="BO9" s="447">
        <v>0.19994262036310689</v>
      </c>
      <c r="BP9" s="447">
        <v>3.6333847829880667E-2</v>
      </c>
      <c r="BQ9" s="447">
        <v>20831.329411764709</v>
      </c>
      <c r="BR9" s="447">
        <v>48.004617479441308</v>
      </c>
      <c r="BS9" s="447">
        <v>658.72879464285711</v>
      </c>
      <c r="BT9" s="447">
        <v>1518.075432761626</v>
      </c>
      <c r="BU9" s="447">
        <v>0.49583065778185909</v>
      </c>
      <c r="BV9" s="438">
        <f t="shared" si="0"/>
        <v>1</v>
      </c>
      <c r="BW9" s="438">
        <f>IF(BV9=1,COUNTIF($BV$2:BV9,1),"")</f>
        <v>8</v>
      </c>
      <c r="BZ9" s="194"/>
      <c r="CA9" s="194"/>
      <c r="CB9" s="194"/>
      <c r="CC9" s="194"/>
      <c r="CD9" s="194"/>
      <c r="CE9" s="194"/>
      <c r="CF9" s="194"/>
      <c r="CG9" s="194"/>
      <c r="CH9" s="194"/>
    </row>
    <row r="10" spans="1:86" ht="19.899999999999999" customHeight="1" x14ac:dyDescent="0.25">
      <c r="A10" s="442" t="s">
        <v>741</v>
      </c>
      <c r="B10" s="443"/>
      <c r="C10" s="540" t="s">
        <v>760</v>
      </c>
      <c r="D10" s="515"/>
      <c r="AY10" t="s">
        <v>137</v>
      </c>
      <c r="AZ10" s="438" t="s">
        <v>81</v>
      </c>
      <c r="BA10" s="486" t="s">
        <v>82</v>
      </c>
      <c r="BB10" s="438" t="s">
        <v>52</v>
      </c>
      <c r="BC10" s="438" t="s">
        <v>39</v>
      </c>
      <c r="BD10" s="438" t="s">
        <v>39</v>
      </c>
      <c r="BE10" s="438" t="s">
        <v>761</v>
      </c>
      <c r="BF10" s="438" t="s">
        <v>718</v>
      </c>
      <c r="BG10" s="438" t="s">
        <v>674</v>
      </c>
      <c r="BH10" s="438" t="s">
        <v>727</v>
      </c>
      <c r="BI10" s="438" t="s">
        <v>583</v>
      </c>
      <c r="BJ10" s="438" t="s">
        <v>49</v>
      </c>
      <c r="BK10" s="438" t="s">
        <v>84</v>
      </c>
      <c r="BL10" s="17" t="s">
        <v>85</v>
      </c>
      <c r="BM10" s="447">
        <v>528</v>
      </c>
      <c r="BN10" s="447"/>
      <c r="BO10" s="447"/>
      <c r="BP10" s="447"/>
      <c r="BQ10" s="447"/>
      <c r="BR10" s="447"/>
      <c r="BS10" s="447">
        <v>130</v>
      </c>
      <c r="BT10" s="447">
        <v>7692.3076923076924</v>
      </c>
      <c r="BU10" s="447">
        <v>4.0615384615384613</v>
      </c>
      <c r="BV10" s="438">
        <f t="shared" si="0"/>
        <v>1</v>
      </c>
      <c r="BW10" s="438">
        <f>IF(BV10=1,COUNTIF($BV$2:BV10,1),"")</f>
        <v>9</v>
      </c>
      <c r="BZ10" s="194"/>
      <c r="CA10" s="194"/>
      <c r="CB10" s="194"/>
      <c r="CC10" s="194"/>
      <c r="CD10" s="194"/>
      <c r="CE10" s="194"/>
      <c r="CF10" s="194"/>
      <c r="CG10" s="194"/>
      <c r="CH10" s="194"/>
    </row>
    <row r="11" spans="1:86" ht="14.45" customHeight="1" x14ac:dyDescent="0.25">
      <c r="AY11" t="s">
        <v>205</v>
      </c>
      <c r="AZ11" s="438" t="s">
        <v>86</v>
      </c>
      <c r="BA11" s="469" t="s">
        <v>87</v>
      </c>
      <c r="BB11" s="438" t="s">
        <v>88</v>
      </c>
      <c r="BC11" s="438" t="s">
        <v>39</v>
      </c>
      <c r="BD11" s="438" t="s">
        <v>39</v>
      </c>
      <c r="BE11" s="438" t="s">
        <v>761</v>
      </c>
      <c r="BF11" s="438" t="s">
        <v>718</v>
      </c>
      <c r="BG11" s="438" t="s">
        <v>674</v>
      </c>
      <c r="BH11" s="438" t="s">
        <v>727</v>
      </c>
      <c r="BI11" s="438" t="s">
        <v>583</v>
      </c>
      <c r="BJ11" s="438" t="s">
        <v>42</v>
      </c>
      <c r="BK11" s="438" t="s">
        <v>602</v>
      </c>
      <c r="BL11" s="17" t="s">
        <v>54</v>
      </c>
      <c r="BM11" s="447">
        <v>583.21552429567862</v>
      </c>
      <c r="BN11" s="447">
        <v>0.29726449999999999</v>
      </c>
      <c r="BO11" s="447"/>
      <c r="BP11" s="447">
        <v>6.9074999999999996E-4</v>
      </c>
      <c r="BQ11" s="447"/>
      <c r="BR11" s="447"/>
      <c r="BS11" s="447">
        <v>471.53129788989742</v>
      </c>
      <c r="BT11" s="447">
        <v>2120.75</v>
      </c>
      <c r="BU11" s="447">
        <v>3.741765</v>
      </c>
      <c r="BV11" s="438">
        <f t="shared" si="0"/>
        <v>1</v>
      </c>
      <c r="BW11" s="438">
        <f>IF(BV11=1,COUNTIF($BV$2:BV11,1),"")</f>
        <v>10</v>
      </c>
      <c r="BZ11" s="194"/>
      <c r="CA11" s="194"/>
      <c r="CB11" s="194"/>
      <c r="CC11" s="194"/>
      <c r="CD11" s="194"/>
      <c r="CE11" s="194"/>
      <c r="CF11" s="194"/>
      <c r="CG11" s="194"/>
      <c r="CH11" s="194"/>
    </row>
    <row r="12" spans="1:86" ht="18.600000000000001" customHeight="1" x14ac:dyDescent="0.25">
      <c r="AY12" t="s">
        <v>317</v>
      </c>
      <c r="AZ12" s="438" t="s">
        <v>89</v>
      </c>
      <c r="BA12" s="469" t="s">
        <v>90</v>
      </c>
      <c r="BB12" s="438" t="s">
        <v>57</v>
      </c>
      <c r="BC12" s="438" t="s">
        <v>39</v>
      </c>
      <c r="BD12" s="438" t="s">
        <v>39</v>
      </c>
      <c r="BE12" s="438" t="s">
        <v>761</v>
      </c>
      <c r="BF12" s="438" t="s">
        <v>718</v>
      </c>
      <c r="BG12" s="438" t="s">
        <v>584</v>
      </c>
      <c r="BH12" s="438" t="s">
        <v>49</v>
      </c>
      <c r="BI12" s="438" t="s">
        <v>597</v>
      </c>
      <c r="BJ12" s="438" t="s">
        <v>49</v>
      </c>
      <c r="BK12" s="438" t="s">
        <v>594</v>
      </c>
      <c r="BL12" s="17" t="s">
        <v>94</v>
      </c>
      <c r="BM12" s="447"/>
      <c r="BN12" s="447">
        <v>8.908685968819599</v>
      </c>
      <c r="BO12" s="447"/>
      <c r="BP12" s="447"/>
      <c r="BQ12" s="447"/>
      <c r="BR12" s="447"/>
      <c r="BS12" s="447">
        <v>2199.902008819206</v>
      </c>
      <c r="BT12" s="447">
        <v>454.56570155902</v>
      </c>
      <c r="BU12" s="447"/>
      <c r="BV12" s="438">
        <f t="shared" si="0"/>
        <v>1</v>
      </c>
      <c r="BW12" s="438">
        <f>IF(BV12=1,COUNTIF($BV$2:BV12,1),"")</f>
        <v>11</v>
      </c>
      <c r="BZ12" s="194"/>
      <c r="CA12" s="194"/>
      <c r="CB12" s="194"/>
      <c r="CC12" s="194"/>
      <c r="CD12" s="194"/>
      <c r="CE12" s="194"/>
      <c r="CF12" s="194"/>
      <c r="CG12" s="194"/>
      <c r="CH12" s="194"/>
    </row>
    <row r="13" spans="1:86" ht="24" customHeight="1" x14ac:dyDescent="0.25">
      <c r="A13" s="544" t="s">
        <v>769</v>
      </c>
      <c r="B13" s="545"/>
      <c r="C13" s="545"/>
      <c r="D13" s="545"/>
      <c r="E13" s="490"/>
      <c r="F13" s="490"/>
      <c r="G13" s="490"/>
      <c r="H13" s="490"/>
      <c r="I13" s="490"/>
      <c r="J13" s="490"/>
      <c r="K13" s="490"/>
      <c r="L13" s="490"/>
      <c r="M13" s="490"/>
      <c r="N13" s="490"/>
      <c r="AY13" t="s">
        <v>97</v>
      </c>
      <c r="AZ13" s="438" t="s">
        <v>95</v>
      </c>
      <c r="BA13" s="469" t="s">
        <v>96</v>
      </c>
      <c r="BB13" s="438" t="s">
        <v>97</v>
      </c>
      <c r="BC13" s="438" t="s">
        <v>99</v>
      </c>
      <c r="BD13" s="438" t="s">
        <v>729</v>
      </c>
      <c r="BE13" s="438" t="s">
        <v>761</v>
      </c>
      <c r="BF13" s="438" t="s">
        <v>718</v>
      </c>
      <c r="BG13" s="438" t="s">
        <v>674</v>
      </c>
      <c r="BH13" s="438" t="s">
        <v>727</v>
      </c>
      <c r="BI13" s="438" t="s">
        <v>597</v>
      </c>
      <c r="BJ13" s="438" t="s">
        <v>49</v>
      </c>
      <c r="BK13" s="438" t="s">
        <v>602</v>
      </c>
      <c r="BL13" s="17" t="s">
        <v>54</v>
      </c>
      <c r="BM13" s="447">
        <v>359.35932072558859</v>
      </c>
      <c r="BN13" s="447"/>
      <c r="BO13" s="447">
        <v>0.36717139999999998</v>
      </c>
      <c r="BP13" s="447"/>
      <c r="BQ13" s="447"/>
      <c r="BR13" s="447"/>
      <c r="BS13" s="447">
        <v>1929.75685063682</v>
      </c>
      <c r="BT13" s="447">
        <v>518.20000000000005</v>
      </c>
      <c r="BU13" s="447">
        <v>0.18622</v>
      </c>
      <c r="BV13" s="438">
        <f t="shared" si="0"/>
        <v>1</v>
      </c>
      <c r="BW13" s="438">
        <f>IF(BV13=1,COUNTIF($BV$2:BV13,1),"")</f>
        <v>12</v>
      </c>
      <c r="BZ13" s="194"/>
      <c r="CA13" s="194"/>
      <c r="CB13" s="194"/>
      <c r="CC13" s="194"/>
      <c r="CD13" s="194"/>
      <c r="CE13" s="194"/>
      <c r="CF13" s="194"/>
      <c r="CG13" s="194"/>
      <c r="CH13" s="194"/>
    </row>
    <row r="14" spans="1:86" ht="43.9" customHeight="1" x14ac:dyDescent="0.25">
      <c r="A14" s="444" t="s">
        <v>755</v>
      </c>
      <c r="B14" s="444" t="s">
        <v>628</v>
      </c>
      <c r="C14" s="444" t="s">
        <v>628</v>
      </c>
      <c r="D14" s="444" t="s">
        <v>756</v>
      </c>
      <c r="E14" s="490"/>
      <c r="F14" s="490"/>
      <c r="G14" s="490"/>
      <c r="H14" s="490"/>
      <c r="I14" s="490"/>
      <c r="J14" s="490"/>
      <c r="K14" s="490"/>
      <c r="L14" s="490"/>
      <c r="M14" s="490"/>
      <c r="N14" s="490"/>
      <c r="AY14" t="s">
        <v>73</v>
      </c>
      <c r="AZ14" s="438" t="s">
        <v>100</v>
      </c>
      <c r="BA14" s="469" t="s">
        <v>101</v>
      </c>
      <c r="BB14" s="438" t="s">
        <v>80</v>
      </c>
      <c r="BC14" s="438" t="s">
        <v>39</v>
      </c>
      <c r="BD14" s="438" t="s">
        <v>39</v>
      </c>
      <c r="BE14" s="438" t="s">
        <v>761</v>
      </c>
      <c r="BF14" s="438" t="s">
        <v>718</v>
      </c>
      <c r="BG14" s="438" t="s">
        <v>673</v>
      </c>
      <c r="BH14" s="438" t="s">
        <v>728</v>
      </c>
      <c r="BI14" s="438" t="s">
        <v>586</v>
      </c>
      <c r="BJ14" s="438" t="s">
        <v>49</v>
      </c>
      <c r="BK14" s="438" t="s">
        <v>602</v>
      </c>
      <c r="BL14" s="17" t="s">
        <v>54</v>
      </c>
      <c r="BM14" s="447">
        <v>33.162801070472803</v>
      </c>
      <c r="BN14" s="447">
        <v>0.39100000000000001</v>
      </c>
      <c r="BO14" s="447">
        <v>0.23866666666666669</v>
      </c>
      <c r="BP14" s="447"/>
      <c r="BQ14" s="447"/>
      <c r="BR14" s="447"/>
      <c r="BS14" s="447">
        <v>638.37333018087247</v>
      </c>
      <c r="BT14" s="447">
        <v>1566.4814814814811</v>
      </c>
      <c r="BU14" s="447">
        <v>6.8843518518518512E-2</v>
      </c>
      <c r="BV14" s="438">
        <f t="shared" si="0"/>
        <v>1</v>
      </c>
      <c r="BW14" s="438">
        <f>IF(BV14=1,COUNTIF($BV$2:BV14,1),"")</f>
        <v>13</v>
      </c>
      <c r="BZ14" s="194"/>
      <c r="CA14" s="194"/>
      <c r="CB14" s="194"/>
      <c r="CC14" s="194"/>
      <c r="CD14" s="194"/>
      <c r="CE14" s="194"/>
      <c r="CF14" s="194"/>
      <c r="CG14" s="194"/>
      <c r="CH14" s="194"/>
    </row>
    <row r="15" spans="1:86" ht="42" customHeight="1" x14ac:dyDescent="0.25">
      <c r="A15" s="546" t="s">
        <v>770</v>
      </c>
      <c r="B15" s="547"/>
      <c r="C15" s="548"/>
      <c r="D15" s="445">
        <f>SUMPRODUCT(--($BV$2:$BV$87=1))</f>
        <v>86</v>
      </c>
      <c r="E15" s="490"/>
      <c r="F15" s="490"/>
      <c r="G15" s="490"/>
      <c r="H15" s="490"/>
      <c r="I15" s="490"/>
      <c r="J15" s="490"/>
      <c r="K15" s="490"/>
      <c r="L15" s="490"/>
      <c r="M15" s="490"/>
      <c r="N15" s="490"/>
      <c r="AY15" t="s">
        <v>391</v>
      </c>
      <c r="AZ15" s="438" t="s">
        <v>109</v>
      </c>
      <c r="BA15" s="469" t="s">
        <v>110</v>
      </c>
      <c r="BB15" s="438" t="s">
        <v>80</v>
      </c>
      <c r="BC15" s="438" t="s">
        <v>39</v>
      </c>
      <c r="BD15" s="438" t="s">
        <v>39</v>
      </c>
      <c r="BE15" s="438" t="s">
        <v>761</v>
      </c>
      <c r="BF15" s="438" t="s">
        <v>718</v>
      </c>
      <c r="BG15" s="438" t="s">
        <v>673</v>
      </c>
      <c r="BH15" s="438" t="s">
        <v>728</v>
      </c>
      <c r="BI15" s="438" t="s">
        <v>589</v>
      </c>
      <c r="BJ15" s="438" t="s">
        <v>49</v>
      </c>
      <c r="BK15" s="438" t="s">
        <v>617</v>
      </c>
      <c r="BL15" s="17" t="s">
        <v>111</v>
      </c>
      <c r="BM15" s="447">
        <v>92.085213200348079</v>
      </c>
      <c r="BN15" s="447"/>
      <c r="BO15" s="447"/>
      <c r="BP15" s="447"/>
      <c r="BQ15" s="447"/>
      <c r="BR15" s="447"/>
      <c r="BS15" s="447">
        <v>1034.9833938764921</v>
      </c>
      <c r="BT15" s="447">
        <v>966.19907712194015</v>
      </c>
      <c r="BU15" s="447">
        <v>0.4598382247474988</v>
      </c>
      <c r="BV15" s="438">
        <f t="shared" si="0"/>
        <v>1</v>
      </c>
      <c r="BW15" s="438">
        <f>IF(BV15=1,COUNTIF($BV$2:BV15,1),"")</f>
        <v>14</v>
      </c>
      <c r="BZ15" s="194"/>
      <c r="CA15" s="194"/>
      <c r="CB15" s="194"/>
      <c r="CC15" s="194"/>
      <c r="CD15" s="194"/>
      <c r="CE15" s="194"/>
      <c r="CF15" s="194"/>
      <c r="CG15" s="194"/>
      <c r="CH15" s="194"/>
    </row>
    <row r="16" spans="1:86" ht="28.9" customHeight="1" x14ac:dyDescent="0.25">
      <c r="A16" s="491" t="s">
        <v>622</v>
      </c>
      <c r="B16" s="492">
        <f>$CD$2</f>
        <v>189.99599231861066</v>
      </c>
      <c r="C16" s="492">
        <f>$CD$2</f>
        <v>189.99599231861066</v>
      </c>
      <c r="D16" s="493">
        <f>$CC$2</f>
        <v>44</v>
      </c>
      <c r="E16" s="490"/>
      <c r="F16" s="490"/>
      <c r="G16" s="490"/>
      <c r="H16" s="490"/>
      <c r="I16" s="490"/>
      <c r="J16" s="490"/>
      <c r="K16" s="490"/>
      <c r="L16" s="490"/>
      <c r="M16" s="490"/>
      <c r="N16" s="490"/>
      <c r="AY16" t="s">
        <v>88</v>
      </c>
      <c r="AZ16" s="438" t="s">
        <v>112</v>
      </c>
      <c r="BA16" s="469" t="s">
        <v>113</v>
      </c>
      <c r="BB16" s="438" t="s">
        <v>104</v>
      </c>
      <c r="BC16" s="438" t="s">
        <v>114</v>
      </c>
      <c r="BD16" s="438" t="s">
        <v>597</v>
      </c>
      <c r="BE16" s="438" t="s">
        <v>761</v>
      </c>
      <c r="BF16" s="438" t="s">
        <v>718</v>
      </c>
      <c r="BG16" s="438" t="s">
        <v>584</v>
      </c>
      <c r="BH16" s="438" t="s">
        <v>49</v>
      </c>
      <c r="BI16" s="438" t="s">
        <v>589</v>
      </c>
      <c r="BJ16" s="438" t="s">
        <v>49</v>
      </c>
      <c r="BK16" s="438" t="s">
        <v>611</v>
      </c>
      <c r="BL16" s="17" t="s">
        <v>116</v>
      </c>
      <c r="BM16" s="447">
        <v>524.57566534914361</v>
      </c>
      <c r="BN16" s="447">
        <v>0.15381600000000001</v>
      </c>
      <c r="BO16" s="447">
        <v>1.0723423999999999</v>
      </c>
      <c r="BP16" s="447"/>
      <c r="BQ16" s="447">
        <v>2084.0421912215038</v>
      </c>
      <c r="BR16" s="447">
        <v>479.83673469387747</v>
      </c>
      <c r="BS16" s="447">
        <v>1219.148089171975</v>
      </c>
      <c r="BT16" s="447">
        <v>820.24489795918362</v>
      </c>
      <c r="BU16" s="447">
        <v>0.26001824000000001</v>
      </c>
      <c r="BV16" s="438">
        <f t="shared" si="0"/>
        <v>1</v>
      </c>
      <c r="BW16" s="438">
        <f>IF(BV16=1,COUNTIF($BV$2:BV16,1),"")</f>
        <v>15</v>
      </c>
      <c r="BZ16" s="194"/>
      <c r="CA16" s="194"/>
      <c r="CB16" s="194"/>
      <c r="CC16" s="194"/>
      <c r="CD16" s="194"/>
      <c r="CE16" s="194"/>
      <c r="CF16" s="194"/>
      <c r="CG16" s="194"/>
      <c r="CH16" s="194"/>
    </row>
    <row r="17" spans="1:86" ht="43.15" customHeight="1" x14ac:dyDescent="0.25">
      <c r="A17" s="491" t="s">
        <v>748</v>
      </c>
      <c r="B17" s="494">
        <f>$CD$3</f>
        <v>0.43977591240875907</v>
      </c>
      <c r="C17" s="494">
        <f>$CD$3</f>
        <v>0.43977591240875907</v>
      </c>
      <c r="D17" s="493">
        <f>$CC$3</f>
        <v>57</v>
      </c>
      <c r="E17" s="490"/>
      <c r="F17" s="490"/>
      <c r="G17" s="490"/>
      <c r="H17" s="490"/>
      <c r="I17" s="490"/>
      <c r="J17" s="490"/>
      <c r="K17" s="490"/>
      <c r="L17" s="490"/>
      <c r="M17" s="490"/>
      <c r="N17" s="490"/>
      <c r="AY17" t="s">
        <v>216</v>
      </c>
      <c r="AZ17" s="438" t="s">
        <v>117</v>
      </c>
      <c r="BA17" s="469" t="s">
        <v>118</v>
      </c>
      <c r="BB17" s="438" t="s">
        <v>104</v>
      </c>
      <c r="BC17" s="438" t="s">
        <v>39</v>
      </c>
      <c r="BD17" s="438" t="s">
        <v>39</v>
      </c>
      <c r="BE17" s="438" t="s">
        <v>771</v>
      </c>
      <c r="BF17" s="438" t="s">
        <v>766</v>
      </c>
      <c r="BG17" s="438" t="s">
        <v>673</v>
      </c>
      <c r="BH17" s="438" t="s">
        <v>728</v>
      </c>
      <c r="BI17" s="438" t="s">
        <v>589</v>
      </c>
      <c r="BJ17" s="438" t="s">
        <v>49</v>
      </c>
      <c r="BK17" s="438" t="s">
        <v>602</v>
      </c>
      <c r="BL17" s="17" t="s">
        <v>120</v>
      </c>
      <c r="BM17" s="447">
        <v>93.054412500000012</v>
      </c>
      <c r="BN17" s="447"/>
      <c r="BO17" s="447"/>
      <c r="BP17" s="447"/>
      <c r="BQ17" s="447"/>
      <c r="BR17" s="447"/>
      <c r="BS17" s="447">
        <v>5854.5797922568463</v>
      </c>
      <c r="BT17" s="447">
        <v>170.8064516129032</v>
      </c>
      <c r="BU17" s="447">
        <v>3.0017552419354838E-2</v>
      </c>
      <c r="BV17" s="438">
        <f t="shared" si="0"/>
        <v>1</v>
      </c>
      <c r="BW17" s="438">
        <f>IF(BV17=1,COUNTIF($BV$2:BV17,1),"")</f>
        <v>16</v>
      </c>
      <c r="BZ17" s="194"/>
      <c r="CA17" s="194"/>
      <c r="CB17" s="194"/>
      <c r="CC17" s="194"/>
      <c r="CD17" s="194"/>
      <c r="CE17" s="194"/>
      <c r="CF17" s="194"/>
      <c r="CG17" s="194"/>
      <c r="CH17" s="194"/>
    </row>
    <row r="18" spans="1:86" ht="28.9" customHeight="1" x14ac:dyDescent="0.25">
      <c r="A18" s="491" t="s">
        <v>624</v>
      </c>
      <c r="B18" s="494">
        <f>$CD$4</f>
        <v>1.33125</v>
      </c>
      <c r="C18" s="494">
        <f>$CD$4</f>
        <v>1.33125</v>
      </c>
      <c r="D18" s="493">
        <f>$CC$4</f>
        <v>47</v>
      </c>
      <c r="E18" s="490"/>
      <c r="F18" s="490"/>
      <c r="G18" s="490"/>
      <c r="H18" s="490"/>
      <c r="I18" s="490"/>
      <c r="J18" s="490"/>
      <c r="K18" s="490"/>
      <c r="L18" s="490"/>
      <c r="M18" s="490"/>
      <c r="N18" s="490"/>
      <c r="AY18" t="s">
        <v>234</v>
      </c>
      <c r="AZ18" s="438" t="s">
        <v>121</v>
      </c>
      <c r="BA18" s="469" t="s">
        <v>122</v>
      </c>
      <c r="BB18" s="438" t="s">
        <v>80</v>
      </c>
      <c r="BC18" s="438" t="s">
        <v>124</v>
      </c>
      <c r="BD18" s="438" t="s">
        <v>729</v>
      </c>
      <c r="BE18" s="438" t="s">
        <v>761</v>
      </c>
      <c r="BF18" s="438" t="s">
        <v>766</v>
      </c>
      <c r="BG18" s="438" t="s">
        <v>674</v>
      </c>
      <c r="BH18" s="438" t="s">
        <v>727</v>
      </c>
      <c r="BI18" s="438" t="s">
        <v>586</v>
      </c>
      <c r="BJ18" s="438" t="s">
        <v>42</v>
      </c>
      <c r="BK18" s="438" t="s">
        <v>618</v>
      </c>
      <c r="BL18" s="17" t="s">
        <v>126</v>
      </c>
      <c r="BM18" s="447"/>
      <c r="BN18" s="447"/>
      <c r="BO18" s="447"/>
      <c r="BP18" s="447"/>
      <c r="BQ18" s="447">
        <v>3575.547866205306</v>
      </c>
      <c r="BR18" s="447">
        <v>279.67741935483872</v>
      </c>
      <c r="BS18" s="447"/>
      <c r="BT18" s="447"/>
      <c r="BU18" s="447"/>
      <c r="BV18" s="438">
        <f t="shared" si="0"/>
        <v>1</v>
      </c>
      <c r="BW18" s="438">
        <f>IF(BV18=1,COUNTIF($BV$2:BV18,1),"")</f>
        <v>17</v>
      </c>
      <c r="BZ18" s="194"/>
      <c r="CA18" s="194"/>
      <c r="CB18" s="194"/>
      <c r="CC18" s="194"/>
      <c r="CD18" s="194"/>
      <c r="CE18" s="194"/>
      <c r="CF18" s="194"/>
      <c r="CG18" s="194"/>
      <c r="CH18" s="194"/>
    </row>
    <row r="19" spans="1:86" ht="28.9" customHeight="1" x14ac:dyDescent="0.25">
      <c r="A19" s="491" t="s">
        <v>749</v>
      </c>
      <c r="B19" s="494">
        <f>$CD$5</f>
        <v>0.12824730379810756</v>
      </c>
      <c r="C19" s="494">
        <f>$CD$5</f>
        <v>0.12824730379810756</v>
      </c>
      <c r="D19" s="493">
        <f>$CC$5</f>
        <v>14</v>
      </c>
      <c r="E19" s="490"/>
      <c r="F19" s="490"/>
      <c r="G19" s="490"/>
      <c r="H19" s="490"/>
      <c r="I19" s="490"/>
      <c r="J19" s="490"/>
      <c r="K19" s="490"/>
      <c r="L19" s="490"/>
      <c r="M19" s="490"/>
      <c r="N19" s="490"/>
      <c r="AY19" t="s">
        <v>63</v>
      </c>
      <c r="AZ19" s="438" t="s">
        <v>130</v>
      </c>
      <c r="BA19" s="469" t="s">
        <v>131</v>
      </c>
      <c r="BB19" s="438" t="s">
        <v>132</v>
      </c>
      <c r="BC19" s="438" t="s">
        <v>39</v>
      </c>
      <c r="BD19" s="438" t="s">
        <v>39</v>
      </c>
      <c r="BE19" s="438" t="s">
        <v>761</v>
      </c>
      <c r="BF19" s="438" t="s">
        <v>766</v>
      </c>
      <c r="BG19" s="438" t="s">
        <v>674</v>
      </c>
      <c r="BH19" s="438" t="s">
        <v>727</v>
      </c>
      <c r="BI19" s="438" t="s">
        <v>586</v>
      </c>
      <c r="BJ19" s="438" t="s">
        <v>49</v>
      </c>
      <c r="BK19" s="438" t="s">
        <v>602</v>
      </c>
      <c r="BL19" s="17" t="s">
        <v>54</v>
      </c>
      <c r="BM19" s="447"/>
      <c r="BN19" s="447">
        <v>1.376601208459215E-2</v>
      </c>
      <c r="BO19" s="447">
        <v>1.5105740181268881</v>
      </c>
      <c r="BP19" s="447"/>
      <c r="BQ19" s="447"/>
      <c r="BR19" s="447"/>
      <c r="BS19" s="447">
        <v>126.3358778625954</v>
      </c>
      <c r="BT19" s="447">
        <v>7915.4078549848946</v>
      </c>
      <c r="BU19" s="447"/>
      <c r="BV19" s="438">
        <f t="shared" si="0"/>
        <v>1</v>
      </c>
      <c r="BW19" s="438">
        <f>IF(BV19=1,COUNTIF($BV$2:BV19,1),"")</f>
        <v>18</v>
      </c>
      <c r="BZ19" s="194"/>
      <c r="CA19" s="194"/>
      <c r="CB19" s="194"/>
      <c r="CC19" s="194"/>
      <c r="CD19" s="194"/>
      <c r="CE19" s="194"/>
      <c r="CF19" s="194"/>
      <c r="CG19" s="194"/>
      <c r="CH19" s="194"/>
    </row>
    <row r="20" spans="1:86" ht="28.9" customHeight="1" x14ac:dyDescent="0.25">
      <c r="A20" s="491" t="s">
        <v>31</v>
      </c>
      <c r="B20" s="492">
        <f>$CD$6</f>
        <v>279.67741935483872</v>
      </c>
      <c r="C20" s="492">
        <f>$CD$6</f>
        <v>279.67741935483872</v>
      </c>
      <c r="D20" s="493">
        <f>$CC$6</f>
        <v>41</v>
      </c>
      <c r="E20" s="490"/>
      <c r="F20" s="490"/>
      <c r="G20" s="490"/>
      <c r="H20" s="490"/>
      <c r="I20" s="490"/>
      <c r="J20" s="490"/>
      <c r="K20" s="490"/>
      <c r="L20" s="490"/>
      <c r="M20" s="490"/>
      <c r="N20" s="490"/>
      <c r="AY20" t="s">
        <v>318</v>
      </c>
      <c r="AZ20" s="438" t="s">
        <v>135</v>
      </c>
      <c r="BA20" s="191" t="s">
        <v>136</v>
      </c>
      <c r="BB20" s="438" t="s">
        <v>137</v>
      </c>
      <c r="BC20" s="438" t="s">
        <v>39</v>
      </c>
      <c r="BD20" s="438" t="s">
        <v>39</v>
      </c>
      <c r="BE20" s="438" t="s">
        <v>761</v>
      </c>
      <c r="BF20" s="438" t="s">
        <v>718</v>
      </c>
      <c r="BG20" s="438" t="s">
        <v>673</v>
      </c>
      <c r="BH20" s="438" t="s">
        <v>728</v>
      </c>
      <c r="BI20" s="438" t="s">
        <v>586</v>
      </c>
      <c r="BJ20" s="438" t="s">
        <v>49</v>
      </c>
      <c r="BK20" s="438" t="s">
        <v>582</v>
      </c>
      <c r="BL20" s="17" t="s">
        <v>140</v>
      </c>
      <c r="BM20" s="447">
        <v>74.023683998532064</v>
      </c>
      <c r="BN20" s="447">
        <v>0.86853405348316892</v>
      </c>
      <c r="BO20" s="447">
        <v>1.6212635665019151</v>
      </c>
      <c r="BP20" s="447">
        <v>0.34741362139326759</v>
      </c>
      <c r="BQ20" s="447">
        <v>5027.7962154294028</v>
      </c>
      <c r="BR20" s="447">
        <v>198.89429824764571</v>
      </c>
      <c r="BS20" s="447"/>
      <c r="BT20" s="447"/>
      <c r="BU20" s="447">
        <v>1.197129437050968</v>
      </c>
      <c r="BV20" s="438">
        <f t="shared" si="0"/>
        <v>1</v>
      </c>
      <c r="BW20" s="438">
        <f>IF(BV20=1,COUNTIF($BV$2:BV20,1),"")</f>
        <v>19</v>
      </c>
      <c r="BZ20" s="194"/>
      <c r="CA20" s="194"/>
      <c r="CB20" s="194"/>
      <c r="CC20" s="194"/>
      <c r="CD20" s="194"/>
      <c r="CE20" s="194"/>
      <c r="CF20" s="194"/>
      <c r="CG20" s="194"/>
      <c r="CH20" s="194"/>
    </row>
    <row r="21" spans="1:86" ht="28.9" customHeight="1" x14ac:dyDescent="0.25">
      <c r="A21" s="491" t="s">
        <v>33</v>
      </c>
      <c r="B21" s="492">
        <f>$CD$7</f>
        <v>2120.75</v>
      </c>
      <c r="C21" s="492">
        <f>$CD$7</f>
        <v>2120.75</v>
      </c>
      <c r="D21" s="493">
        <f>$CC$7</f>
        <v>65</v>
      </c>
      <c r="E21" s="490"/>
      <c r="F21" s="490"/>
      <c r="G21" s="490"/>
      <c r="H21" s="490"/>
      <c r="I21" s="490"/>
      <c r="J21" s="490"/>
      <c r="K21" s="490"/>
      <c r="L21" s="490"/>
      <c r="M21" s="490"/>
      <c r="N21" s="490"/>
      <c r="AY21" t="s">
        <v>104</v>
      </c>
      <c r="AZ21" s="438" t="s">
        <v>144</v>
      </c>
      <c r="BA21" s="469" t="s">
        <v>145</v>
      </c>
      <c r="BB21" s="438" t="s">
        <v>104</v>
      </c>
      <c r="BC21" s="438" t="s">
        <v>39</v>
      </c>
      <c r="BD21" s="438" t="s">
        <v>39</v>
      </c>
      <c r="BE21" s="438" t="s">
        <v>761</v>
      </c>
      <c r="BF21" s="438" t="s">
        <v>718</v>
      </c>
      <c r="BG21" s="438" t="s">
        <v>674</v>
      </c>
      <c r="BH21" s="438" t="s">
        <v>727</v>
      </c>
      <c r="BI21" s="438" t="s">
        <v>583</v>
      </c>
      <c r="BJ21" s="438" t="s">
        <v>49</v>
      </c>
      <c r="BK21" s="438" t="s">
        <v>582</v>
      </c>
      <c r="BL21" s="17" t="s">
        <v>147</v>
      </c>
      <c r="BM21" s="447">
        <v>674.14298974167343</v>
      </c>
      <c r="BN21" s="447"/>
      <c r="BO21" s="447">
        <v>5.4702702702702705E-4</v>
      </c>
      <c r="BP21" s="447"/>
      <c r="BQ21" s="447"/>
      <c r="BR21" s="447"/>
      <c r="BS21" s="447">
        <v>89.202840025555403</v>
      </c>
      <c r="BT21" s="447">
        <v>11210.4054054054</v>
      </c>
      <c r="BU21" s="447">
        <v>7.5574162162162164</v>
      </c>
      <c r="BV21" s="438">
        <f t="shared" si="0"/>
        <v>1</v>
      </c>
      <c r="BW21" s="438">
        <f>IF(BV21=1,COUNTIF($BV$2:BV21,1),"")</f>
        <v>20</v>
      </c>
      <c r="BZ21" s="194"/>
      <c r="CA21" s="194"/>
      <c r="CB21" s="194"/>
      <c r="CC21" s="194"/>
      <c r="CD21" s="194"/>
      <c r="CE21" s="194"/>
      <c r="CF21" s="194"/>
      <c r="CG21" s="194"/>
      <c r="CH21" s="194"/>
    </row>
    <row r="22" spans="1:86" ht="36" customHeight="1" x14ac:dyDescent="0.25">
      <c r="A22" s="495" t="s">
        <v>34</v>
      </c>
      <c r="B22" s="494">
        <f>$CD$8</f>
        <v>1.1640735593775156</v>
      </c>
      <c r="C22" s="494">
        <f>$CD$8</f>
        <v>1.1640735593775156</v>
      </c>
      <c r="D22" s="493">
        <f>$CC$8</f>
        <v>44</v>
      </c>
      <c r="E22" s="490"/>
      <c r="F22" s="490"/>
      <c r="G22" s="490"/>
      <c r="H22" s="490"/>
      <c r="I22" s="490"/>
      <c r="J22" s="490"/>
      <c r="K22" s="490"/>
      <c r="L22" s="490"/>
      <c r="M22" s="490"/>
      <c r="N22" s="490"/>
      <c r="AY22" t="s">
        <v>80</v>
      </c>
      <c r="AZ22" s="438" t="s">
        <v>151</v>
      </c>
      <c r="BA22" s="486" t="s">
        <v>152</v>
      </c>
      <c r="BB22" s="438" t="s">
        <v>772</v>
      </c>
      <c r="BC22" s="438" t="s">
        <v>39</v>
      </c>
      <c r="BD22" s="438" t="s">
        <v>39</v>
      </c>
      <c r="BE22" s="438" t="s">
        <v>761</v>
      </c>
      <c r="BF22" s="438" t="s">
        <v>718</v>
      </c>
      <c r="BG22" s="438" t="s">
        <v>587</v>
      </c>
      <c r="BH22" s="438" t="s">
        <v>764</v>
      </c>
      <c r="BI22" s="438" t="s">
        <v>586</v>
      </c>
      <c r="BJ22" s="438" t="s">
        <v>42</v>
      </c>
      <c r="BK22" s="438" t="s">
        <v>582</v>
      </c>
      <c r="BL22" s="17" t="s">
        <v>155</v>
      </c>
      <c r="BM22" s="447">
        <v>336</v>
      </c>
      <c r="BN22" s="447">
        <v>1.398692810457516E-2</v>
      </c>
      <c r="BO22" s="447"/>
      <c r="BP22" s="447"/>
      <c r="BQ22" s="447"/>
      <c r="BR22" s="447"/>
      <c r="BS22" s="447"/>
      <c r="BT22" s="447"/>
      <c r="BU22" s="447">
        <v>0.96</v>
      </c>
      <c r="BV22" s="438">
        <f t="shared" si="0"/>
        <v>1</v>
      </c>
      <c r="BW22" s="438">
        <f>IF(BV22=1,COUNTIF($BV$2:BV22,1),"")</f>
        <v>21</v>
      </c>
      <c r="BZ22" s="194"/>
      <c r="CA22" s="194"/>
      <c r="CB22" s="194"/>
      <c r="CC22" s="194"/>
      <c r="CD22" s="194"/>
      <c r="CE22" s="194"/>
      <c r="CF22" s="194"/>
      <c r="CG22" s="194"/>
      <c r="CH22" s="194"/>
    </row>
    <row r="23" spans="1:86" ht="24" customHeight="1" x14ac:dyDescent="0.25">
      <c r="A23" s="490"/>
      <c r="B23" s="490"/>
      <c r="C23" s="490"/>
      <c r="D23" s="490"/>
      <c r="E23" s="490"/>
      <c r="F23" s="490"/>
      <c r="G23" s="490"/>
      <c r="H23" s="490"/>
      <c r="I23" s="490"/>
      <c r="J23" s="490"/>
      <c r="K23" s="490"/>
      <c r="L23" s="490"/>
      <c r="M23" s="490"/>
      <c r="N23" s="490"/>
      <c r="AY23" t="s">
        <v>37</v>
      </c>
      <c r="AZ23" s="438" t="s">
        <v>159</v>
      </c>
      <c r="BA23" s="469" t="s">
        <v>159</v>
      </c>
      <c r="BB23" s="438" t="s">
        <v>104</v>
      </c>
      <c r="BC23" s="438" t="s">
        <v>39</v>
      </c>
      <c r="BD23" s="438" t="s">
        <v>39</v>
      </c>
      <c r="BE23" s="438" t="s">
        <v>761</v>
      </c>
      <c r="BF23" s="438" t="s">
        <v>718</v>
      </c>
      <c r="BG23" s="438" t="s">
        <v>584</v>
      </c>
      <c r="BH23" s="438" t="s">
        <v>49</v>
      </c>
      <c r="BI23" s="438" t="s">
        <v>583</v>
      </c>
      <c r="BJ23" s="438" t="s">
        <v>49</v>
      </c>
      <c r="BK23" s="438" t="s">
        <v>602</v>
      </c>
      <c r="BL23" s="17" t="s">
        <v>161</v>
      </c>
      <c r="BM23" s="447">
        <v>96.060311284046691</v>
      </c>
      <c r="BN23" s="447"/>
      <c r="BO23" s="447"/>
      <c r="BP23" s="447"/>
      <c r="BQ23" s="447"/>
      <c r="BR23" s="447"/>
      <c r="BS23" s="447">
        <v>464.70588235294122</v>
      </c>
      <c r="BT23" s="447">
        <v>2151.8987341772149</v>
      </c>
      <c r="BU23" s="447">
        <v>2.57</v>
      </c>
      <c r="BV23" s="438">
        <f t="shared" si="0"/>
        <v>1</v>
      </c>
      <c r="BW23" s="438">
        <f>IF(BV23=1,COUNTIF($BV$2:BV23,1),"")</f>
        <v>22</v>
      </c>
      <c r="BZ23" s="194"/>
      <c r="CA23" s="194"/>
      <c r="CB23" s="194"/>
      <c r="CC23" s="194"/>
      <c r="CD23" s="194"/>
      <c r="CE23" s="194"/>
      <c r="CF23" s="194"/>
      <c r="CG23" s="194"/>
      <c r="CH23" s="194"/>
    </row>
    <row r="24" spans="1:86" ht="24" customHeight="1" x14ac:dyDescent="0.25">
      <c r="A24" s="549" t="s">
        <v>773</v>
      </c>
      <c r="B24" s="550"/>
      <c r="C24" s="550"/>
      <c r="D24" s="550"/>
      <c r="E24" s="551"/>
      <c r="F24" s="490"/>
      <c r="G24" s="490"/>
      <c r="H24" s="490"/>
      <c r="I24" s="490"/>
      <c r="J24" s="490"/>
      <c r="K24" s="490"/>
      <c r="L24" s="490"/>
      <c r="M24" s="490"/>
      <c r="N24" s="490"/>
      <c r="AY24" t="s">
        <v>171</v>
      </c>
      <c r="AZ24" s="438" t="s">
        <v>162</v>
      </c>
      <c r="BA24" s="469" t="s">
        <v>163</v>
      </c>
      <c r="BB24" s="438" t="s">
        <v>80</v>
      </c>
      <c r="BC24" s="438" t="s">
        <v>39</v>
      </c>
      <c r="BD24" s="438" t="s">
        <v>39</v>
      </c>
      <c r="BE24" s="438" t="s">
        <v>771</v>
      </c>
      <c r="BF24" s="438" t="s">
        <v>766</v>
      </c>
      <c r="BG24" s="438" t="s">
        <v>673</v>
      </c>
      <c r="BH24" s="438" t="s">
        <v>728</v>
      </c>
      <c r="BI24" s="438" t="s">
        <v>583</v>
      </c>
      <c r="BJ24" s="438" t="s">
        <v>49</v>
      </c>
      <c r="BK24" s="438" t="s">
        <v>602</v>
      </c>
      <c r="BL24" s="17" t="s">
        <v>165</v>
      </c>
      <c r="BM24" s="447"/>
      <c r="BN24" s="447">
        <v>4.878048780487805E-2</v>
      </c>
      <c r="BO24" s="447"/>
      <c r="BP24" s="447"/>
      <c r="BQ24" s="447"/>
      <c r="BR24" s="447"/>
      <c r="BS24" s="447">
        <v>753.81503952932519</v>
      </c>
      <c r="BT24" s="447">
        <v>1326.5853658536589</v>
      </c>
      <c r="BU24" s="447"/>
      <c r="BV24" s="438">
        <f t="shared" si="0"/>
        <v>1</v>
      </c>
      <c r="BW24" s="438">
        <f>IF(BV24=1,COUNTIF($BV$2:BV24,1),"")</f>
        <v>23</v>
      </c>
      <c r="BZ24" s="194"/>
      <c r="CA24" s="194"/>
      <c r="CB24" s="194"/>
      <c r="CC24" s="194"/>
      <c r="CD24" s="194"/>
      <c r="CE24" s="194"/>
      <c r="CF24" s="194"/>
      <c r="CG24" s="194"/>
      <c r="CH24" s="194"/>
    </row>
    <row r="25" spans="1:86" ht="28.9" customHeight="1" x14ac:dyDescent="0.25">
      <c r="A25" s="552"/>
      <c r="B25" s="553"/>
      <c r="C25" s="553"/>
      <c r="D25" s="553"/>
      <c r="E25" s="554"/>
      <c r="F25" s="490"/>
      <c r="G25" s="490"/>
      <c r="H25" s="490"/>
      <c r="I25" s="490"/>
      <c r="J25" s="490"/>
      <c r="K25" s="490"/>
      <c r="L25" s="490"/>
      <c r="M25" s="490"/>
      <c r="N25" s="490"/>
      <c r="AY25" t="s">
        <v>132</v>
      </c>
      <c r="AZ25" s="438" t="s">
        <v>166</v>
      </c>
      <c r="BA25" s="469" t="s">
        <v>167</v>
      </c>
      <c r="BB25" s="438" t="s">
        <v>80</v>
      </c>
      <c r="BC25" s="438" t="s">
        <v>39</v>
      </c>
      <c r="BD25" s="438" t="s">
        <v>39</v>
      </c>
      <c r="BE25" s="438" t="s">
        <v>761</v>
      </c>
      <c r="BF25" s="438" t="s">
        <v>766</v>
      </c>
      <c r="BG25" s="438" t="s">
        <v>674</v>
      </c>
      <c r="BH25" s="438" t="s">
        <v>727</v>
      </c>
      <c r="BI25" s="438" t="s">
        <v>586</v>
      </c>
      <c r="BJ25" s="438" t="s">
        <v>42</v>
      </c>
      <c r="BK25" s="438" t="s">
        <v>594</v>
      </c>
      <c r="BL25" s="17" t="s">
        <v>168</v>
      </c>
      <c r="BM25" s="447">
        <v>285.22750050110238</v>
      </c>
      <c r="BN25" s="447"/>
      <c r="BO25" s="447"/>
      <c r="BP25" s="447"/>
      <c r="BQ25" s="447">
        <v>1709.090909090909</v>
      </c>
      <c r="BR25" s="447">
        <v>585.10638297872333</v>
      </c>
      <c r="BS25" s="447">
        <v>188.41451192623771</v>
      </c>
      <c r="BT25" s="447">
        <v>5307.4468085106382</v>
      </c>
      <c r="BU25" s="447">
        <v>1.513829787234042</v>
      </c>
      <c r="BV25" s="438">
        <f t="shared" si="0"/>
        <v>1</v>
      </c>
      <c r="BW25" s="438">
        <f>IF(BV25=1,COUNTIF($BV$2:BV25,1),"")</f>
        <v>24</v>
      </c>
      <c r="BZ25" s="194"/>
      <c r="CA25" s="194"/>
      <c r="CB25" s="194"/>
      <c r="CC25" s="194"/>
      <c r="CD25" s="194"/>
      <c r="CE25" s="194"/>
      <c r="CF25" s="194"/>
      <c r="CG25" s="194"/>
      <c r="CH25" s="194"/>
    </row>
    <row r="26" spans="1:86" ht="28.9" customHeight="1" x14ac:dyDescent="0.25">
      <c r="A26" s="490"/>
      <c r="B26" s="490"/>
      <c r="C26" s="490"/>
      <c r="D26" s="490"/>
      <c r="E26" s="490"/>
      <c r="F26" s="490"/>
      <c r="G26" s="490"/>
      <c r="H26" s="490"/>
      <c r="I26" s="490"/>
      <c r="J26" s="490"/>
      <c r="K26" s="490"/>
      <c r="L26" s="490"/>
      <c r="M26" s="490"/>
      <c r="N26" s="490"/>
      <c r="AY26" t="s">
        <v>68</v>
      </c>
      <c r="AZ26" s="438" t="s">
        <v>169</v>
      </c>
      <c r="BA26" s="469" t="s">
        <v>170</v>
      </c>
      <c r="BB26" s="438" t="s">
        <v>171</v>
      </c>
      <c r="BC26" s="438" t="s">
        <v>39</v>
      </c>
      <c r="BD26" s="438" t="s">
        <v>39</v>
      </c>
      <c r="BE26" s="438" t="s">
        <v>761</v>
      </c>
      <c r="BF26" s="438" t="s">
        <v>766</v>
      </c>
      <c r="BG26" s="438" t="s">
        <v>674</v>
      </c>
      <c r="BH26" s="438" t="s">
        <v>727</v>
      </c>
      <c r="BI26" s="438" t="s">
        <v>586</v>
      </c>
      <c r="BJ26" s="438" t="s">
        <v>49</v>
      </c>
      <c r="BK26" s="438" t="s">
        <v>602</v>
      </c>
      <c r="BL26" s="17" t="s">
        <v>173</v>
      </c>
      <c r="BM26" s="447"/>
      <c r="BN26" s="447">
        <v>0.18311730000000001</v>
      </c>
      <c r="BO26" s="447">
        <v>0.115</v>
      </c>
      <c r="BP26" s="447"/>
      <c r="BQ26" s="447"/>
      <c r="BR26" s="447"/>
      <c r="BS26" s="447">
        <v>202.89325785704139</v>
      </c>
      <c r="BT26" s="447">
        <v>4928.7</v>
      </c>
      <c r="BU26" s="447"/>
      <c r="BV26" s="438">
        <f t="shared" si="0"/>
        <v>1</v>
      </c>
      <c r="BW26" s="438">
        <f>IF(BV26=1,COUNTIF($BV$2:BV26,1),"")</f>
        <v>25</v>
      </c>
      <c r="BZ26" s="194"/>
      <c r="CA26" s="194"/>
      <c r="CB26" s="194"/>
      <c r="CC26" s="194"/>
      <c r="CD26" s="194"/>
      <c r="CE26" s="194"/>
      <c r="CF26" s="194"/>
      <c r="CG26" s="194"/>
      <c r="CH26" s="194"/>
    </row>
    <row r="27" spans="1:86" ht="24" customHeight="1" x14ac:dyDescent="0.25">
      <c r="A27" s="541" t="s">
        <v>774</v>
      </c>
      <c r="B27" s="541"/>
      <c r="C27" s="541"/>
      <c r="D27" s="541"/>
      <c r="E27" s="541"/>
      <c r="F27" s="541"/>
      <c r="G27" s="541"/>
      <c r="H27" s="541"/>
      <c r="I27" s="541"/>
      <c r="J27" s="541"/>
      <c r="K27" s="490"/>
      <c r="L27" s="490"/>
      <c r="M27" s="490"/>
      <c r="N27" s="490"/>
      <c r="AY27" t="s">
        <v>176</v>
      </c>
      <c r="AZ27" s="438" t="s">
        <v>174</v>
      </c>
      <c r="BA27" s="469" t="s">
        <v>175</v>
      </c>
      <c r="BB27" s="438" t="s">
        <v>176</v>
      </c>
      <c r="BC27" s="438" t="s">
        <v>39</v>
      </c>
      <c r="BD27" s="438" t="s">
        <v>39</v>
      </c>
      <c r="BE27" s="438" t="s">
        <v>761</v>
      </c>
      <c r="BF27" s="438" t="s">
        <v>718</v>
      </c>
      <c r="BG27" s="438" t="s">
        <v>673</v>
      </c>
      <c r="BH27" s="438" t="s">
        <v>728</v>
      </c>
      <c r="BI27" s="438" t="s">
        <v>589</v>
      </c>
      <c r="BJ27" s="438" t="s">
        <v>49</v>
      </c>
      <c r="BK27" s="438" t="s">
        <v>617</v>
      </c>
      <c r="BL27" s="17" t="s">
        <v>54</v>
      </c>
      <c r="BM27" s="447"/>
      <c r="BN27" s="447">
        <v>6.7987128712871284E-2</v>
      </c>
      <c r="BO27" s="447">
        <v>0.1046142350084065</v>
      </c>
      <c r="BP27" s="447"/>
      <c r="BQ27" s="447">
        <v>69655.172413793101</v>
      </c>
      <c r="BR27" s="447">
        <v>14.35643564356436</v>
      </c>
      <c r="BS27" s="447">
        <v>2455.6284950158042</v>
      </c>
      <c r="BT27" s="447">
        <v>407.22772277227722</v>
      </c>
      <c r="BU27" s="447"/>
      <c r="BV27" s="438">
        <f t="shared" si="0"/>
        <v>1</v>
      </c>
      <c r="BW27" s="438">
        <f>IF(BV27=1,COUNTIF($BV$2:BV27,1),"")</f>
        <v>26</v>
      </c>
      <c r="BZ27" s="194"/>
      <c r="CA27" s="194"/>
      <c r="CB27" s="194"/>
      <c r="CC27" s="194"/>
      <c r="CD27" s="194"/>
      <c r="CE27" s="194"/>
      <c r="CF27" s="194"/>
      <c r="CG27" s="194"/>
      <c r="CH27" s="194"/>
    </row>
    <row r="28" spans="1:86" ht="43.9" customHeight="1" x14ac:dyDescent="0.25">
      <c r="A28" s="444" t="s">
        <v>742</v>
      </c>
      <c r="B28" s="437" t="s">
        <v>7</v>
      </c>
      <c r="C28" s="444" t="s">
        <v>743</v>
      </c>
      <c r="D28" s="444" t="s">
        <v>11</v>
      </c>
      <c r="E28" s="444" t="s">
        <v>775</v>
      </c>
      <c r="F28" s="444" t="s">
        <v>740</v>
      </c>
      <c r="G28" s="444" t="s">
        <v>776</v>
      </c>
      <c r="H28" s="444" t="s">
        <v>42</v>
      </c>
      <c r="I28" s="444" t="s">
        <v>12</v>
      </c>
      <c r="J28" s="444" t="s">
        <v>777</v>
      </c>
      <c r="K28" s="490"/>
      <c r="L28" s="490"/>
      <c r="M28" s="490"/>
      <c r="N28" s="490"/>
      <c r="AZ28" s="438" t="s">
        <v>548</v>
      </c>
      <c r="BA28" s="469" t="s">
        <v>181</v>
      </c>
      <c r="BB28" s="438" t="s">
        <v>171</v>
      </c>
      <c r="BC28" s="438" t="s">
        <v>39</v>
      </c>
      <c r="BD28" s="438" t="s">
        <v>39</v>
      </c>
      <c r="BE28" s="438" t="s">
        <v>771</v>
      </c>
      <c r="BF28" s="438" t="s">
        <v>766</v>
      </c>
      <c r="BG28" s="438" t="s">
        <v>674</v>
      </c>
      <c r="BH28" s="438" t="s">
        <v>727</v>
      </c>
      <c r="BI28" s="438" t="s">
        <v>583</v>
      </c>
      <c r="BJ28" s="438" t="s">
        <v>49</v>
      </c>
      <c r="BK28" s="438" t="s">
        <v>615</v>
      </c>
      <c r="BL28" s="17" t="s">
        <v>183</v>
      </c>
      <c r="BM28" s="447"/>
      <c r="BN28" s="447"/>
      <c r="BO28" s="447">
        <v>1.93865246449457</v>
      </c>
      <c r="BP28" s="447"/>
      <c r="BQ28" s="447"/>
      <c r="BR28" s="447"/>
      <c r="BS28" s="447">
        <v>59.990310671069558</v>
      </c>
      <c r="BT28" s="447">
        <v>16669.358581639281</v>
      </c>
      <c r="BU28" s="447"/>
      <c r="BV28" s="438">
        <f t="shared" si="0"/>
        <v>1</v>
      </c>
      <c r="BW28" s="438">
        <f>IF(BV28=1,COUNTIF($BV$2:BV28,1),"")</f>
        <v>27</v>
      </c>
      <c r="BZ28" s="194"/>
      <c r="CA28" s="194"/>
      <c r="CB28" s="194"/>
      <c r="CC28" s="194"/>
      <c r="CD28" s="194"/>
      <c r="CE28" s="194"/>
      <c r="CF28" s="194"/>
      <c r="CG28" s="194"/>
      <c r="CH28" s="194"/>
    </row>
    <row r="29" spans="1:86" ht="28.9" customHeight="1" x14ac:dyDescent="0.25">
      <c r="A29" s="438" t="str">
        <f>IFERROR(INDEX($AZ$2:$AZ$87,MATCH(ROWS($A$29:A29),$BW$2:$BW$87,0)),"")</f>
        <v>Systemic Approach to Refugee and Host Communities Livelihoods in Nepal</v>
      </c>
      <c r="B29" s="439">
        <f>IF($A29="","",IFERROR(INDEX($BX$2:$BX$87,MATCH(ROWS($A$29:A29),$BW$2:$BW$87,0)),""))</f>
        <v>0</v>
      </c>
      <c r="C29" s="440" t="str">
        <f>IF($A29="","",INDEX($BB$2:$BB$87,MATCH(ROWS($A$29:A29),$BW$2:$BW$87,0)))</f>
        <v>UNHCR</v>
      </c>
      <c r="D29" s="441" t="str">
        <f>IF($A29="","",INDEX($BD$2:$BD$87,MATCH(ROWS($A$29:A29),$BW$2:$BW$87,0)))</f>
        <v>Agriculture</v>
      </c>
      <c r="E29" s="441" t="str">
        <f>IF($A29="","",INDEX($BF$2:$BF$87,MATCH(ROWS($A$29:A29),$BW$2:$BW$87,0)))</f>
        <v>1-4 years</v>
      </c>
      <c r="F29" s="441" t="str">
        <f>IF($A29="","",INDEX($BH$2:$BH$87,MATCH(ROWS($A$29:A29),$BW$2:$BW$87,0)))</f>
        <v>Macroeconomically Constrained Only</v>
      </c>
      <c r="G29" s="440" t="str">
        <f>IF($A29="","",INDEX($BI$2:$BI$87,MATCH(ROWS($A$29:A29),$BW$2:$BW$87,0)))</f>
        <v>Lower-Middle Income</v>
      </c>
      <c r="H29" s="440" t="str">
        <f>IF($A29="","",INDEX($BJ$2:$BJ$87,MATCH(ROWS($A$29:A29),$BW$2:$BW$87,0)))</f>
        <v>FCAS</v>
      </c>
      <c r="I29" s="441" t="str">
        <f>IF($A29="","",INDEX($BK$2:$BK$87,MATCH(ROWS($A$29:A29),$BW$2:$BW$87,0)))</f>
        <v>income improvement; food security &amp; resilience</v>
      </c>
      <c r="J29" s="441" t="str">
        <f>IF($A29="","",
 _xlfn.LET(
   _xlpm.link,TRIM(INDEX($BL$2:$BL$87,MATCH(ROWS($A$29:A29),$BW$2:$BW$87,0))),
   IF(OR(_xlpm.link="",UPPER(_xlpm.link)="N/A"),"N/A",
      IF(OR(LEFT(_xlpm.link,7)="http://",LEFT(_xlpm.link,8)="https://"),
         HYPERLINK(_xlpm.link,_xlpm.link),
         _xlpm.link
      )
   )
 ))</f>
        <v>N/A - report provided by ILO</v>
      </c>
      <c r="K29" s="490"/>
      <c r="L29" s="490"/>
      <c r="M29" s="490"/>
      <c r="N29" s="490"/>
      <c r="AZ29" s="438" t="s">
        <v>184</v>
      </c>
      <c r="BA29" s="469" t="s">
        <v>185</v>
      </c>
      <c r="BB29" s="438" t="s">
        <v>104</v>
      </c>
      <c r="BC29" s="438" t="s">
        <v>39</v>
      </c>
      <c r="BD29" s="438" t="s">
        <v>39</v>
      </c>
      <c r="BE29" s="438" t="s">
        <v>771</v>
      </c>
      <c r="BF29" s="438" t="s">
        <v>766</v>
      </c>
      <c r="BG29" s="438" t="s">
        <v>674</v>
      </c>
      <c r="BH29" s="438" t="s">
        <v>727</v>
      </c>
      <c r="BI29" s="438" t="s">
        <v>586</v>
      </c>
      <c r="BJ29" s="438" t="s">
        <v>42</v>
      </c>
      <c r="BK29" s="438" t="s">
        <v>602</v>
      </c>
      <c r="BL29" s="17" t="s">
        <v>186</v>
      </c>
      <c r="BM29" s="447">
        <v>208.85773458658599</v>
      </c>
      <c r="BN29" s="447"/>
      <c r="BO29" s="447"/>
      <c r="BP29" s="447"/>
      <c r="BQ29" s="447"/>
      <c r="BR29" s="447"/>
      <c r="BS29" s="447">
        <v>1832.085391110403</v>
      </c>
      <c r="BT29" s="447">
        <v>545.82608695652175</v>
      </c>
      <c r="BU29" s="447">
        <v>0.114</v>
      </c>
      <c r="BV29" s="438">
        <f t="shared" si="0"/>
        <v>1</v>
      </c>
      <c r="BW29" s="438">
        <f>IF(BV29=1,COUNTIF($BV$2:BV29,1),"")</f>
        <v>28</v>
      </c>
      <c r="BZ29" s="194"/>
      <c r="CA29" s="194"/>
      <c r="CB29" s="194"/>
      <c r="CC29" s="194"/>
      <c r="CD29" s="194"/>
      <c r="CE29" s="194"/>
      <c r="CF29" s="194"/>
      <c r="CG29" s="194"/>
      <c r="CH29" s="194"/>
    </row>
    <row r="30" spans="1:86" ht="28.9" customHeight="1" x14ac:dyDescent="0.25">
      <c r="A30" s="438" t="str">
        <f>IFERROR(INDEX($AZ$2:$AZ$87,MATCH(ROWS($A$29:A30),$BW$2:$BW$87,0)),"")</f>
        <v>Partnerships and Value Expansion for Seed Systems in (Phase 1)</v>
      </c>
      <c r="B30" s="439">
        <f>IF($A30="","",IFERROR(INDEX($BX$2:$BX$87,MATCH(ROWS($A$29:A30),$BW$2:$BW$87,0)),""))</f>
        <v>0</v>
      </c>
      <c r="C30" s="440" t="str">
        <f>IF($A30="","",INDEX($BB$2:$BB$87,MATCH(ROWS($A$29:A30),$BW$2:$BW$87,0)))</f>
        <v>DFAT</v>
      </c>
      <c r="D30" s="441" t="str">
        <f>IF($A30="","",INDEX($BD$2:$BD$87,MATCH(ROWS($A$29:A30),$BW$2:$BW$87,0)))</f>
        <v>Agriculture</v>
      </c>
      <c r="E30" s="441" t="str">
        <f>IF($A30="","",INDEX($BF$2:$BF$87,MATCH(ROWS($A$29:A30),$BW$2:$BW$87,0)))</f>
        <v>1-4 years</v>
      </c>
      <c r="F30" s="441" t="str">
        <f>IF($A30="","",INDEX($BH$2:$BH$87,MATCH(ROWS($A$29:A30),$BW$2:$BW$87,0)))</f>
        <v>Politically Constrained Only</v>
      </c>
      <c r="G30" s="440" t="str">
        <f>IF($A30="","",INDEX($BI$2:$BI$87,MATCH(ROWS($A$29:A30),$BW$2:$BW$87,0)))</f>
        <v>Lower-Middle Income</v>
      </c>
      <c r="H30" s="440" t="str">
        <f>IF($A30="","",INDEX($BJ$2:$BJ$87,MATCH(ROWS($A$29:A30),$BW$2:$BW$87,0)))</f>
        <v>Stable</v>
      </c>
      <c r="I30" s="441" t="str">
        <f>IF($A30="","",INDEX($BK$2:$BK$87,MATCH(ROWS($A$29:A30),$BW$2:$BW$87,0)))</f>
        <v>food security &amp; resilience</v>
      </c>
      <c r="J30" s="441" t="str">
        <f>IF($A30="","",
 _xlfn.LET(
   _xlpm.link,TRIM(INDEX($BL$2:$BL$87,MATCH(ROWS($A$29:A30),$BW$2:$BW$87,0))),
   IF(OR(_xlpm.link="",UPPER(_xlpm.link)="N/A"),"N/A",
      IF(OR(LEFT(_xlpm.link,7)="http://",LEFT(_xlpm.link,8)="https://"),
         HYPERLINK(_xlpm.link,_xlpm.link),
         _xlpm.link
      )
   )
 ))</f>
        <v>https://beamexchange.org/implement/programme-index/pave-partnerships-and-value-expansion-for-seed-systems-in-phase-1/</v>
      </c>
      <c r="K30" s="490"/>
      <c r="L30" s="490"/>
      <c r="M30" s="490"/>
      <c r="N30" s="490"/>
      <c r="AZ30" s="438" t="s">
        <v>187</v>
      </c>
      <c r="BA30" s="469" t="s">
        <v>188</v>
      </c>
      <c r="BB30" s="438" t="s">
        <v>137</v>
      </c>
      <c r="BC30" s="438" t="s">
        <v>39</v>
      </c>
      <c r="BD30" s="438" t="s">
        <v>39</v>
      </c>
      <c r="BE30" s="438" t="s">
        <v>761</v>
      </c>
      <c r="BF30" s="438" t="s">
        <v>718</v>
      </c>
      <c r="BG30" s="438" t="s">
        <v>673</v>
      </c>
      <c r="BH30" s="438" t="s">
        <v>728</v>
      </c>
      <c r="BI30" s="438" t="s">
        <v>583</v>
      </c>
      <c r="BJ30" s="438" t="s">
        <v>49</v>
      </c>
      <c r="BK30" s="438" t="s">
        <v>602</v>
      </c>
      <c r="BL30" s="17" t="s">
        <v>190</v>
      </c>
      <c r="BM30" s="447"/>
      <c r="BN30" s="447">
        <v>6.280869565217391E-2</v>
      </c>
      <c r="BO30" s="447"/>
      <c r="BP30" s="447"/>
      <c r="BQ30" s="447"/>
      <c r="BR30" s="447"/>
      <c r="BS30" s="447">
        <v>148.96373056994821</v>
      </c>
      <c r="BT30" s="447">
        <v>6713.04347826087</v>
      </c>
      <c r="BU30" s="447"/>
      <c r="BV30" s="438">
        <f t="shared" si="0"/>
        <v>1</v>
      </c>
      <c r="BW30" s="438">
        <f>IF(BV30=1,COUNTIF($BV$2:BV30,1),"")</f>
        <v>29</v>
      </c>
      <c r="BZ30" s="194"/>
      <c r="CA30" s="194"/>
      <c r="CB30" s="194"/>
      <c r="CC30" s="194"/>
      <c r="CD30" s="194"/>
      <c r="CE30" s="194"/>
      <c r="CF30" s="194"/>
      <c r="CG30" s="194"/>
      <c r="CH30" s="194"/>
    </row>
    <row r="31" spans="1:86" ht="43.15" customHeight="1" x14ac:dyDescent="0.25">
      <c r="A31" s="438" t="str">
        <f>IFERROR(INDEX($AZ$2:$AZ$87,MATCH(ROWS($A$29:A31),$BW$2:$BW$87,0)),"")</f>
        <v>Poultry Development for Resettlement</v>
      </c>
      <c r="B31" s="439">
        <f>IF($A31="","",IFERROR(INDEX($BX$2:$BX$87,MATCH(ROWS($A$29:A31),$BW$2:$BW$87,0)),""))</f>
        <v>0</v>
      </c>
      <c r="C31" s="440" t="str">
        <f>IF($A31="","",INDEX($BB$2:$BB$87,MATCH(ROWS($A$29:A31),$BW$2:$BW$87,0)))</f>
        <v>Bill &amp; Melinda Gates Foundation</v>
      </c>
      <c r="D31" s="441" t="str">
        <f>IF($A31="","",INDEX($BD$2:$BD$87,MATCH(ROWS($A$29:A31),$BW$2:$BW$87,0)))</f>
        <v>Agriculture</v>
      </c>
      <c r="E31" s="441" t="str">
        <f>IF($A31="","",INDEX($BF$2:$BF$87,MATCH(ROWS($A$29:A31),$BW$2:$BW$87,0)))</f>
        <v>1-4 years</v>
      </c>
      <c r="F31" s="441" t="str">
        <f>IF($A31="","",INDEX($BH$2:$BH$87,MATCH(ROWS($A$29:A31),$BW$2:$BW$87,0)))</f>
        <v>Politically and Macroeconomically Constrained</v>
      </c>
      <c r="G31" s="440" t="str">
        <f>IF($A31="","",INDEX($BI$2:$BI$87,MATCH(ROWS($A$29:A31),$BW$2:$BW$87,0)))</f>
        <v>Lower-Middle Income</v>
      </c>
      <c r="H31" s="440" t="str">
        <f>IF($A31="","",INDEX($BJ$2:$BJ$87,MATCH(ROWS($A$29:A31),$BW$2:$BW$87,0)))</f>
        <v>FCAS</v>
      </c>
      <c r="I31" s="441" t="str">
        <f>IF($A31="","",INDEX($BK$2:$BK$87,MATCH(ROWS($A$29:A31),$BW$2:$BW$87,0)))</f>
        <v>income improvement; food security &amp; resilience</v>
      </c>
      <c r="J31" s="441" t="str">
        <f>IF($A31="","",
 _xlfn.LET(
   _xlpm.link,TRIM(INDEX($BL$2:$BL$87,MATCH(ROWS($A$29:A31),$BW$2:$BW$87,0))),
   IF(OR(_xlpm.link="",UPPER(_xlpm.link)="N/A"),"N/A",
      IF(OR(LEFT(_xlpm.link,7)="http://",LEFT(_xlpm.link,8)="https://"),
         HYPERLINK(_xlpm.link,_xlpm.link),
         _xlpm.link
      )
   )
 ))</f>
        <v>N/A - report provided by Mercy Corps</v>
      </c>
      <c r="K31" s="490"/>
      <c r="L31" s="490"/>
      <c r="M31" s="490"/>
      <c r="N31" s="490"/>
      <c r="AZ31" s="438" t="s">
        <v>191</v>
      </c>
      <c r="BA31" s="486" t="s">
        <v>192</v>
      </c>
      <c r="BB31" s="438" t="s">
        <v>104</v>
      </c>
      <c r="BC31" s="438" t="s">
        <v>39</v>
      </c>
      <c r="BD31" s="438" t="s">
        <v>39</v>
      </c>
      <c r="BE31" s="438" t="s">
        <v>771</v>
      </c>
      <c r="BF31" s="438" t="s">
        <v>766</v>
      </c>
      <c r="BG31" s="438" t="s">
        <v>584</v>
      </c>
      <c r="BH31" s="438" t="s">
        <v>49</v>
      </c>
      <c r="BI31" s="438" t="s">
        <v>583</v>
      </c>
      <c r="BJ31" s="438" t="s">
        <v>49</v>
      </c>
      <c r="BK31" s="438" t="s">
        <v>582</v>
      </c>
      <c r="BL31" s="17" t="s">
        <v>195</v>
      </c>
      <c r="BM31" s="447">
        <v>1800</v>
      </c>
      <c r="BN31" s="447"/>
      <c r="BO31" s="447"/>
      <c r="BP31" s="447"/>
      <c r="BQ31" s="447"/>
      <c r="BR31" s="447"/>
      <c r="BS31" s="447">
        <v>1180</v>
      </c>
      <c r="BT31" s="447">
        <v>847.45762711864404</v>
      </c>
      <c r="BU31" s="447">
        <v>1.525423728813559</v>
      </c>
      <c r="BV31" s="438">
        <f t="shared" si="0"/>
        <v>1</v>
      </c>
      <c r="BW31" s="438">
        <f>IF(BV31=1,COUNTIF($BV$2:BV31,1),"")</f>
        <v>30</v>
      </c>
      <c r="BZ31" s="194"/>
      <c r="CA31" s="194"/>
      <c r="CB31" s="194"/>
      <c r="CC31" s="194"/>
      <c r="CD31" s="194"/>
      <c r="CE31" s="194"/>
      <c r="CF31" s="194"/>
      <c r="CG31" s="194"/>
      <c r="CH31" s="194"/>
    </row>
    <row r="32" spans="1:86" ht="28.9" customHeight="1" x14ac:dyDescent="0.25">
      <c r="A32" s="438" t="str">
        <f>IFERROR(INDEX($AZ$2:$AZ$87,MATCH(ROWS($A$29:A32),$BW$2:$BW$87,0)),"")</f>
        <v>Hilando Culturas (Spinning Cultures)</v>
      </c>
      <c r="B32" s="439">
        <f>IF($A32="","",IFERROR(INDEX($BX$2:$BX$87,MATCH(ROWS($A$29:A32),$BW$2:$BW$87,0)),""))</f>
        <v>0</v>
      </c>
      <c r="C32" s="440" t="str">
        <f>IF($A32="","",INDEX($BB$2:$BB$87,MATCH(ROWS($A$29:A32),$BW$2:$BW$87,0)))</f>
        <v>EU</v>
      </c>
      <c r="D32" s="441" t="str">
        <f>IF($A32="","",INDEX($BD$2:$BD$87,MATCH(ROWS($A$29:A32),$BW$2:$BW$87,0)))</f>
        <v>Agriculture</v>
      </c>
      <c r="E32" s="441" t="str">
        <f>IF($A32="","",INDEX($BF$2:$BF$87,MATCH(ROWS($A$29:A32),$BW$2:$BW$87,0)))</f>
        <v>1-4 years</v>
      </c>
      <c r="F32" s="441" t="str">
        <f>IF($A32="","",INDEX($BH$2:$BH$87,MATCH(ROWS($A$29:A32),$BW$2:$BW$87,0)))</f>
        <v>Stable</v>
      </c>
      <c r="G32" s="440" t="str">
        <f>IF($A32="","",INDEX($BI$2:$BI$87,MATCH(ROWS($A$29:A32),$BW$2:$BW$87,0)))</f>
        <v>Mixed</v>
      </c>
      <c r="H32" s="440" t="str">
        <f>IF($A32="","",INDEX($BJ$2:$BJ$87,MATCH(ROWS($A$29:A32),$BW$2:$BW$87,0)))</f>
        <v>Stable</v>
      </c>
      <c r="I32" s="441" t="str">
        <f>IF($A32="","",INDEX($BK$2:$BK$87,MATCH(ROWS($A$29:A32),$BW$2:$BW$87,0)))</f>
        <v>income improvement; food security &amp; resilience</v>
      </c>
      <c r="J32" s="441" t="str">
        <f>IF($A32="","",
 _xlfn.LET(
   _xlpm.link,TRIM(INDEX($BL$2:$BL$87,MATCH(ROWS($A$29:A32),$BW$2:$BW$87,0))),
   IF(OR(_xlpm.link="",UPPER(_xlpm.link)="N/A"),"N/A",
      IF(OR(LEFT(_xlpm.link,7)="http://",LEFT(_xlpm.link,8)="https://"),
         HYPERLINK(_xlpm.link,_xlpm.link),
         _xlpm.link
      )
   )
 ))</f>
        <v>https://beamexchange.org/implement/programme-index/hilando-culturas-spinning-cultures/</v>
      </c>
      <c r="K32" s="490"/>
      <c r="L32" s="490"/>
      <c r="M32" s="490"/>
      <c r="N32" s="490"/>
      <c r="AZ32" s="438" t="s">
        <v>196</v>
      </c>
      <c r="BA32" s="469" t="s">
        <v>197</v>
      </c>
      <c r="BB32" s="438" t="s">
        <v>137</v>
      </c>
      <c r="BC32" s="438" t="s">
        <v>39</v>
      </c>
      <c r="BD32" s="438" t="s">
        <v>39</v>
      </c>
      <c r="BE32" s="438" t="s">
        <v>761</v>
      </c>
      <c r="BF32" s="438" t="s">
        <v>718</v>
      </c>
      <c r="BG32" s="438" t="s">
        <v>674</v>
      </c>
      <c r="BH32" s="438" t="s">
        <v>727</v>
      </c>
      <c r="BI32" s="438" t="s">
        <v>586</v>
      </c>
      <c r="BJ32" s="438" t="s">
        <v>42</v>
      </c>
      <c r="BK32" s="438" t="s">
        <v>617</v>
      </c>
      <c r="BL32" s="17" t="s">
        <v>54</v>
      </c>
      <c r="BM32" s="447">
        <v>61.500214285714293</v>
      </c>
      <c r="BN32" s="447">
        <v>0.31970482897384311</v>
      </c>
      <c r="BO32" s="447">
        <v>1.926747786720322</v>
      </c>
      <c r="BP32" s="447"/>
      <c r="BQ32" s="447">
        <v>5010.4691740984881</v>
      </c>
      <c r="BR32" s="447">
        <v>199.58210803281219</v>
      </c>
      <c r="BS32" s="447"/>
      <c r="BT32" s="447"/>
      <c r="BU32" s="447">
        <v>0.6456523038229377</v>
      </c>
      <c r="BV32" s="438">
        <f t="shared" si="0"/>
        <v>1</v>
      </c>
      <c r="BW32" s="438">
        <f>IF(BV32=1,COUNTIF($BV$2:BV32,1),"")</f>
        <v>31</v>
      </c>
      <c r="BZ32" s="194"/>
      <c r="CA32" s="194"/>
      <c r="CB32" s="194"/>
      <c r="CC32" s="194"/>
      <c r="CD32" s="194"/>
      <c r="CE32" s="194"/>
      <c r="CF32" s="194"/>
      <c r="CG32" s="194"/>
      <c r="CH32" s="194"/>
    </row>
    <row r="33" spans="1:86" ht="28.9" customHeight="1" x14ac:dyDescent="0.25">
      <c r="A33" s="438" t="str">
        <f>IFERROR(INDEX($AZ$2:$AZ$87,MATCH(ROWS($A$29:A33),$BW$2:$BW$87,0)),"")</f>
        <v>Promoting  the Advancement of Vulnerable Persons and Enterprises Project</v>
      </c>
      <c r="B33" s="439">
        <f>IF($A33="","",IFERROR(INDEX($BX$2:$BX$87,MATCH(ROWS($A$29:A33),$BW$2:$BW$87,0)),""))</f>
        <v>0</v>
      </c>
      <c r="C33" s="440" t="str">
        <f>IF($A33="","",INDEX($BB$2:$BB$87,MATCH(ROWS($A$29:A33),$BW$2:$BW$87,0)))</f>
        <v>NORAD</v>
      </c>
      <c r="D33" s="441" t="str">
        <f>IF($A33="","",INDEX($BD$2:$BD$87,MATCH(ROWS($A$29:A33),$BW$2:$BW$87,0)))</f>
        <v>Agriculture</v>
      </c>
      <c r="E33" s="441" t="str">
        <f>IF($A33="","",INDEX($BF$2:$BF$87,MATCH(ROWS($A$29:A33),$BW$2:$BW$87,0)))</f>
        <v>1-4 years</v>
      </c>
      <c r="F33" s="441" t="str">
        <f>IF($A33="","",INDEX($BH$2:$BH$87,MATCH(ROWS($A$29:A33),$BW$2:$BW$87,0)))</f>
        <v>Politically Constrained Only</v>
      </c>
      <c r="G33" s="440" t="str">
        <f>IF($A33="","",INDEX($BI$2:$BI$87,MATCH(ROWS($A$29:A33),$BW$2:$BW$87,0)))</f>
        <v>Lower-Middle Income</v>
      </c>
      <c r="H33" s="440" t="str">
        <f>IF($A33="","",INDEX($BJ$2:$BJ$87,MATCH(ROWS($A$29:A33),$BW$2:$BW$87,0)))</f>
        <v>FCAS</v>
      </c>
      <c r="I33" s="441" t="str">
        <f>IF($A33="","",INDEX($BK$2:$BK$87,MATCH(ROWS($A$29:A33),$BW$2:$BW$87,0)))</f>
        <v>job creation, income improvement; food security &amp; resilience</v>
      </c>
      <c r="J33" s="441" t="str">
        <f>IF($A33="","",
 _xlfn.LET(
   _xlpm.link,TRIM(INDEX($BL$2:$BL$87,MATCH(ROWS($A$29:A33),$BW$2:$BW$87,0))),
   IF(OR(_xlpm.link="",UPPER(_xlpm.link)="N/A"),"N/A",
      IF(OR(LEFT(_xlpm.link,7)="http://",LEFT(_xlpm.link,8)="https://"),
         HYPERLINK(_xlpm.link,_xlpm.link),
         _xlpm.link
      )
   )
 ))</f>
        <v>N/A - report provided by ILO</v>
      </c>
      <c r="K33" s="490"/>
      <c r="L33" s="490"/>
      <c r="M33" s="490"/>
      <c r="N33" s="490"/>
      <c r="AZ33" s="438" t="s">
        <v>198</v>
      </c>
      <c r="BA33" s="469" t="s">
        <v>199</v>
      </c>
      <c r="BB33" s="438" t="s">
        <v>137</v>
      </c>
      <c r="BC33" s="438" t="s">
        <v>201</v>
      </c>
      <c r="BD33" s="438" t="s">
        <v>597</v>
      </c>
      <c r="BE33" s="438" t="s">
        <v>761</v>
      </c>
      <c r="BF33" s="438" t="s">
        <v>718</v>
      </c>
      <c r="BG33" s="438" t="s">
        <v>673</v>
      </c>
      <c r="BH33" s="438" t="s">
        <v>728</v>
      </c>
      <c r="BI33" s="438" t="s">
        <v>586</v>
      </c>
      <c r="BJ33" s="438" t="s">
        <v>49</v>
      </c>
      <c r="BK33" s="438" t="s">
        <v>602</v>
      </c>
      <c r="BL33" s="17" t="s">
        <v>202</v>
      </c>
      <c r="BM33" s="447">
        <v>96.491061571125272</v>
      </c>
      <c r="BN33" s="447">
        <v>0.53168400000000005</v>
      </c>
      <c r="BO33" s="447"/>
      <c r="BP33" s="447"/>
      <c r="BQ33" s="447"/>
      <c r="BR33" s="447"/>
      <c r="BS33" s="447">
        <v>276.0084925690021</v>
      </c>
      <c r="BT33" s="447">
        <v>3623.0769230769229</v>
      </c>
      <c r="BU33" s="447">
        <v>0.34959453846153848</v>
      </c>
      <c r="BV33" s="438">
        <f t="shared" si="0"/>
        <v>1</v>
      </c>
      <c r="BW33" s="438">
        <f>IF(BV33=1,COUNTIF($BV$2:BV33,1),"")</f>
        <v>32</v>
      </c>
      <c r="BZ33" s="194"/>
      <c r="CA33" s="194"/>
      <c r="CB33" s="194"/>
      <c r="CC33" s="194"/>
      <c r="CD33" s="194"/>
      <c r="CE33" s="194"/>
      <c r="CF33" s="194"/>
      <c r="CG33" s="194"/>
      <c r="CH33" s="194"/>
    </row>
    <row r="34" spans="1:86" ht="28.9" customHeight="1" x14ac:dyDescent="0.25">
      <c r="A34" s="438" t="str">
        <f>IFERROR(INDEX($AZ$2:$AZ$87,MATCH(ROWS($A$29:A34),$BW$2:$BW$87,0)),"")</f>
        <v>More Income Generated for Poor Families in Indonesia</v>
      </c>
      <c r="B34" s="439">
        <f>IF($A34="","",IFERROR(INDEX($BX$2:$BX$87,MATCH(ROWS($A$29:A34),$BW$2:$BW$87,0)),""))</f>
        <v>0</v>
      </c>
      <c r="C34" s="440" t="str">
        <f>IF($A34="","",INDEX($BB$2:$BB$87,MATCH(ROWS($A$29:A34),$BW$2:$BW$87,0)))</f>
        <v>DFAT; Australian NGO Cooperation Prog. (ANCP); World Vision Australia</v>
      </c>
      <c r="D34" s="441" t="str">
        <f>IF($A34="","",INDEX($BD$2:$BD$87,MATCH(ROWS($A$29:A34),$BW$2:$BW$87,0)))</f>
        <v>Agriculture</v>
      </c>
      <c r="E34" s="441" t="str">
        <f>IF($A34="","",INDEX($BF$2:$BF$87,MATCH(ROWS($A$29:A34),$BW$2:$BW$87,0)))</f>
        <v>5-8 years</v>
      </c>
      <c r="F34" s="441" t="str">
        <f>IF($A34="","",INDEX($BH$2:$BH$87,MATCH(ROWS($A$29:A34),$BW$2:$BW$87,0)))</f>
        <v>Macroeconomically Constrained Only</v>
      </c>
      <c r="G34" s="440" t="str">
        <f>IF($A34="","",INDEX($BI$2:$BI$87,MATCH(ROWS($A$29:A34),$BW$2:$BW$87,0)))</f>
        <v>Upper-Middle Income</v>
      </c>
      <c r="H34" s="440" t="str">
        <f>IF($A34="","",INDEX($BJ$2:$BJ$87,MATCH(ROWS($A$29:A34),$BW$2:$BW$87,0)))</f>
        <v>Stable</v>
      </c>
      <c r="I34" s="441" t="str">
        <f>IF($A34="","",INDEX($BK$2:$BK$87,MATCH(ROWS($A$29:A34),$BW$2:$BW$87,0)))</f>
        <v>income improvement; food security &amp; resilience</v>
      </c>
      <c r="J34" s="441" t="str">
        <f>IF($A34="","",
 _xlfn.LET(
   _xlpm.link,TRIM(INDEX($BL$2:$BL$87,MATCH(ROWS($A$29:A34),$BW$2:$BW$87,0))),
   IF(OR(_xlpm.link="",UPPER(_xlpm.link)="N/A"),"N/A",
      IF(OR(LEFT(_xlpm.link,7)="http://",LEFT(_xlpm.link,8)="https://"),
         HYPERLINK(_xlpm.link,_xlpm.link),
         _xlpm.link
      )
   )
 ))</f>
        <v>https://beamexchange.org/implement/programme-index/moringa-more-income-generated-for-poor-families-in-indonesia/</v>
      </c>
      <c r="K34" s="490"/>
      <c r="L34" s="490"/>
      <c r="M34" s="490"/>
      <c r="N34" s="490"/>
      <c r="AZ34" s="438" t="s">
        <v>203</v>
      </c>
      <c r="BA34" s="469" t="s">
        <v>204</v>
      </c>
      <c r="BB34" s="438" t="s">
        <v>205</v>
      </c>
      <c r="BC34" s="438" t="s">
        <v>39</v>
      </c>
      <c r="BD34" s="438" t="s">
        <v>39</v>
      </c>
      <c r="BE34" s="438" t="s">
        <v>761</v>
      </c>
      <c r="BF34" s="438" t="s">
        <v>766</v>
      </c>
      <c r="BG34" s="438" t="s">
        <v>673</v>
      </c>
      <c r="BH34" s="438" t="s">
        <v>728</v>
      </c>
      <c r="BI34" s="438" t="s">
        <v>583</v>
      </c>
      <c r="BJ34" s="438" t="s">
        <v>49</v>
      </c>
      <c r="BK34" s="438" t="s">
        <v>611</v>
      </c>
      <c r="BL34" s="17" t="s">
        <v>206</v>
      </c>
      <c r="BM34" s="447"/>
      <c r="BN34" s="447"/>
      <c r="BO34" s="447"/>
      <c r="BP34" s="447"/>
      <c r="BQ34" s="447">
        <v>4583.333333333333</v>
      </c>
      <c r="BR34" s="447">
        <v>218.18181818181819</v>
      </c>
      <c r="BS34" s="447">
        <v>4551.7241379310344</v>
      </c>
      <c r="BT34" s="447">
        <v>219.69696969696969</v>
      </c>
      <c r="BU34" s="447"/>
      <c r="BV34" s="438">
        <f t="shared" ref="BV34:BV65" si="1">--AND(OR($C$4="All",$BD34=$C$4),OR($C$5="All",$BI34=$C$5),OR($C$6="All",$BF34=$C$6),OR($C$7="All",$BJ34=$C$7),OR($C$8="All",$BH34=$C$8),OR($C$9="All",ISNUMBER(SEARCH(LOWER($C$9),LOWER($BK34)))),OR($C$10="All",ISNUMBER(SEARCH(LOWER($C$10),LOWER($BB34)))))</f>
        <v>1</v>
      </c>
      <c r="BW34" s="438">
        <f>IF(BV34=1,COUNTIF($BV$2:BV34,1),"")</f>
        <v>33</v>
      </c>
      <c r="BZ34" s="194"/>
      <c r="CA34" s="194"/>
      <c r="CB34" s="194"/>
      <c r="CC34" s="194"/>
      <c r="CD34" s="194"/>
      <c r="CE34" s="194"/>
      <c r="CF34" s="194"/>
      <c r="CG34" s="194"/>
      <c r="CH34" s="194"/>
    </row>
    <row r="35" spans="1:86" ht="28.9" customHeight="1" x14ac:dyDescent="0.25">
      <c r="A35" s="438" t="str">
        <f>IFERROR(INDEX($AZ$2:$AZ$87,MATCH(ROWS($A$29:A35),$BW$2:$BW$87,0)),"")</f>
        <v>Construya Peru: Construcción segura, saludable y sostenible en sectores urbanos vulnerables (Phase 2)</v>
      </c>
      <c r="B35" s="439">
        <f>IF($A35="","",IFERROR(INDEX($BX$2:$BX$87,MATCH(ROWS($A$29:A35),$BW$2:$BW$87,0)),""))</f>
        <v>0</v>
      </c>
      <c r="C35" s="440" t="str">
        <f>IF($A35="","",INDEX($BB$2:$BB$87,MATCH(ROWS($A$29:A35),$BW$2:$BW$87,0)))</f>
        <v>Hilti Foundation</v>
      </c>
      <c r="D35" s="441" t="str">
        <f>IF($A35="","",INDEX($BD$2:$BD$87,MATCH(ROWS($A$29:A35),$BW$2:$BW$87,0)))</f>
        <v>Non-Agriculture</v>
      </c>
      <c r="E35" s="441" t="str">
        <f>IF($A35="","",INDEX($BF$2:$BF$87,MATCH(ROWS($A$29:A35),$BW$2:$BW$87,0)))</f>
        <v>1-4 years</v>
      </c>
      <c r="F35" s="441" t="str">
        <f>IF($A35="","",INDEX($BH$2:$BH$87,MATCH(ROWS($A$29:A35),$BW$2:$BW$87,0)))</f>
        <v>Macroeconomically Constrained Only</v>
      </c>
      <c r="G35" s="440" t="str">
        <f>IF($A35="","",INDEX($BI$2:$BI$87,MATCH(ROWS($A$29:A35),$BW$2:$BW$87,0)))</f>
        <v>Upper-Middle Income</v>
      </c>
      <c r="H35" s="440" t="str">
        <f>IF($A35="","",INDEX($BJ$2:$BJ$87,MATCH(ROWS($A$29:A35),$BW$2:$BW$87,0)))</f>
        <v>Stable</v>
      </c>
      <c r="I35" s="441" t="str">
        <f>IF($A35="","",INDEX($BK$2:$BK$87,MATCH(ROWS($A$29:A35),$BW$2:$BW$87,0)))</f>
        <v>job improvement</v>
      </c>
      <c r="J35" s="441" t="str">
        <f>IF($A35="","",
 _xlfn.LET(
   _xlpm.link,TRIM(INDEX($BL$2:$BL$87,MATCH(ROWS($A$29:A35),$BW$2:$BW$87,0))),
   IF(OR(_xlpm.link="",UPPER(_xlpm.link)="N/A"),"N/A",
      IF(OR(LEFT(_xlpm.link,7)="http://",LEFT(_xlpm.link,8)="https://"),
         HYPERLINK(_xlpm.link,_xlpm.link),
         _xlpm.link
      )
   )
 ))</f>
        <v>https://beamexchange.org/implement/programme-index/construya-peru-construcci%C3%B3n-segura-saludable-y-sostenible-en-sectores-urbanos-vulnerables/</v>
      </c>
      <c r="K35" s="490"/>
      <c r="L35" s="490"/>
      <c r="M35" s="490"/>
      <c r="N35" s="490"/>
      <c r="AZ35" s="438" t="s">
        <v>207</v>
      </c>
      <c r="BA35" s="469" t="s">
        <v>208</v>
      </c>
      <c r="BB35" s="438" t="s">
        <v>104</v>
      </c>
      <c r="BC35" s="438" t="s">
        <v>209</v>
      </c>
      <c r="BD35" s="438" t="s">
        <v>729</v>
      </c>
      <c r="BE35" s="438" t="s">
        <v>771</v>
      </c>
      <c r="BF35" s="438" t="s">
        <v>766</v>
      </c>
      <c r="BG35" s="438" t="s">
        <v>673</v>
      </c>
      <c r="BH35" s="438" t="s">
        <v>728</v>
      </c>
      <c r="BI35" s="438" t="s">
        <v>589</v>
      </c>
      <c r="BJ35" s="438" t="s">
        <v>49</v>
      </c>
      <c r="BK35" s="438" t="s">
        <v>611</v>
      </c>
      <c r="BL35" s="17" t="s">
        <v>210</v>
      </c>
      <c r="BM35" s="447">
        <v>1665.753424657534</v>
      </c>
      <c r="BN35" s="447">
        <v>0.79365079365079361</v>
      </c>
      <c r="BO35" s="447"/>
      <c r="BP35" s="447"/>
      <c r="BQ35" s="447">
        <v>5697.0610399397137</v>
      </c>
      <c r="BR35" s="447">
        <v>197.4702380952381</v>
      </c>
      <c r="BS35" s="447"/>
      <c r="BT35" s="447"/>
      <c r="BU35" s="447">
        <v>0.80423280423280419</v>
      </c>
      <c r="BV35" s="438">
        <f t="shared" si="1"/>
        <v>1</v>
      </c>
      <c r="BW35" s="438">
        <f>IF(BV35=1,COUNTIF($BV$2:BV35,1),"")</f>
        <v>34</v>
      </c>
      <c r="BZ35" s="194"/>
      <c r="CA35" s="194"/>
      <c r="CB35" s="194"/>
      <c r="CC35" s="194"/>
      <c r="CD35" s="194"/>
      <c r="CE35" s="194"/>
      <c r="CF35" s="194"/>
      <c r="CG35" s="194"/>
      <c r="CH35" s="194"/>
    </row>
    <row r="36" spans="1:86" ht="36" customHeight="1" x14ac:dyDescent="0.25">
      <c r="A36" s="438" t="str">
        <f>IFERROR(INDEX($AZ$2:$AZ$87,MATCH(ROWS($A$29:A36),$BW$2:$BW$87,0)),"")</f>
        <v>Building Inclusive Markets and Decent Work for Syrian Refugees and Lebanese Host Communities</v>
      </c>
      <c r="B36" s="439">
        <f>IF($A36="","",IFERROR(INDEX($BX$2:$BX$87,MATCH(ROWS($A$29:A36),$BW$2:$BW$87,0)),""))</f>
        <v>0</v>
      </c>
      <c r="C36" s="440" t="str">
        <f>IF($A36="","",INDEX($BB$2:$BB$87,MATCH(ROWS($A$29:A36),$BW$2:$BW$87,0)))</f>
        <v>Sida</v>
      </c>
      <c r="D36" s="441" t="str">
        <f>IF($A36="","",INDEX($BD$2:$BD$87,MATCH(ROWS($A$29:A36),$BW$2:$BW$87,0)))</f>
        <v>Agriculture</v>
      </c>
      <c r="E36" s="441" t="str">
        <f>IF($A36="","",INDEX($BF$2:$BF$87,MATCH(ROWS($A$29:A36),$BW$2:$BW$87,0)))</f>
        <v>1-4 years</v>
      </c>
      <c r="F36" s="441" t="str">
        <f>IF($A36="","",INDEX($BH$2:$BH$87,MATCH(ROWS($A$29:A36),$BW$2:$BW$87,0)))</f>
        <v>Politically and Macroeconomically Constrained</v>
      </c>
      <c r="G36" s="440" t="str">
        <f>IF($A36="","",INDEX($BI$2:$BI$87,MATCH(ROWS($A$29:A36),$BW$2:$BW$87,0)))</f>
        <v>Lower-Middle Income</v>
      </c>
      <c r="H36" s="440" t="str">
        <f>IF($A36="","",INDEX($BJ$2:$BJ$87,MATCH(ROWS($A$29:A36),$BW$2:$BW$87,0)))</f>
        <v>FCAS</v>
      </c>
      <c r="I36" s="441" t="str">
        <f>IF($A36="","",INDEX($BK$2:$BK$87,MATCH(ROWS($A$29:A36),$BW$2:$BW$87,0)))</f>
        <v>job creation, income improvement; food security &amp; resilience</v>
      </c>
      <c r="J36" s="441" t="str">
        <f>IF($A36="","",
 _xlfn.LET(
   _xlpm.link,TRIM(INDEX($BL$2:$BL$87,MATCH(ROWS($A$29:A36),$BW$2:$BW$87,0))),
   IF(OR(_xlpm.link="",UPPER(_xlpm.link)="N/A"),"N/A",
      IF(OR(LEFT(_xlpm.link,7)="http://",LEFT(_xlpm.link,8)="https://"),
         HYPERLINK(_xlpm.link,_xlpm.link),
         _xlpm.link
      )
   )
 ))</f>
        <v>N/A - report provided by ILO</v>
      </c>
      <c r="K36" s="490"/>
      <c r="L36" s="490"/>
      <c r="M36" s="490"/>
      <c r="N36" s="490"/>
      <c r="AZ36" s="438" t="s">
        <v>303</v>
      </c>
      <c r="BA36" s="487" t="s">
        <v>304</v>
      </c>
      <c r="BB36" s="438" t="s">
        <v>45</v>
      </c>
      <c r="BC36" s="438" t="s">
        <v>129</v>
      </c>
      <c r="BD36" s="438" t="s">
        <v>729</v>
      </c>
      <c r="BE36" s="438" t="s">
        <v>778</v>
      </c>
      <c r="BF36" s="438" t="s">
        <v>716</v>
      </c>
      <c r="BG36" s="438" t="s">
        <v>673</v>
      </c>
      <c r="BH36" s="438" t="s">
        <v>728</v>
      </c>
      <c r="BI36" s="438" t="s">
        <v>583</v>
      </c>
      <c r="BJ36" s="438" t="s">
        <v>42</v>
      </c>
      <c r="BK36" s="438" t="s">
        <v>617</v>
      </c>
      <c r="BL36" s="17" t="s">
        <v>305</v>
      </c>
      <c r="BM36" s="447">
        <v>1641.348092096581</v>
      </c>
      <c r="BN36" s="447"/>
      <c r="BO36" s="447"/>
      <c r="BP36" s="447"/>
      <c r="BQ36" s="447">
        <v>178661.84105960271</v>
      </c>
      <c r="BR36" s="447">
        <v>5.597166099202985</v>
      </c>
      <c r="BS36" s="447">
        <v>836.4214671048552</v>
      </c>
      <c r="BT36" s="447">
        <v>1195.569505719822</v>
      </c>
      <c r="BU36" s="447">
        <v>1.962345727182083</v>
      </c>
      <c r="BV36" s="438">
        <f t="shared" si="1"/>
        <v>1</v>
      </c>
      <c r="BW36" s="438">
        <f>IF(BV36=1,COUNTIF($BV$2:BV36,1),"")</f>
        <v>35</v>
      </c>
      <c r="BZ36" s="194"/>
      <c r="CA36" s="194"/>
      <c r="CB36" s="194"/>
      <c r="CC36" s="194"/>
      <c r="CD36" s="194"/>
      <c r="CE36" s="194"/>
      <c r="CF36" s="194"/>
      <c r="CG36" s="194"/>
      <c r="CH36" s="194"/>
    </row>
    <row r="37" spans="1:86" ht="24" customHeight="1" x14ac:dyDescent="0.25">
      <c r="A37" s="438" t="str">
        <f>IFERROR(INDEX($AZ$2:$AZ$87,MATCH(ROWS($A$29:A37),$BW$2:$BW$87,0)),"")</f>
        <v>SDVC Bangladesh: Strengthening the Dairy Value Chain</v>
      </c>
      <c r="B37" s="439">
        <f>IF($A37="","",IFERROR(INDEX($BX$2:$BX$87,MATCH(ROWS($A$29:A37),$BW$2:$BW$87,0)),""))</f>
        <v>0</v>
      </c>
      <c r="C37" s="440" t="str">
        <f>IF($A37="","",INDEX($BB$2:$BB$87,MATCH(ROWS($A$29:A37),$BW$2:$BW$87,0)))</f>
        <v>Bill &amp; Melinda Gates Foundation</v>
      </c>
      <c r="D37" s="441" t="str">
        <f>IF($A37="","",INDEX($BD$2:$BD$87,MATCH(ROWS($A$29:A37),$BW$2:$BW$87,0)))</f>
        <v>Agriculture</v>
      </c>
      <c r="E37" s="441" t="str">
        <f>IF($A37="","",INDEX($BF$2:$BF$87,MATCH(ROWS($A$29:A37),$BW$2:$BW$87,0)))</f>
        <v>1-4 years</v>
      </c>
      <c r="F37" s="441" t="str">
        <f>IF($A37="","",INDEX($BH$2:$BH$87,MATCH(ROWS($A$29:A37),$BW$2:$BW$87,0)))</f>
        <v>Politically Constrained Only</v>
      </c>
      <c r="G37" s="440" t="str">
        <f>IF($A37="","",INDEX($BI$2:$BI$87,MATCH(ROWS($A$29:A37),$BW$2:$BW$87,0)))</f>
        <v>Lower-Middle Income</v>
      </c>
      <c r="H37" s="440" t="str">
        <f>IF($A37="","",INDEX($BJ$2:$BJ$87,MATCH(ROWS($A$29:A37),$BW$2:$BW$87,0)))</f>
        <v>Stable</v>
      </c>
      <c r="I37" s="441" t="str">
        <f>IF($A37="","",INDEX($BK$2:$BK$87,MATCH(ROWS($A$29:A37),$BW$2:$BW$87,0)))</f>
        <v>income improvement</v>
      </c>
      <c r="J37" s="441" t="str">
        <f>IF($A37="","",
 _xlfn.LET(
   _xlpm.link,TRIM(INDEX($BL$2:$BL$87,MATCH(ROWS($A$29:A37),$BW$2:$BW$87,0))),
   IF(OR(_xlpm.link="",UPPER(_xlpm.link)="N/A"),"N/A",
      IF(OR(LEFT(_xlpm.link,7)="http://",LEFT(_xlpm.link,8)="https://"),
         HYPERLINK(_xlpm.link,_xlpm.link),
         _xlpm.link
      )
   )
 ))</f>
        <v>https://beamexchange.org/implement/programme-index/sdvc-bangladesh-strengthening-the-dairy-value-chain/</v>
      </c>
      <c r="K37" s="490"/>
      <c r="L37" s="490"/>
      <c r="M37" s="490"/>
      <c r="N37" s="490"/>
      <c r="AZ37" s="438" t="s">
        <v>211</v>
      </c>
      <c r="BA37" s="469" t="s">
        <v>212</v>
      </c>
      <c r="BB37" s="438" t="s">
        <v>171</v>
      </c>
      <c r="BC37" s="438" t="s">
        <v>39</v>
      </c>
      <c r="BD37" s="438" t="s">
        <v>39</v>
      </c>
      <c r="BE37" s="438" t="s">
        <v>761</v>
      </c>
      <c r="BF37" s="438" t="s">
        <v>766</v>
      </c>
      <c r="BG37" s="438" t="s">
        <v>673</v>
      </c>
      <c r="BH37" s="438" t="s">
        <v>728</v>
      </c>
      <c r="BI37" s="438" t="s">
        <v>586</v>
      </c>
      <c r="BJ37" s="438" t="s">
        <v>49</v>
      </c>
      <c r="BK37" s="438" t="s">
        <v>617</v>
      </c>
      <c r="BL37" s="17" t="s">
        <v>214</v>
      </c>
      <c r="BM37" s="447"/>
      <c r="BN37" s="447">
        <v>0.38952297101449268</v>
      </c>
      <c r="BO37" s="447">
        <v>6.1201095652173914</v>
      </c>
      <c r="BP37" s="447"/>
      <c r="BQ37" s="447"/>
      <c r="BR37" s="447"/>
      <c r="BS37" s="447">
        <v>374.8675739548529</v>
      </c>
      <c r="BT37" s="447">
        <v>2667.608695652174</v>
      </c>
      <c r="BU37" s="447"/>
      <c r="BV37" s="438">
        <f t="shared" si="1"/>
        <v>1</v>
      </c>
      <c r="BW37" s="438">
        <f>IF(BV37=1,COUNTIF($BV$2:BV37,1),"")</f>
        <v>36</v>
      </c>
      <c r="BZ37" s="194"/>
      <c r="CA37" s="194"/>
      <c r="CB37" s="194"/>
      <c r="CC37" s="194"/>
      <c r="CD37" s="194"/>
      <c r="CE37" s="194"/>
      <c r="CF37" s="194"/>
      <c r="CG37" s="194"/>
      <c r="CH37" s="194"/>
    </row>
    <row r="38" spans="1:86" ht="24" customHeight="1" x14ac:dyDescent="0.25">
      <c r="A38" s="438" t="str">
        <f>IFERROR(INDEX($AZ$2:$AZ$87,MATCH(ROWS($A$29:A38),$BW$2:$BW$87,0)),"")</f>
        <v xml:space="preserve">Making vegetable markets work for small-holders </v>
      </c>
      <c r="B38" s="439">
        <f>IF($A38="","",IFERROR(INDEX($BX$2:$BX$87,MATCH(ROWS($A$29:A38),$BW$2:$BW$87,0)),""))</f>
        <v>0</v>
      </c>
      <c r="C38" s="440" t="str">
        <f>IF($A38="","",INDEX($BB$2:$BB$87,MATCH(ROWS($A$29:A38),$BW$2:$BW$87,0)))</f>
        <v>LIFT</v>
      </c>
      <c r="D38" s="441" t="str">
        <f>IF($A38="","",INDEX($BD$2:$BD$87,MATCH(ROWS($A$29:A38),$BW$2:$BW$87,0)))</f>
        <v>Agriculture</v>
      </c>
      <c r="E38" s="441" t="str">
        <f>IF($A38="","",INDEX($BF$2:$BF$87,MATCH(ROWS($A$29:A38),$BW$2:$BW$87,0)))</f>
        <v>1-4 years</v>
      </c>
      <c r="F38" s="441" t="str">
        <f>IF($A38="","",INDEX($BH$2:$BH$87,MATCH(ROWS($A$29:A38),$BW$2:$BW$87,0)))</f>
        <v>Politically Constrained Only</v>
      </c>
      <c r="G38" s="440" t="str">
        <f>IF($A38="","",INDEX($BI$2:$BI$87,MATCH(ROWS($A$29:A38),$BW$2:$BW$87,0)))</f>
        <v>Lower-Middle Income</v>
      </c>
      <c r="H38" s="440" t="str">
        <f>IF($A38="","",INDEX($BJ$2:$BJ$87,MATCH(ROWS($A$29:A38),$BW$2:$BW$87,0)))</f>
        <v>FCAS</v>
      </c>
      <c r="I38" s="441" t="str">
        <f>IF($A38="","",INDEX($BK$2:$BK$87,MATCH(ROWS($A$29:A38),$BW$2:$BW$87,0)))</f>
        <v>income improvement; food security &amp; resilience</v>
      </c>
      <c r="J38" s="441" t="str">
        <f>IF($A38="","",
 _xlfn.LET(
   _xlpm.link,TRIM(INDEX($BL$2:$BL$87,MATCH(ROWS($A$29:A38),$BW$2:$BW$87,0))),
   IF(OR(_xlpm.link="",UPPER(_xlpm.link)="N/A"),"N/A",
      IF(OR(LEFT(_xlpm.link,7)="http://",LEFT(_xlpm.link,8)="https://"),
         HYPERLINK(_xlpm.link,_xlpm.link),
         _xlpm.link
      )
   )
 ))</f>
        <v>N/A - report provided by Mercy Corps</v>
      </c>
      <c r="K38" s="490"/>
      <c r="L38" s="490"/>
      <c r="M38" s="490"/>
      <c r="N38" s="490"/>
      <c r="AZ38" s="438" t="s">
        <v>215</v>
      </c>
      <c r="BA38" s="469" t="s">
        <v>216</v>
      </c>
      <c r="BB38" s="438" t="s">
        <v>216</v>
      </c>
      <c r="BC38" s="438" t="s">
        <v>39</v>
      </c>
      <c r="BD38" s="438" t="s">
        <v>39</v>
      </c>
      <c r="BE38" s="438" t="s">
        <v>771</v>
      </c>
      <c r="BF38" s="438" t="s">
        <v>766</v>
      </c>
      <c r="BG38" s="438" t="s">
        <v>674</v>
      </c>
      <c r="BH38" s="438" t="s">
        <v>727</v>
      </c>
      <c r="BI38" s="438" t="s">
        <v>583</v>
      </c>
      <c r="BJ38" s="438" t="s">
        <v>49</v>
      </c>
      <c r="BK38" s="438" t="s">
        <v>602</v>
      </c>
      <c r="BL38" s="17" t="s">
        <v>218</v>
      </c>
      <c r="BM38" s="447"/>
      <c r="BN38" s="447"/>
      <c r="BO38" s="447"/>
      <c r="BP38" s="447"/>
      <c r="BQ38" s="447"/>
      <c r="BR38" s="447"/>
      <c r="BS38" s="447">
        <v>493.11417462000708</v>
      </c>
      <c r="BT38" s="447">
        <v>2027.927915011971</v>
      </c>
      <c r="BU38" s="447"/>
      <c r="BV38" s="438">
        <f t="shared" si="1"/>
        <v>1</v>
      </c>
      <c r="BW38" s="438">
        <f>IF(BV38=1,COUNTIF($BV$2:BV38,1),"")</f>
        <v>37</v>
      </c>
      <c r="BZ38" s="194"/>
      <c r="CA38" s="194"/>
      <c r="CB38" s="194"/>
      <c r="CC38" s="194"/>
      <c r="CD38" s="194"/>
      <c r="CE38" s="194"/>
      <c r="CF38" s="194"/>
      <c r="CG38" s="194"/>
      <c r="CH38" s="194"/>
    </row>
    <row r="39" spans="1:86" ht="28.9" customHeight="1" x14ac:dyDescent="0.25">
      <c r="A39" s="438" t="str">
        <f>IFERROR(INDEX($AZ$2:$AZ$87,MATCH(ROWS($A$29:A39),$BW$2:$BW$87,0)),"")</f>
        <v>Alliances for Coconut Industry Development for the Caribbean</v>
      </c>
      <c r="B39" s="439">
        <f>IF($A39="","",IFERROR(INDEX($BX$2:$BX$87,MATCH(ROWS($A$29:A39),$BW$2:$BW$87,0)),""))</f>
        <v>0</v>
      </c>
      <c r="C39" s="440" t="str">
        <f>IF($A39="","",INDEX($BB$2:$BB$87,MATCH(ROWS($A$29:A39),$BW$2:$BW$87,0)))</f>
        <v>EU</v>
      </c>
      <c r="D39" s="441" t="str">
        <f>IF($A39="","",INDEX($BD$2:$BD$87,MATCH(ROWS($A$29:A39),$BW$2:$BW$87,0)))</f>
        <v>Agriculture</v>
      </c>
      <c r="E39" s="441" t="str">
        <f>IF($A39="","",INDEX($BF$2:$BF$87,MATCH(ROWS($A$29:A39),$BW$2:$BW$87,0)))</f>
        <v>1-4 years</v>
      </c>
      <c r="F39" s="441" t="str">
        <f>IF($A39="","",INDEX($BH$2:$BH$87,MATCH(ROWS($A$29:A39),$BW$2:$BW$87,0)))</f>
        <v>Stable</v>
      </c>
      <c r="G39" s="440" t="str">
        <f>IF($A39="","",INDEX($BI$2:$BI$87,MATCH(ROWS($A$29:A39),$BW$2:$BW$87,0)))</f>
        <v>Mixed</v>
      </c>
      <c r="H39" s="440" t="str">
        <f>IF($A39="","",INDEX($BJ$2:$BJ$87,MATCH(ROWS($A$29:A39),$BW$2:$BW$87,0)))</f>
        <v>Stable</v>
      </c>
      <c r="I39" s="441" t="str">
        <f>IF($A39="","",INDEX($BK$2:$BK$87,MATCH(ROWS($A$29:A39),$BW$2:$BW$87,0)))</f>
        <v>job creation; income improvement</v>
      </c>
      <c r="J39" s="441" t="str">
        <f>IF($A39="","",
 _xlfn.LET(
   _xlpm.link,TRIM(INDEX($BL$2:$BL$87,MATCH(ROWS($A$29:A39),$BW$2:$BW$87,0))),
   IF(OR(_xlpm.link="",UPPER(_xlpm.link)="N/A"),"N/A",
      IF(OR(LEFT(_xlpm.link,7)="http://",LEFT(_xlpm.link,8)="https://"),
         HYPERLINK(_xlpm.link,_xlpm.link),
         _xlpm.link
      )
   )
 ))</f>
        <v>https://beamexchange.org/implement/programme-index/cidc-alliances-for-coconut-industry-development-for-the-caribbean/</v>
      </c>
      <c r="K39" s="490"/>
      <c r="L39" s="490"/>
      <c r="M39" s="490"/>
      <c r="N39" s="490"/>
      <c r="AZ39" s="438" t="s">
        <v>219</v>
      </c>
      <c r="BA39" s="469" t="s">
        <v>220</v>
      </c>
      <c r="BB39" s="438" t="s">
        <v>80</v>
      </c>
      <c r="BC39" s="438" t="s">
        <v>39</v>
      </c>
      <c r="BD39" s="438" t="s">
        <v>39</v>
      </c>
      <c r="BE39" s="438" t="s">
        <v>761</v>
      </c>
      <c r="BF39" s="438" t="s">
        <v>766</v>
      </c>
      <c r="BG39" s="438" t="s">
        <v>674</v>
      </c>
      <c r="BH39" s="438" t="s">
        <v>727</v>
      </c>
      <c r="BI39" s="438" t="s">
        <v>597</v>
      </c>
      <c r="BJ39" s="438" t="s">
        <v>49</v>
      </c>
      <c r="BK39" s="438" t="s">
        <v>602</v>
      </c>
      <c r="BL39" s="17" t="s">
        <v>111</v>
      </c>
      <c r="BM39" s="447"/>
      <c r="BN39" s="447">
        <v>5.8501527145575098E-2</v>
      </c>
      <c r="BO39" s="447"/>
      <c r="BP39" s="447"/>
      <c r="BQ39" s="447"/>
      <c r="BR39" s="447"/>
      <c r="BS39" s="447">
        <v>400.34576621217161</v>
      </c>
      <c r="BT39" s="447">
        <v>2497.840827596086</v>
      </c>
      <c r="BU39" s="447"/>
      <c r="BV39" s="438">
        <f t="shared" si="1"/>
        <v>1</v>
      </c>
      <c r="BW39" s="438">
        <f>IF(BV39=1,COUNTIF($BV$2:BV39,1),"")</f>
        <v>38</v>
      </c>
      <c r="BZ39" s="194"/>
      <c r="CA39" s="194"/>
      <c r="CB39" s="194"/>
      <c r="CC39" s="194"/>
      <c r="CD39" s="194"/>
      <c r="CE39" s="194"/>
      <c r="CF39" s="194"/>
      <c r="CG39" s="194"/>
      <c r="CH39" s="194"/>
    </row>
    <row r="40" spans="1:86" ht="28.9" customHeight="1" x14ac:dyDescent="0.25">
      <c r="A40" s="438" t="str">
        <f>IFERROR(INDEX($AZ$2:$AZ$87,MATCH(ROWS($A$29:A40),$BW$2:$BW$87,0)),"")</f>
        <v>Google Youth Employment Opportunity Impact Labs (Jordan and Kenya)</v>
      </c>
      <c r="B40" s="439">
        <f>IF($A40="","",IFERROR(INDEX($BX$2:$BX$87,MATCH(ROWS($A$29:A40),$BW$2:$BW$87,0)),""))</f>
        <v>0</v>
      </c>
      <c r="C40" s="440" t="str">
        <f>IF($A40="","",INDEX($BB$2:$BB$87,MATCH(ROWS($A$29:A40),$BW$2:$BW$87,0)))</f>
        <v>Google</v>
      </c>
      <c r="D40" s="441" t="str">
        <f>IF($A40="","",INDEX($BD$2:$BD$87,MATCH(ROWS($A$29:A40),$BW$2:$BW$87,0)))</f>
        <v>Non-Agriculture</v>
      </c>
      <c r="E40" s="441" t="str">
        <f>IF($A40="","",INDEX($BF$2:$BF$87,MATCH(ROWS($A$29:A40),$BW$2:$BW$87,0)))</f>
        <v>1-4 years</v>
      </c>
      <c r="F40" s="441" t="str">
        <f>IF($A40="","",INDEX($BH$2:$BH$87,MATCH(ROWS($A$29:A40),$BW$2:$BW$87,0)))</f>
        <v>Politically Constrained Only</v>
      </c>
      <c r="G40" s="440" t="str">
        <f>IF($A40="","",INDEX($BI$2:$BI$87,MATCH(ROWS($A$29:A40),$BW$2:$BW$87,0)))</f>
        <v>Mixed</v>
      </c>
      <c r="H40" s="440" t="str">
        <f>IF($A40="","",INDEX($BJ$2:$BJ$87,MATCH(ROWS($A$29:A40),$BW$2:$BW$87,0)))</f>
        <v>Stable</v>
      </c>
      <c r="I40" s="441" t="str">
        <f>IF($A40="","",INDEX($BK$2:$BK$87,MATCH(ROWS($A$29:A40),$BW$2:$BW$87,0)))</f>
        <v>income improvement; food security &amp; resilience</v>
      </c>
      <c r="J40" s="441" t="str">
        <f>IF($A40="","",
 _xlfn.LET(
   _xlpm.link,TRIM(INDEX($BL$2:$BL$87,MATCH(ROWS($A$29:A40),$BW$2:$BW$87,0))),
   IF(OR(_xlpm.link="",UPPER(_xlpm.link)="N/A"),"N/A",
      IF(OR(LEFT(_xlpm.link,7)="http://",LEFT(_xlpm.link,8)="https://"),
         HYPERLINK(_xlpm.link,_xlpm.link),
         _xlpm.link
      )
   )
 ))</f>
        <v>N/A - report provided by Mercy Corps</v>
      </c>
      <c r="K40" s="490"/>
      <c r="L40" s="490"/>
      <c r="M40" s="490"/>
      <c r="N40" s="490"/>
      <c r="AZ40" s="438" t="s">
        <v>223</v>
      </c>
      <c r="BA40" s="469" t="s">
        <v>224</v>
      </c>
      <c r="BB40" s="438" t="s">
        <v>104</v>
      </c>
      <c r="BC40" s="438" t="s">
        <v>226</v>
      </c>
      <c r="BD40" s="438" t="s">
        <v>729</v>
      </c>
      <c r="BE40" s="438" t="s">
        <v>778</v>
      </c>
      <c r="BF40" s="438" t="s">
        <v>716</v>
      </c>
      <c r="BG40" s="438" t="s">
        <v>673</v>
      </c>
      <c r="BH40" s="438" t="s">
        <v>728</v>
      </c>
      <c r="BI40" s="438" t="s">
        <v>589</v>
      </c>
      <c r="BJ40" s="438" t="s">
        <v>49</v>
      </c>
      <c r="BK40" s="438" t="s">
        <v>594</v>
      </c>
      <c r="BL40" s="17" t="s">
        <v>227</v>
      </c>
      <c r="BM40" s="447"/>
      <c r="BN40" s="447">
        <v>1.198347107438017</v>
      </c>
      <c r="BO40" s="447"/>
      <c r="BP40" s="447"/>
      <c r="BQ40" s="447">
        <v>2963.2653061224491</v>
      </c>
      <c r="BR40" s="447">
        <v>337.46556473829202</v>
      </c>
      <c r="BS40" s="447"/>
      <c r="BT40" s="447"/>
      <c r="BU40" s="447"/>
      <c r="BV40" s="438">
        <f t="shared" si="1"/>
        <v>1</v>
      </c>
      <c r="BW40" s="438">
        <f>IF(BV40=1,COUNTIF($BV$2:BV40,1),"")</f>
        <v>39</v>
      </c>
      <c r="BZ40" s="194"/>
      <c r="CA40" s="194"/>
      <c r="CB40" s="194"/>
      <c r="CC40" s="194"/>
      <c r="CD40" s="194"/>
      <c r="CE40" s="194"/>
      <c r="CF40" s="194"/>
      <c r="CG40" s="194"/>
      <c r="CH40" s="194"/>
    </row>
    <row r="41" spans="1:86" ht="28.9" customHeight="1" x14ac:dyDescent="0.25">
      <c r="A41" s="438" t="str">
        <f>IFERROR(INDEX($AZ$2:$AZ$87,MATCH(ROWS($A$29:A41),$BW$2:$BW$87,0)),"")</f>
        <v>Promoting Sustainable Partnerships for 
Economic Transformation</v>
      </c>
      <c r="B41" s="439">
        <f>IF($A41="","",IFERROR(INDEX($BX$2:$BX$87,MATCH(ROWS($A$29:A41),$BW$2:$BW$87,0)),""))</f>
        <v>0</v>
      </c>
      <c r="C41" s="440" t="str">
        <f>IF($A41="","",INDEX($BB$2:$BB$87,MATCH(ROWS($A$29:A41),$BW$2:$BW$87,0)))</f>
        <v>Sida</v>
      </c>
      <c r="D41" s="441" t="str">
        <f>IF($A41="","",INDEX($BD$2:$BD$87,MATCH(ROWS($A$29:A41),$BW$2:$BW$87,0)))</f>
        <v>Agriculture</v>
      </c>
      <c r="E41" s="441" t="str">
        <f>IF($A41="","",INDEX($BF$2:$BF$87,MATCH(ROWS($A$29:A41),$BW$2:$BW$87,0)))</f>
        <v>1-4 years</v>
      </c>
      <c r="F41" s="441" t="str">
        <f>IF($A41="","",INDEX($BH$2:$BH$87,MATCH(ROWS($A$29:A41),$BW$2:$BW$87,0)))</f>
        <v>Macroeconomically Constrained Only</v>
      </c>
      <c r="G41" s="440" t="str">
        <f>IF($A41="","",INDEX($BI$2:$BI$87,MATCH(ROWS($A$29:A41),$BW$2:$BW$87,0)))</f>
        <v>Low-Income</v>
      </c>
      <c r="H41" s="440" t="str">
        <f>IF($A41="","",INDEX($BJ$2:$BJ$87,MATCH(ROWS($A$29:A41),$BW$2:$BW$87,0)))</f>
        <v>Stable</v>
      </c>
      <c r="I41" s="441" t="str">
        <f>IF($A41="","",INDEX($BK$2:$BK$87,MATCH(ROWS($A$29:A41),$BW$2:$BW$87,0)))</f>
        <v>income improvement; food security &amp; resilience</v>
      </c>
      <c r="J41" s="441" t="str">
        <f>IF($A41="","",
 _xlfn.LET(
   _xlpm.link,TRIM(INDEX($BL$2:$BL$87,MATCH(ROWS($A$29:A41),$BW$2:$BW$87,0))),
   IF(OR(_xlpm.link="",UPPER(_xlpm.link)="N/A"),"N/A",
      IF(OR(LEFT(_xlpm.link,7)="http://",LEFT(_xlpm.link,8)="https://"),
         HYPERLINK(_xlpm.link,_xlpm.link),
         _xlpm.link
      )
   )
 ))</f>
        <v>N/A - report provided by Mercy Corps</v>
      </c>
      <c r="K41" s="490"/>
      <c r="L41" s="490"/>
      <c r="M41" s="490"/>
      <c r="N41" s="490"/>
      <c r="AZ41" s="438" t="s">
        <v>228</v>
      </c>
      <c r="BA41" s="469" t="s">
        <v>229</v>
      </c>
      <c r="BB41" s="438" t="s">
        <v>171</v>
      </c>
      <c r="BC41" s="438" t="s">
        <v>39</v>
      </c>
      <c r="BD41" s="438" t="s">
        <v>39</v>
      </c>
      <c r="BE41" s="438" t="s">
        <v>761</v>
      </c>
      <c r="BF41" s="438" t="s">
        <v>766</v>
      </c>
      <c r="BG41" s="438" t="s">
        <v>673</v>
      </c>
      <c r="BH41" s="438" t="s">
        <v>728</v>
      </c>
      <c r="BI41" s="438" t="s">
        <v>586</v>
      </c>
      <c r="BJ41" s="438" t="s">
        <v>49</v>
      </c>
      <c r="BK41" s="438" t="s">
        <v>617</v>
      </c>
      <c r="BL41" s="17" t="s">
        <v>231</v>
      </c>
      <c r="BM41" s="447"/>
      <c r="BN41" s="447">
        <v>2.3868531215083291</v>
      </c>
      <c r="BO41" s="447">
        <v>1.91583937848875</v>
      </c>
      <c r="BP41" s="447"/>
      <c r="BQ41" s="447">
        <v>350.32563460334279</v>
      </c>
      <c r="BR41" s="447">
        <v>2854.487086371093</v>
      </c>
      <c r="BS41" s="447"/>
      <c r="BT41" s="447"/>
      <c r="BU41" s="447"/>
      <c r="BV41" s="438">
        <f t="shared" si="1"/>
        <v>1</v>
      </c>
      <c r="BW41" s="438">
        <f>IF(BV41=1,COUNTIF($BV$2:BV41,1),"")</f>
        <v>40</v>
      </c>
    </row>
    <row r="42" spans="1:86" ht="24" customHeight="1" x14ac:dyDescent="0.25">
      <c r="A42" s="438" t="str">
        <f>IFERROR(INDEX($AZ$2:$AZ$87,MATCH(ROWS($A$29:A42),$BW$2:$BW$87,0)),"")</f>
        <v>Economic Empowerment of Guatemalan Indigenous Youth and Women</v>
      </c>
      <c r="B42" s="439">
        <f>IF($A42="","",IFERROR(INDEX($BX$2:$BX$87,MATCH(ROWS($A$29:A42),$BW$2:$BW$87,0)),""))</f>
        <v>0</v>
      </c>
      <c r="C42" s="440" t="str">
        <f>IF($A42="","",INDEX($BB$2:$BB$87,MATCH(ROWS($A$29:A42),$BW$2:$BW$87,0)))</f>
        <v>Sida</v>
      </c>
      <c r="D42" s="441" t="str">
        <f>IF($A42="","",INDEX($BD$2:$BD$87,MATCH(ROWS($A$29:A42),$BW$2:$BW$87,0)))</f>
        <v>Agriculture</v>
      </c>
      <c r="E42" s="441" t="str">
        <f>IF($A42="","",INDEX($BF$2:$BF$87,MATCH(ROWS($A$29:A42),$BW$2:$BW$87,0)))</f>
        <v>1-4 years</v>
      </c>
      <c r="F42" s="441" t="str">
        <f>IF($A42="","",INDEX($BH$2:$BH$87,MATCH(ROWS($A$29:A42),$BW$2:$BW$87,0)))</f>
        <v>Macroeconomically Constrained Only</v>
      </c>
      <c r="G42" s="440" t="str">
        <f>IF($A42="","",INDEX($BI$2:$BI$87,MATCH(ROWS($A$29:A42),$BW$2:$BW$87,0)))</f>
        <v>Upper-Middle Income</v>
      </c>
      <c r="H42" s="440" t="str">
        <f>IF($A42="","",INDEX($BJ$2:$BJ$87,MATCH(ROWS($A$29:A42),$BW$2:$BW$87,0)))</f>
        <v>Stable</v>
      </c>
      <c r="I42" s="441" t="str">
        <f>IF($A42="","",INDEX($BK$2:$BK$87,MATCH(ROWS($A$29:A42),$BW$2:$BW$87,0)))</f>
        <v>job creation, income improvement; food security &amp; resilience</v>
      </c>
      <c r="J42" s="441" t="str">
        <f>IF($A42="","",
 _xlfn.LET(
   _xlpm.link,TRIM(INDEX($BL$2:$BL$87,MATCH(ROWS($A$29:A42),$BW$2:$BW$87,0))),
   IF(OR(_xlpm.link="",UPPER(_xlpm.link)="N/A"),"N/A",
      IF(OR(LEFT(_xlpm.link,7)="http://",LEFT(_xlpm.link,8)="https://"),
         HYPERLINK(_xlpm.link,_xlpm.link),
         _xlpm.link
      )
   )
 ))</f>
        <v>N/A - report provided by Sida</v>
      </c>
      <c r="K42" s="490"/>
      <c r="L42" s="490"/>
      <c r="M42" s="490"/>
      <c r="N42" s="490"/>
      <c r="AZ42" s="438" t="s">
        <v>232</v>
      </c>
      <c r="BA42" s="486" t="s">
        <v>233</v>
      </c>
      <c r="BB42" s="438" t="s">
        <v>234</v>
      </c>
      <c r="BC42" s="438" t="s">
        <v>237</v>
      </c>
      <c r="BD42" s="438" t="s">
        <v>597</v>
      </c>
      <c r="BE42" s="438" t="s">
        <v>761</v>
      </c>
      <c r="BF42" s="438" t="s">
        <v>718</v>
      </c>
      <c r="BG42" s="438" t="s">
        <v>674</v>
      </c>
      <c r="BH42" s="438" t="s">
        <v>727</v>
      </c>
      <c r="BI42" s="438" t="s">
        <v>597</v>
      </c>
      <c r="BJ42" s="438" t="s">
        <v>42</v>
      </c>
      <c r="BK42" s="438" t="s">
        <v>238</v>
      </c>
      <c r="BL42" s="17" t="s">
        <v>239</v>
      </c>
      <c r="BM42" s="447"/>
      <c r="BN42" s="447">
        <v>0.1058823529411765</v>
      </c>
      <c r="BO42" s="447"/>
      <c r="BP42" s="447"/>
      <c r="BQ42" s="447"/>
      <c r="BR42" s="447"/>
      <c r="BS42" s="447"/>
      <c r="BT42" s="447"/>
      <c r="BU42" s="447"/>
      <c r="BV42" s="438">
        <f t="shared" si="1"/>
        <v>1</v>
      </c>
      <c r="BW42" s="438">
        <f>IF(BV42=1,COUNTIF($BV$2:BV42,1),"")</f>
        <v>41</v>
      </c>
    </row>
    <row r="43" spans="1:86" ht="28.9" customHeight="1" x14ac:dyDescent="0.25">
      <c r="A43" s="438" t="str">
        <f>IFERROR(INDEX($AZ$2:$AZ$87,MATCH(ROWS($A$29:A43),$BW$2:$BW$87,0)),"")</f>
        <v>Increasing Market Employability</v>
      </c>
      <c r="B43" s="439">
        <f>IF($A43="","",IFERROR(INDEX($BX$2:$BX$87,MATCH(ROWS($A$29:A43),$BW$2:$BW$87,0)),""))</f>
        <v>0</v>
      </c>
      <c r="C43" s="440" t="str">
        <f>IF($A43="","",INDEX($BB$2:$BB$87,MATCH(ROWS($A$29:A43),$BW$2:$BW$87,0)))</f>
        <v>SDC</v>
      </c>
      <c r="D43" s="441" t="str">
        <f>IF($A43="","",INDEX($BD$2:$BD$87,MATCH(ROWS($A$29:A43),$BW$2:$BW$87,0)))</f>
        <v>Mixed</v>
      </c>
      <c r="E43" s="441" t="str">
        <f>IF($A43="","",INDEX($BF$2:$BF$87,MATCH(ROWS($A$29:A43),$BW$2:$BW$87,0)))</f>
        <v>1-4 years</v>
      </c>
      <c r="F43" s="441" t="str">
        <f>IF($A43="","",INDEX($BH$2:$BH$87,MATCH(ROWS($A$29:A43),$BW$2:$BW$87,0)))</f>
        <v>Stable</v>
      </c>
      <c r="G43" s="440" t="str">
        <f>IF($A43="","",INDEX($BI$2:$BI$87,MATCH(ROWS($A$29:A43),$BW$2:$BW$87,0)))</f>
        <v>Upper-Middle Income</v>
      </c>
      <c r="H43" s="440" t="str">
        <f>IF($A43="","",INDEX($BJ$2:$BJ$87,MATCH(ROWS($A$29:A43),$BW$2:$BW$87,0)))</f>
        <v>Stable</v>
      </c>
      <c r="I43" s="441" t="str">
        <f>IF($A43="","",INDEX($BK$2:$BK$87,MATCH(ROWS($A$29:A43),$BW$2:$BW$87,0)))</f>
        <v>job creation; income improvement; food security &amp; resilience</v>
      </c>
      <c r="J43" s="441" t="str">
        <f>IF($A43="","",
 _xlfn.LET(
   _xlpm.link,TRIM(INDEX($BL$2:$BL$87,MATCH(ROWS($A$29:A43),$BW$2:$BW$87,0))),
   IF(OR(_xlpm.link="",UPPER(_xlpm.link)="N/A"),"N/A",
      IF(OR(LEFT(_xlpm.link,7)="http://",LEFT(_xlpm.link,8)="https://"),
         HYPERLINK(_xlpm.link,_xlpm.link),
         _xlpm.link
      )
   )
 ))</f>
        <v>https://beamexchange.org/implement/programme-index/ime-increasing-market-employability/</v>
      </c>
      <c r="K43" s="490"/>
      <c r="L43" s="490"/>
      <c r="M43" s="490"/>
      <c r="N43" s="490"/>
      <c r="AZ43" s="438" t="s">
        <v>553</v>
      </c>
      <c r="BA43" s="469" t="s">
        <v>242</v>
      </c>
      <c r="BB43" s="438" t="s">
        <v>171</v>
      </c>
      <c r="BC43" s="438" t="s">
        <v>39</v>
      </c>
      <c r="BD43" s="438" t="s">
        <v>39</v>
      </c>
      <c r="BE43" s="438" t="s">
        <v>761</v>
      </c>
      <c r="BF43" s="438" t="s">
        <v>766</v>
      </c>
      <c r="BG43" s="438" t="s">
        <v>674</v>
      </c>
      <c r="BH43" s="438" t="s">
        <v>727</v>
      </c>
      <c r="BI43" s="438" t="s">
        <v>583</v>
      </c>
      <c r="BJ43" s="438" t="s">
        <v>49</v>
      </c>
      <c r="BK43" s="438" t="s">
        <v>617</v>
      </c>
      <c r="BL43" s="17" t="s">
        <v>231</v>
      </c>
      <c r="BM43" s="447"/>
      <c r="BN43" s="447">
        <v>1.291848294117647</v>
      </c>
      <c r="BO43" s="447">
        <v>18.853573058823532</v>
      </c>
      <c r="BP43" s="447">
        <v>0.14420347058823529</v>
      </c>
      <c r="BQ43" s="447">
        <v>366.73498004530262</v>
      </c>
      <c r="BR43" s="447">
        <v>2726.7647058823532</v>
      </c>
      <c r="BS43" s="447">
        <v>59.221275068888268</v>
      </c>
      <c r="BT43" s="447">
        <v>16885.823529411769</v>
      </c>
      <c r="BU43" s="447"/>
      <c r="BV43" s="438">
        <f t="shared" si="1"/>
        <v>1</v>
      </c>
      <c r="BW43" s="438">
        <f>IF(BV43=1,COUNTIF($BV$2:BV43,1),"")</f>
        <v>42</v>
      </c>
    </row>
    <row r="44" spans="1:86" ht="29.45" customHeight="1" x14ac:dyDescent="0.25">
      <c r="A44" s="438" t="str">
        <f>IFERROR(INDEX($AZ$2:$AZ$87,MATCH(ROWS($A$29:A44),$BW$2:$BW$87,0)),"")</f>
        <v>Market Opportunities for Livelihood Improvement (Phase 2)</v>
      </c>
      <c r="B44" s="439">
        <f>IF($A44="","",IFERROR(INDEX($BX$2:$BX$87,MATCH(ROWS($A$29:A44),$BW$2:$BW$87,0)),""))</f>
        <v>0</v>
      </c>
      <c r="C44" s="440" t="str">
        <f>IF($A44="","",INDEX($BB$2:$BB$87,MATCH(ROWS($A$29:A44),$BW$2:$BW$87,0)))</f>
        <v>SDC</v>
      </c>
      <c r="D44" s="441" t="str">
        <f>IF($A44="","",INDEX($BD$2:$BD$87,MATCH(ROWS($A$29:A44),$BW$2:$BW$87,0)))</f>
        <v>Agriculture</v>
      </c>
      <c r="E44" s="441" t="str">
        <f>IF($A44="","",INDEX($BF$2:$BF$87,MATCH(ROWS($A$29:A44),$BW$2:$BW$87,0)))</f>
        <v>5-8 years</v>
      </c>
      <c r="F44" s="441" t="str">
        <f>IF($A44="","",INDEX($BH$2:$BH$87,MATCH(ROWS($A$29:A44),$BW$2:$BW$87,0)))</f>
        <v>Macroeconomically Constrained Only</v>
      </c>
      <c r="G44" s="440" t="str">
        <f>IF($A44="","",INDEX($BI$2:$BI$87,MATCH(ROWS($A$29:A44),$BW$2:$BW$87,0)))</f>
        <v>Upper-Middle Income</v>
      </c>
      <c r="H44" s="440" t="str">
        <f>IF($A44="","",INDEX($BJ$2:$BJ$87,MATCH(ROWS($A$29:A44),$BW$2:$BW$87,0)))</f>
        <v>Stable</v>
      </c>
      <c r="I44" s="441" t="str">
        <f>IF($A44="","",INDEX($BK$2:$BK$87,MATCH(ROWS($A$29:A44),$BW$2:$BW$87,0)))</f>
        <v>income improvement; food security &amp; resilience</v>
      </c>
      <c r="J44" s="441" t="str">
        <f>IF($A44="","",
 _xlfn.LET(
   _xlpm.link,TRIM(INDEX($BL$2:$BL$87,MATCH(ROWS($A$29:A44),$BW$2:$BW$87,0))),
   IF(OR(_xlpm.link="",UPPER(_xlpm.link)="N/A"),"N/A",
      IF(OR(LEFT(_xlpm.link,7)="http://",LEFT(_xlpm.link,8)="https://"),
         HYPERLINK(_xlpm.link,_xlpm.link),
         _xlpm.link
      )
   )
 ))</f>
        <v>https://beamexchange.org/implement/programme-index/moli-market-opportunities-for-livelihood-improvement-phase-2/</v>
      </c>
      <c r="K44" s="490"/>
      <c r="L44" s="490"/>
      <c r="M44" s="490"/>
      <c r="N44" s="490"/>
      <c r="AZ44" s="438" t="s">
        <v>608</v>
      </c>
      <c r="BA44" s="487" t="s">
        <v>340</v>
      </c>
      <c r="BB44" s="438" t="s">
        <v>104</v>
      </c>
      <c r="BC44" s="438" t="s">
        <v>39</v>
      </c>
      <c r="BD44" s="438" t="s">
        <v>39</v>
      </c>
      <c r="BE44" s="438" t="s">
        <v>771</v>
      </c>
      <c r="BF44" s="438" t="s">
        <v>716</v>
      </c>
      <c r="BG44" s="438" t="s">
        <v>673</v>
      </c>
      <c r="BH44" s="438" t="s">
        <v>728</v>
      </c>
      <c r="BI44" s="438" t="s">
        <v>583</v>
      </c>
      <c r="BJ44" s="438" t="s">
        <v>49</v>
      </c>
      <c r="BK44" s="438" t="s">
        <v>594</v>
      </c>
      <c r="BL44" s="17" t="s">
        <v>305</v>
      </c>
      <c r="BM44" s="447">
        <v>132.465622476475</v>
      </c>
      <c r="BN44" s="447">
        <v>6.5921787709497207E-2</v>
      </c>
      <c r="BO44" s="447">
        <v>10.851955307262569</v>
      </c>
      <c r="BP44" s="447"/>
      <c r="BQ44" s="447">
        <v>4772.0607837909893</v>
      </c>
      <c r="BR44" s="447">
        <v>209.55307262569829</v>
      </c>
      <c r="BS44" s="447">
        <v>192.67822736030831</v>
      </c>
      <c r="BT44" s="447">
        <v>5190</v>
      </c>
      <c r="BU44" s="447">
        <v>0.68749658065290509</v>
      </c>
      <c r="BV44" s="438">
        <f t="shared" si="1"/>
        <v>1</v>
      </c>
      <c r="BW44" s="438">
        <f>IF(BV44=1,COUNTIF($BV$2:BV44,1),"")</f>
        <v>43</v>
      </c>
    </row>
    <row r="45" spans="1:86" ht="28.9" customHeight="1" x14ac:dyDescent="0.25">
      <c r="A45" s="438" t="str">
        <f>IFERROR(INDEX($AZ$2:$AZ$87,MATCH(ROWS($A$29:A45),$BW$2:$BW$87,0)),"")</f>
        <v>Women in Business</v>
      </c>
      <c r="B45" s="439">
        <f>IF($A45="","",IFERROR(INDEX($BX$2:$BX$87,MATCH(ROWS($A$29:A45),$BW$2:$BW$87,0)),""))</f>
        <v>0</v>
      </c>
      <c r="C45" s="440" t="str">
        <f>IF($A45="","",INDEX($BB$2:$BB$87,MATCH(ROWS($A$29:A45),$BW$2:$BW$87,0)))</f>
        <v>Sida</v>
      </c>
      <c r="D45" s="441" t="str">
        <f>IF($A45="","",INDEX($BD$2:$BD$87,MATCH(ROWS($A$29:A45),$BW$2:$BW$87,0)))</f>
        <v>Non-Agriculture</v>
      </c>
      <c r="E45" s="441" t="str">
        <f>IF($A45="","",INDEX($BF$2:$BF$87,MATCH(ROWS($A$29:A45),$BW$2:$BW$87,0)))</f>
        <v>5-8 years</v>
      </c>
      <c r="F45" s="441" t="str">
        <f>IF($A45="","",INDEX($BH$2:$BH$87,MATCH(ROWS($A$29:A45),$BW$2:$BW$87,0)))</f>
        <v>Politically Constrained Only</v>
      </c>
      <c r="G45" s="440" t="str">
        <f>IF($A45="","",INDEX($BI$2:$BI$87,MATCH(ROWS($A$29:A45),$BW$2:$BW$87,0)))</f>
        <v>Low-Income</v>
      </c>
      <c r="H45" s="440" t="str">
        <f>IF($A45="","",INDEX($BJ$2:$BJ$87,MATCH(ROWS($A$29:A45),$BW$2:$BW$87,0)))</f>
        <v>FCAS</v>
      </c>
      <c r="I45" s="441" t="str">
        <f>IF($A45="","",INDEX($BK$2:$BK$87,MATCH(ROWS($A$29:A45),$BW$2:$BW$87,0)))</f>
        <v>job creation, food security &amp; resilience</v>
      </c>
      <c r="J45" s="441" t="str">
        <f>IF($A45="","",
 _xlfn.LET(
   _xlpm.link,TRIM(INDEX($BL$2:$BL$87,MATCH(ROWS($A$29:A45),$BW$2:$BW$87,0))),
   IF(OR(_xlpm.link="",UPPER(_xlpm.link)="N/A"),"N/A",
      IF(OR(LEFT(_xlpm.link,7)="http://",LEFT(_xlpm.link,8)="https://"),
         HYPERLINK(_xlpm.link,_xlpm.link),
         _xlpm.link
      )
   )
 ))</f>
        <v>https://beamexchange.org/implement/programme-index/win-women-in-business/</v>
      </c>
      <c r="K45" s="490"/>
      <c r="L45" s="490"/>
      <c r="M45" s="490"/>
      <c r="N45" s="490"/>
      <c r="AZ45" s="438" t="s">
        <v>547</v>
      </c>
      <c r="BA45" s="469" t="s">
        <v>251</v>
      </c>
      <c r="BB45" s="438" t="s">
        <v>171</v>
      </c>
      <c r="BC45" s="438" t="s">
        <v>39</v>
      </c>
      <c r="BD45" s="438" t="s">
        <v>39</v>
      </c>
      <c r="BE45" s="438" t="s">
        <v>761</v>
      </c>
      <c r="BF45" s="438" t="s">
        <v>718</v>
      </c>
      <c r="BG45" s="438" t="s">
        <v>673</v>
      </c>
      <c r="BH45" s="438" t="s">
        <v>728</v>
      </c>
      <c r="BI45" s="438" t="s">
        <v>589</v>
      </c>
      <c r="BJ45" s="438" t="s">
        <v>49</v>
      </c>
      <c r="BK45" s="438" t="s">
        <v>615</v>
      </c>
      <c r="BL45" s="17" t="s">
        <v>183</v>
      </c>
      <c r="BM45" s="447"/>
      <c r="BN45" s="447">
        <v>2.2226687072777689</v>
      </c>
      <c r="BO45" s="447"/>
      <c r="BP45" s="447"/>
      <c r="BQ45" s="447">
        <v>25413.3040446304</v>
      </c>
      <c r="BR45" s="447">
        <v>39.349468225139773</v>
      </c>
      <c r="BS45" s="447"/>
      <c r="BT45" s="447"/>
      <c r="BU45" s="447"/>
      <c r="BV45" s="438">
        <f t="shared" si="1"/>
        <v>1</v>
      </c>
      <c r="BW45" s="438">
        <f>IF(BV45=1,COUNTIF($BV$2:BV45,1),"")</f>
        <v>44</v>
      </c>
    </row>
    <row r="46" spans="1:86" ht="24" customHeight="1" x14ac:dyDescent="0.25">
      <c r="A46" s="438" t="str">
        <f>IFERROR(INDEX($AZ$2:$AZ$87,MATCH(ROWS($A$29:A46),$BW$2:$BW$87,0)),"")</f>
        <v>Revitalizing agriculture incomes and new markets</v>
      </c>
      <c r="B46" s="439">
        <f>IF($A46="","",IFERROR(INDEX($BX$2:$BX$87,MATCH(ROWS($A$29:A46),$BW$2:$BW$87,0)),""))</f>
        <v>0</v>
      </c>
      <c r="C46" s="440" t="str">
        <f>IF($A46="","",INDEX($BB$2:$BB$87,MATCH(ROWS($A$29:A46),$BW$2:$BW$87,0)))</f>
        <v>USDA</v>
      </c>
      <c r="D46" s="441" t="str">
        <f>IF($A46="","",INDEX($BD$2:$BD$87,MATCH(ROWS($A$29:A46),$BW$2:$BW$87,0)))</f>
        <v>Agriculture</v>
      </c>
      <c r="E46" s="441" t="str">
        <f>IF($A46="","",INDEX($BF$2:$BF$87,MATCH(ROWS($A$29:A46),$BW$2:$BW$87,0)))</f>
        <v>5-8 years</v>
      </c>
      <c r="F46" s="441" t="str">
        <f>IF($A46="","",INDEX($BH$2:$BH$87,MATCH(ROWS($A$29:A46),$BW$2:$BW$87,0)))</f>
        <v>Politically Constrained Only</v>
      </c>
      <c r="G46" s="440" t="str">
        <f>IF($A46="","",INDEX($BI$2:$BI$87,MATCH(ROWS($A$29:A46),$BW$2:$BW$87,0)))</f>
        <v>Low-Income</v>
      </c>
      <c r="H46" s="440" t="str">
        <f>IF($A46="","",INDEX($BJ$2:$BJ$87,MATCH(ROWS($A$29:A46),$BW$2:$BW$87,0)))</f>
        <v>Stable</v>
      </c>
      <c r="I46" s="441" t="str">
        <f>IF($A46="","",INDEX($BK$2:$BK$87,MATCH(ROWS($A$29:A46),$BW$2:$BW$87,0)))</f>
        <v>income improvement; food security &amp; resilience</v>
      </c>
      <c r="J46" s="441" t="str">
        <f>IF($A46="","",
 _xlfn.LET(
   _xlpm.link,TRIM(INDEX($BL$2:$BL$87,MATCH(ROWS($A$29:A46),$BW$2:$BW$87,0))),
   IF(OR(_xlpm.link="",UPPER(_xlpm.link)="N/A"),"N/A",
      IF(OR(LEFT(_xlpm.link,7)="http://",LEFT(_xlpm.link,8)="https://"),
         HYPERLINK(_xlpm.link,_xlpm.link),
         _xlpm.link
      )
   )
 ))</f>
        <v>N/A - report provided by Mercy Corps</v>
      </c>
      <c r="K46" s="490"/>
      <c r="L46" s="490"/>
      <c r="M46" s="490"/>
      <c r="N46" s="490"/>
      <c r="AZ46" s="438" t="s">
        <v>252</v>
      </c>
      <c r="BA46" s="469" t="s">
        <v>253</v>
      </c>
      <c r="BB46" s="438" t="s">
        <v>779</v>
      </c>
      <c r="BC46" s="438" t="s">
        <v>39</v>
      </c>
      <c r="BD46" s="438" t="s">
        <v>39</v>
      </c>
      <c r="BE46" s="438" t="s">
        <v>761</v>
      </c>
      <c r="BF46" s="438" t="s">
        <v>718</v>
      </c>
      <c r="BG46" s="438" t="s">
        <v>674</v>
      </c>
      <c r="BH46" s="438" t="s">
        <v>727</v>
      </c>
      <c r="BI46" s="438" t="s">
        <v>586</v>
      </c>
      <c r="BJ46" s="438" t="s">
        <v>42</v>
      </c>
      <c r="BK46" s="438" t="s">
        <v>594</v>
      </c>
      <c r="BL46" s="17" t="s">
        <v>255</v>
      </c>
      <c r="BM46" s="447">
        <v>502.86619067864939</v>
      </c>
      <c r="BN46" s="447">
        <v>0.94535519125683065</v>
      </c>
      <c r="BO46" s="447"/>
      <c r="BP46" s="447">
        <v>3.3224043715846989E-3</v>
      </c>
      <c r="BQ46" s="447">
        <v>1572.57025006445</v>
      </c>
      <c r="BR46" s="447">
        <v>635.90163934426232</v>
      </c>
      <c r="BS46" s="447"/>
      <c r="BT46" s="447"/>
      <c r="BU46" s="447">
        <v>1.87431693989071</v>
      </c>
      <c r="BV46" s="438">
        <f t="shared" si="1"/>
        <v>1</v>
      </c>
      <c r="BW46" s="438">
        <f>IF(BV46=1,COUNTIF($BV$2:BV46,1),"")</f>
        <v>45</v>
      </c>
    </row>
    <row r="47" spans="1:86" ht="28.9" customHeight="1" x14ac:dyDescent="0.25">
      <c r="A47" s="438" t="str">
        <f>IFERROR(INDEX($AZ$2:$AZ$87,MATCH(ROWS($A$29:A47),$BW$2:$BW$87,0)),"")</f>
        <v>Improving Market Systems for Agriculture in Rwanda</v>
      </c>
      <c r="B47" s="439">
        <f>IF($A47="","",IFERROR(INDEX($BX$2:$BX$87,MATCH(ROWS($A$29:A47),$BW$2:$BW$87,0)),""))</f>
        <v>0</v>
      </c>
      <c r="C47" s="440" t="str">
        <f>IF($A47="","",INDEX($BB$2:$BB$87,MATCH(ROWS($A$29:A47),$BW$2:$BW$87,0)))</f>
        <v>FCDO</v>
      </c>
      <c r="D47" s="441" t="str">
        <f>IF($A47="","",INDEX($BD$2:$BD$87,MATCH(ROWS($A$29:A47),$BW$2:$BW$87,0)))</f>
        <v>Agriculture</v>
      </c>
      <c r="E47" s="441" t="str">
        <f>IF($A47="","",INDEX($BF$2:$BF$87,MATCH(ROWS($A$29:A47),$BW$2:$BW$87,0)))</f>
        <v>1-4 years</v>
      </c>
      <c r="F47" s="441" t="str">
        <f>IF($A47="","",INDEX($BH$2:$BH$87,MATCH(ROWS($A$29:A47),$BW$2:$BW$87,0)))</f>
        <v>Macroeconomically Constrained Only</v>
      </c>
      <c r="G47" s="440" t="str">
        <f>IF($A47="","",INDEX($BI$2:$BI$87,MATCH(ROWS($A$29:A47),$BW$2:$BW$87,0)))</f>
        <v>Low-Income</v>
      </c>
      <c r="H47" s="440" t="str">
        <f>IF($A47="","",INDEX($BJ$2:$BJ$87,MATCH(ROWS($A$29:A47),$BW$2:$BW$87,0)))</f>
        <v>Stable</v>
      </c>
      <c r="I47" s="441" t="str">
        <f>IF($A47="","",INDEX($BK$2:$BK$87,MATCH(ROWS($A$29:A47),$BW$2:$BW$87,0)))</f>
        <v>food security &amp; resilience; income improvement</v>
      </c>
      <c r="J47" s="441" t="str">
        <f>IF($A47="","",
 _xlfn.LET(
   _xlpm.link,TRIM(INDEX($BL$2:$BL$87,MATCH(ROWS($A$29:A47),$BW$2:$BW$87,0))),
   IF(OR(_xlpm.link="",UPPER(_xlpm.link)="N/A"),"N/A",
      IF(OR(LEFT(_xlpm.link,7)="http://",LEFT(_xlpm.link,8)="https://"),
         HYPERLINK(_xlpm.link,_xlpm.link),
         _xlpm.link
      )
   )
 ))</f>
        <v>https://beamexchange.org/implement/programme-index/imsar-improving-market-systems-for-agriculture-in-rwanda/</v>
      </c>
      <c r="K47" s="490"/>
      <c r="L47" s="490"/>
      <c r="M47" s="490"/>
      <c r="N47" s="490"/>
      <c r="AZ47" s="438" t="s">
        <v>256</v>
      </c>
      <c r="BA47" s="469" t="s">
        <v>257</v>
      </c>
      <c r="BB47" s="438" t="s">
        <v>80</v>
      </c>
      <c r="BC47" s="438" t="s">
        <v>259</v>
      </c>
      <c r="BD47" s="438" t="s">
        <v>729</v>
      </c>
      <c r="BE47" s="438" t="s">
        <v>771</v>
      </c>
      <c r="BF47" s="438" t="s">
        <v>766</v>
      </c>
      <c r="BG47" s="438" t="s">
        <v>587</v>
      </c>
      <c r="BH47" s="438" t="s">
        <v>764</v>
      </c>
      <c r="BI47" s="438" t="s">
        <v>586</v>
      </c>
      <c r="BJ47" s="438" t="s">
        <v>49</v>
      </c>
      <c r="BK47" s="438" t="s">
        <v>617</v>
      </c>
      <c r="BL47" s="17" t="s">
        <v>54</v>
      </c>
      <c r="BM47" s="447"/>
      <c r="BN47" s="447">
        <v>0.27439534843134977</v>
      </c>
      <c r="BO47" s="447"/>
      <c r="BP47" s="447"/>
      <c r="BQ47" s="447">
        <v>90.833172579299855</v>
      </c>
      <c r="BR47" s="447">
        <v>11009.193795658441</v>
      </c>
      <c r="BS47" s="447">
        <v>260.46186094326958</v>
      </c>
      <c r="BT47" s="447">
        <v>3839.333698908828</v>
      </c>
      <c r="BU47" s="447"/>
      <c r="BV47" s="438">
        <f t="shared" si="1"/>
        <v>1</v>
      </c>
      <c r="BW47" s="438">
        <f>IF(BV47=1,COUNTIF($BV$2:BV47,1),"")</f>
        <v>46</v>
      </c>
    </row>
    <row r="48" spans="1:86" ht="28.9" customHeight="1" x14ac:dyDescent="0.25">
      <c r="A48" s="438" t="str">
        <f>IFERROR(INDEX($AZ$2:$AZ$87,MATCH(ROWS($A$29:A48),$BW$2:$BW$87,0)),"")</f>
        <v>Prosperity for the Poor and Disadvantaged (Phase 2)</v>
      </c>
      <c r="B48" s="439">
        <f>IF($A48="","",IFERROR(INDEX($BX$2:$BX$87,MATCH(ROWS($A$29:A48),$BW$2:$BW$87,0)),""))</f>
        <v>0</v>
      </c>
      <c r="C48" s="440" t="str">
        <f>IF($A48="","",INDEX($BB$2:$BB$87,MATCH(ROWS($A$29:A48),$BW$2:$BW$87,0)))</f>
        <v>SDC</v>
      </c>
      <c r="D48" s="441" t="str">
        <f>IF($A48="","",INDEX($BD$2:$BD$87,MATCH(ROWS($A$29:A48),$BW$2:$BW$87,0)))</f>
        <v>Agriculture</v>
      </c>
      <c r="E48" s="441" t="str">
        <f>IF($A48="","",INDEX($BF$2:$BF$87,MATCH(ROWS($A$29:A48),$BW$2:$BW$87,0)))</f>
        <v>1-4 years</v>
      </c>
      <c r="F48" s="441" t="str">
        <f>IF($A48="","",INDEX($BH$2:$BH$87,MATCH(ROWS($A$29:A48),$BW$2:$BW$87,0)))</f>
        <v>Politically Constrained Only</v>
      </c>
      <c r="G48" s="440" t="str">
        <f>IF($A48="","",INDEX($BI$2:$BI$87,MATCH(ROWS($A$29:A48),$BW$2:$BW$87,0)))</f>
        <v>Lower-Middle Income</v>
      </c>
      <c r="H48" s="440" t="str">
        <f>IF($A48="","",INDEX($BJ$2:$BJ$87,MATCH(ROWS($A$29:A48),$BW$2:$BW$87,0)))</f>
        <v>Stable</v>
      </c>
      <c r="I48" s="441" t="str">
        <f>IF($A48="","",INDEX($BK$2:$BK$87,MATCH(ROWS($A$29:A48),$BW$2:$BW$87,0)))</f>
        <v>food security &amp; resilience; income improvement</v>
      </c>
      <c r="J48" s="441" t="str">
        <f>IF($A48="","",
 _xlfn.LET(
   _xlpm.link,TRIM(INDEX($BL$2:$BL$87,MATCH(ROWS($A$29:A48),$BW$2:$BW$87,0))),
   IF(OR(_xlpm.link="",UPPER(_xlpm.link)="N/A"),"N/A",
      IF(OR(LEFT(_xlpm.link,7)="http://",LEFT(_xlpm.link,8)="https://"),
         HYPERLINK(_xlpm.link,_xlpm.link),
         _xlpm.link
      )
   )
 ))</f>
        <v>https://beamexchange.org/implement/programme-index/shomoshti-prosperity-for-the-poor-and-disadvantaged-phase-2/</v>
      </c>
      <c r="K48" s="490"/>
      <c r="L48" s="490"/>
      <c r="M48" s="490"/>
      <c r="N48" s="490"/>
      <c r="AZ48" s="438" t="s">
        <v>260</v>
      </c>
      <c r="BA48" s="469" t="s">
        <v>261</v>
      </c>
      <c r="BB48" s="438" t="s">
        <v>137</v>
      </c>
      <c r="BC48" s="438" t="s">
        <v>39</v>
      </c>
      <c r="BD48" s="438" t="s">
        <v>39</v>
      </c>
      <c r="BE48" s="438" t="s">
        <v>771</v>
      </c>
      <c r="BF48" s="438" t="s">
        <v>766</v>
      </c>
      <c r="BG48" s="438" t="s">
        <v>673</v>
      </c>
      <c r="BH48" s="438" t="s">
        <v>728</v>
      </c>
      <c r="BI48" s="438" t="s">
        <v>583</v>
      </c>
      <c r="BJ48" s="438" t="s">
        <v>49</v>
      </c>
      <c r="BK48" s="438" t="s">
        <v>613</v>
      </c>
      <c r="BL48" s="17" t="s">
        <v>262</v>
      </c>
      <c r="BM48" s="447">
        <v>613</v>
      </c>
      <c r="BN48" s="447">
        <v>3.7129736842105259</v>
      </c>
      <c r="BO48" s="447"/>
      <c r="BP48" s="447"/>
      <c r="BQ48" s="447"/>
      <c r="BR48" s="447"/>
      <c r="BS48" s="447">
        <v>90.909090909090907</v>
      </c>
      <c r="BT48" s="447">
        <v>11000</v>
      </c>
      <c r="BU48" s="447">
        <v>4.4847975393789472</v>
      </c>
      <c r="BV48" s="438">
        <f t="shared" si="1"/>
        <v>1</v>
      </c>
      <c r="BW48" s="438">
        <f>IF(BV48=1,COUNTIF($BV$2:BV48,1),"")</f>
        <v>47</v>
      </c>
    </row>
    <row r="49" spans="1:75" ht="28.9" customHeight="1" x14ac:dyDescent="0.25">
      <c r="A49" s="438" t="str">
        <f>IFERROR(INDEX($AZ$2:$AZ$87,MATCH(ROWS($A$29:A49),$BW$2:$BW$87,0)),"")</f>
        <v>Food Security and Resilience in Transitioning Environments</v>
      </c>
      <c r="B49" s="439">
        <f>IF($A49="","",IFERROR(INDEX($BX$2:$BX$87,MATCH(ROWS($A$29:A49),$BW$2:$BW$87,0)),""))</f>
        <v>0</v>
      </c>
      <c r="C49" s="440" t="str">
        <f>IF($A49="","",INDEX($BB$2:$BB$87,MATCH(ROWS($A$29:A49),$BW$2:$BW$87,0)))</f>
        <v>EU; World Vision Australia</v>
      </c>
      <c r="D49" s="441" t="str">
        <f>IF($A49="","",INDEX($BD$2:$BD$87,MATCH(ROWS($A$29:A49),$BW$2:$BW$87,0)))</f>
        <v>Agriculture</v>
      </c>
      <c r="E49" s="441" t="str">
        <f>IF($A49="","",INDEX($BF$2:$BF$87,MATCH(ROWS($A$29:A49),$BW$2:$BW$87,0)))</f>
        <v>1-4 years</v>
      </c>
      <c r="F49" s="441" t="str">
        <f>IF($A49="","",INDEX($BH$2:$BH$87,MATCH(ROWS($A$29:A49),$BW$2:$BW$87,0)))</f>
        <v>Politically and Macroeconomically Constrained</v>
      </c>
      <c r="G49" s="440" t="str">
        <f>IF($A49="","",INDEX($BI$2:$BI$87,MATCH(ROWS($A$29:A49),$BW$2:$BW$87,0)))</f>
        <v>Low-Income</v>
      </c>
      <c r="H49" s="440" t="str">
        <f>IF($A49="","",INDEX($BJ$2:$BJ$87,MATCH(ROWS($A$29:A49),$BW$2:$BW$87,0)))</f>
        <v>FCAS</v>
      </c>
      <c r="I49" s="441" t="str">
        <f>IF($A49="","",INDEX($BK$2:$BK$87,MATCH(ROWS($A$29:A49),$BW$2:$BW$87,0)))</f>
        <v>food security &amp; resilience; income improvement</v>
      </c>
      <c r="J49" s="441" t="str">
        <f>IF($A49="","",
 _xlfn.LET(
   _xlpm.link,TRIM(INDEX($BL$2:$BL$87,MATCH(ROWS($A$29:A49),$BW$2:$BW$87,0))),
   IF(OR(_xlpm.link="",UPPER(_xlpm.link)="N/A"),"N/A",
      IF(OR(LEFT(_xlpm.link,7)="http://",LEFT(_xlpm.link,8)="https://"),
         HYPERLINK(_xlpm.link,_xlpm.link),
         _xlpm.link
      )
   )
 ))</f>
        <v>https://beamexchange.org/implement/programme-index/foresite-food-security-and-resilience-in-transitioning-environments/</v>
      </c>
      <c r="K49" s="490"/>
      <c r="L49" s="490"/>
      <c r="M49" s="490"/>
      <c r="N49" s="490"/>
      <c r="AZ49" s="438" t="s">
        <v>614</v>
      </c>
      <c r="BA49" s="469" t="s">
        <v>264</v>
      </c>
      <c r="BB49" s="438" t="s">
        <v>171</v>
      </c>
      <c r="BC49" s="438" t="s">
        <v>39</v>
      </c>
      <c r="BD49" s="438" t="s">
        <v>39</v>
      </c>
      <c r="BE49" s="438" t="s">
        <v>761</v>
      </c>
      <c r="BF49" s="438" t="s">
        <v>718</v>
      </c>
      <c r="BG49" s="438" t="s">
        <v>673</v>
      </c>
      <c r="BH49" s="438" t="s">
        <v>728</v>
      </c>
      <c r="BI49" s="438" t="s">
        <v>583</v>
      </c>
      <c r="BJ49" s="438" t="s">
        <v>49</v>
      </c>
      <c r="BK49" s="438" t="s">
        <v>602</v>
      </c>
      <c r="BL49" s="17" t="s">
        <v>183</v>
      </c>
      <c r="BM49" s="447"/>
      <c r="BN49" s="447">
        <v>0.1154528947368421</v>
      </c>
      <c r="BO49" s="447">
        <v>0.48793510526315792</v>
      </c>
      <c r="BP49" s="447"/>
      <c r="BQ49" s="447"/>
      <c r="BR49" s="447"/>
      <c r="BS49" s="447">
        <v>1713.100712289244</v>
      </c>
      <c r="BT49" s="447">
        <v>583.73684210526312</v>
      </c>
      <c r="BU49" s="447"/>
      <c r="BV49" s="438">
        <f t="shared" si="1"/>
        <v>1</v>
      </c>
      <c r="BW49" s="438">
        <f>IF(BV49=1,COUNTIF($BV$2:BV49,1),"")</f>
        <v>48</v>
      </c>
    </row>
    <row r="50" spans="1:75" ht="28.9" customHeight="1" x14ac:dyDescent="0.25">
      <c r="A50" s="438" t="str">
        <f>IFERROR(INDEX($AZ$2:$AZ$87,MATCH(ROWS($A$29:A50),$BW$2:$BW$87,0)),"")</f>
        <v>Mercados Rurales</v>
      </c>
      <c r="B50" s="439">
        <f>IF($A50="","",IFERROR(INDEX($BX$2:$BX$87,MATCH(ROWS($A$29:A50),$BW$2:$BW$87,0)),""))</f>
        <v>0</v>
      </c>
      <c r="C50" s="440" t="str">
        <f>IF($A50="","",INDEX($BB$2:$BB$87,MATCH(ROWS($A$29:A50),$BW$2:$BW$87,0)))</f>
        <v>SDC</v>
      </c>
      <c r="D50" s="441" t="str">
        <f>IF($A50="","",INDEX($BD$2:$BD$87,MATCH(ROWS($A$29:A50),$BW$2:$BW$87,0)))</f>
        <v>Agriculture</v>
      </c>
      <c r="E50" s="441" t="str">
        <f>IF($A50="","",INDEX($BF$2:$BF$87,MATCH(ROWS($A$29:A50),$BW$2:$BW$87,0)))</f>
        <v>1-4 years</v>
      </c>
      <c r="F50" s="441" t="str">
        <f>IF($A50="","",INDEX($BH$2:$BH$87,MATCH(ROWS($A$29:A50),$BW$2:$BW$87,0)))</f>
        <v>Stable</v>
      </c>
      <c r="G50" s="440" t="str">
        <f>IF($A50="","",INDEX($BI$2:$BI$87,MATCH(ROWS($A$29:A50),$BW$2:$BW$87,0)))</f>
        <v>Lower-Middle Income</v>
      </c>
      <c r="H50" s="440" t="str">
        <f>IF($A50="","",INDEX($BJ$2:$BJ$87,MATCH(ROWS($A$29:A50),$BW$2:$BW$87,0)))</f>
        <v>Stable</v>
      </c>
      <c r="I50" s="441" t="str">
        <f>IF($A50="","",INDEX($BK$2:$BK$87,MATCH(ROWS($A$29:A50),$BW$2:$BW$87,0)))</f>
        <v>income improvement; food security &amp; resilience</v>
      </c>
      <c r="J50" s="441" t="str">
        <f>IF($A50="","",
 _xlfn.LET(
   _xlpm.link,TRIM(INDEX($BL$2:$BL$87,MATCH(ROWS($A$29:A50),$BW$2:$BW$87,0))),
   IF(OR(_xlpm.link="",UPPER(_xlpm.link)="N/A"),"N/A",
      IF(OR(LEFT(_xlpm.link,7)="http://",LEFT(_xlpm.link,8)="https://"),
         HYPERLINK(_xlpm.link,_xlpm.link),
         _xlpm.link
      )
   )
 ))</f>
        <v>https://beamexchange.org/implement/programme-index/mercados-rurales/</v>
      </c>
      <c r="K50" s="490"/>
      <c r="L50" s="490"/>
      <c r="M50" s="490"/>
      <c r="N50" s="490"/>
      <c r="AZ50" s="438" t="s">
        <v>380</v>
      </c>
      <c r="BA50" s="488" t="s">
        <v>381</v>
      </c>
      <c r="BB50" s="438" t="s">
        <v>104</v>
      </c>
      <c r="BC50" s="438" t="s">
        <v>106</v>
      </c>
      <c r="BD50" s="438" t="s">
        <v>729</v>
      </c>
      <c r="BE50" s="438" t="s">
        <v>778</v>
      </c>
      <c r="BF50" s="438" t="s">
        <v>716</v>
      </c>
      <c r="BG50" s="438" t="s">
        <v>673</v>
      </c>
      <c r="BH50" s="438" t="s">
        <v>728</v>
      </c>
      <c r="BI50" s="438" t="s">
        <v>589</v>
      </c>
      <c r="BJ50" s="438" t="s">
        <v>49</v>
      </c>
      <c r="BK50" s="438" t="s">
        <v>107</v>
      </c>
      <c r="BL50" s="17" t="s">
        <v>305</v>
      </c>
      <c r="BM50" s="447"/>
      <c r="BN50" s="447">
        <v>0.52782178217821785</v>
      </c>
      <c r="BO50" s="447">
        <v>1.237623762376238E-2</v>
      </c>
      <c r="BP50" s="447"/>
      <c r="BQ50" s="447">
        <v>3371.1615487316421</v>
      </c>
      <c r="BR50" s="447">
        <v>296.63366336633658</v>
      </c>
      <c r="BS50" s="447">
        <v>8080</v>
      </c>
      <c r="BT50" s="447">
        <v>123.7623762376238</v>
      </c>
      <c r="BU50" s="447"/>
      <c r="BV50" s="438">
        <f t="shared" si="1"/>
        <v>1</v>
      </c>
      <c r="BW50" s="438">
        <f>IF(BV50=1,COUNTIF($BV$2:BV50,1),"")</f>
        <v>49</v>
      </c>
    </row>
    <row r="51" spans="1:75" ht="24" customHeight="1" x14ac:dyDescent="0.25">
      <c r="A51" s="438" t="str">
        <f>IFERROR(INDEX($AZ$2:$AZ$87,MATCH(ROWS($A$29:A51),$BW$2:$BW$87,0)),"")</f>
        <v>Youth in Agribusiness</v>
      </c>
      <c r="B51" s="439">
        <f>IF($A51="","",IFERROR(INDEX($BX$2:$BX$87,MATCH(ROWS($A$29:A51),$BW$2:$BW$87,0)),""))</f>
        <v>0</v>
      </c>
      <c r="C51" s="440" t="str">
        <f>IF($A51="","",INDEX($BB$2:$BB$87,MATCH(ROWS($A$29:A51),$BW$2:$BW$87,0)))</f>
        <v>Sida</v>
      </c>
      <c r="D51" s="441" t="str">
        <f>IF($A51="","",INDEX($BD$2:$BD$87,MATCH(ROWS($A$29:A51),$BW$2:$BW$87,0)))</f>
        <v>Agriculture</v>
      </c>
      <c r="E51" s="441" t="str">
        <f>IF($A51="","",INDEX($BF$2:$BF$87,MATCH(ROWS($A$29:A51),$BW$2:$BW$87,0)))</f>
        <v>5-8 years</v>
      </c>
      <c r="F51" s="441" t="str">
        <f>IF($A51="","",INDEX($BH$2:$BH$87,MATCH(ROWS($A$29:A51),$BW$2:$BW$87,0)))</f>
        <v>Macroeconomically Constrained Only</v>
      </c>
      <c r="G51" s="440" t="str">
        <f>IF($A51="","",INDEX($BI$2:$BI$87,MATCH(ROWS($A$29:A51),$BW$2:$BW$87,0)))</f>
        <v>Lower-Middle Income</v>
      </c>
      <c r="H51" s="440" t="str">
        <f>IF($A51="","",INDEX($BJ$2:$BJ$87,MATCH(ROWS($A$29:A51),$BW$2:$BW$87,0)))</f>
        <v>Stable</v>
      </c>
      <c r="I51" s="441" t="str">
        <f>IF($A51="","",INDEX($BK$2:$BK$87,MATCH(ROWS($A$29:A51),$BW$2:$BW$87,0)))</f>
        <v>income improvement; food security &amp; resilience</v>
      </c>
      <c r="J51" s="441" t="str">
        <f>IF($A51="","",
 _xlfn.LET(
   _xlpm.link,TRIM(INDEX($BL$2:$BL$87,MATCH(ROWS($A$29:A51),$BW$2:$BW$87,0))),
   IF(OR(_xlpm.link="",UPPER(_xlpm.link)="N/A"),"N/A",
      IF(OR(LEFT(_xlpm.link,7)="http://",LEFT(_xlpm.link,8)="https://"),
         HYPERLINK(_xlpm.link,_xlpm.link),
         _xlpm.link
      )
   )
 ))</f>
        <v>https://beamexchange.org/implement/programme-index/yapasa-youth-in-agribusiness/</v>
      </c>
      <c r="K51" s="490"/>
      <c r="L51" s="490"/>
      <c r="M51" s="490"/>
      <c r="N51" s="490"/>
      <c r="AZ51" s="438" t="s">
        <v>265</v>
      </c>
      <c r="BA51" s="469" t="s">
        <v>266</v>
      </c>
      <c r="BB51" s="438" t="s">
        <v>171</v>
      </c>
      <c r="BC51" s="438" t="s">
        <v>39</v>
      </c>
      <c r="BD51" s="438" t="s">
        <v>39</v>
      </c>
      <c r="BE51" s="438" t="s">
        <v>761</v>
      </c>
      <c r="BF51" s="438" t="s">
        <v>766</v>
      </c>
      <c r="BG51" s="438" t="s">
        <v>674</v>
      </c>
      <c r="BH51" s="438" t="s">
        <v>727</v>
      </c>
      <c r="BI51" s="438" t="s">
        <v>586</v>
      </c>
      <c r="BJ51" s="438" t="s">
        <v>49</v>
      </c>
      <c r="BK51" s="438" t="s">
        <v>617</v>
      </c>
      <c r="BL51" s="17" t="s">
        <v>231</v>
      </c>
      <c r="BM51" s="447"/>
      <c r="BN51" s="447">
        <v>0.84418295885789285</v>
      </c>
      <c r="BO51" s="447">
        <v>18.8265999901617</v>
      </c>
      <c r="BP51" s="447">
        <v>0.1122911370079798</v>
      </c>
      <c r="BQ51" s="447">
        <v>11745.72998872604</v>
      </c>
      <c r="BR51" s="447">
        <v>85.137322325631061</v>
      </c>
      <c r="BS51" s="447">
        <v>34.911844636119319</v>
      </c>
      <c r="BT51" s="447">
        <v>28643.573847868629</v>
      </c>
      <c r="BU51" s="447"/>
      <c r="BV51" s="438">
        <f t="shared" si="1"/>
        <v>1</v>
      </c>
      <c r="BW51" s="438">
        <f>IF(BV51=1,COUNTIF($BV$2:BV51,1),"")</f>
        <v>50</v>
      </c>
    </row>
    <row r="52" spans="1:75" ht="31.9" customHeight="1" x14ac:dyDescent="0.25">
      <c r="A52" s="438" t="str">
        <f>IFERROR(INDEX($AZ$2:$AZ$87,MATCH(ROWS($A$29:A52),$BW$2:$BW$87,0)),"")</f>
        <v>Road to Jobs</v>
      </c>
      <c r="B52" s="439">
        <f>IF($A52="","",IFERROR(INDEX($BX$2:$BX$87,MATCH(ROWS($A$29:A52),$BW$2:$BW$87,0)),""))</f>
        <v>0</v>
      </c>
      <c r="C52" s="440" t="str">
        <f>IF($A52="","",INDEX($BB$2:$BB$87,MATCH(ROWS($A$29:A52),$BW$2:$BW$87,0)))</f>
        <v>Sida</v>
      </c>
      <c r="D52" s="441" t="str">
        <f>IF($A52="","",INDEX($BD$2:$BD$87,MATCH(ROWS($A$29:A52),$BW$2:$BW$87,0)))</f>
        <v>Agriculture</v>
      </c>
      <c r="E52" s="441" t="str">
        <f>IF($A52="","",INDEX($BF$2:$BF$87,MATCH(ROWS($A$29:A52),$BW$2:$BW$87,0)))</f>
        <v>5-8 years</v>
      </c>
      <c r="F52" s="441" t="str">
        <f>IF($A52="","",INDEX($BH$2:$BH$87,MATCH(ROWS($A$29:A52),$BW$2:$BW$87,0)))</f>
        <v>Politically Constrained Only</v>
      </c>
      <c r="G52" s="440" t="str">
        <f>IF($A52="","",INDEX($BI$2:$BI$87,MATCH(ROWS($A$29:A52),$BW$2:$BW$87,0)))</f>
        <v>Low-Income</v>
      </c>
      <c r="H52" s="440" t="str">
        <f>IF($A52="","",INDEX($BJ$2:$BJ$87,MATCH(ROWS($A$29:A52),$BW$2:$BW$87,0)))</f>
        <v>FCAS</v>
      </c>
      <c r="I52" s="441" t="str">
        <f>IF($A52="","",INDEX($BK$2:$BK$87,MATCH(ROWS($A$29:A52),$BW$2:$BW$87,0)))</f>
        <v>job creation; income improvement</v>
      </c>
      <c r="J52" s="441" t="str">
        <f>IF($A52="","",
 _xlfn.LET(
   _xlpm.link,TRIM(INDEX($BL$2:$BL$87,MATCH(ROWS($A$29:A52),$BW$2:$BW$87,0))),
   IF(OR(_xlpm.link="",UPPER(_xlpm.link)="N/A"),"N/A",
      IF(OR(LEFT(_xlpm.link,7)="http://",LEFT(_xlpm.link,8)="https://"),
         HYPERLINK(_xlpm.link,_xlpm.link),
         _xlpm.link
      )
   )
 ))</f>
        <v>https://beamexchange.org/implement/programme-index/r2j-road-to-jobs/</v>
      </c>
      <c r="K52" s="490"/>
      <c r="L52" s="490"/>
      <c r="M52" s="490"/>
      <c r="N52" s="490"/>
      <c r="AZ52" s="438" t="s">
        <v>267</v>
      </c>
      <c r="BA52" s="469" t="s">
        <v>268</v>
      </c>
      <c r="BB52" s="438" t="s">
        <v>171</v>
      </c>
      <c r="BC52" s="438" t="s">
        <v>39</v>
      </c>
      <c r="BD52" s="438" t="s">
        <v>39</v>
      </c>
      <c r="BE52" s="438" t="s">
        <v>761</v>
      </c>
      <c r="BF52" s="438" t="s">
        <v>766</v>
      </c>
      <c r="BG52" s="438" t="s">
        <v>674</v>
      </c>
      <c r="BH52" s="438" t="s">
        <v>727</v>
      </c>
      <c r="BI52" s="438" t="s">
        <v>586</v>
      </c>
      <c r="BJ52" s="438" t="s">
        <v>42</v>
      </c>
      <c r="BK52" s="438" t="s">
        <v>602</v>
      </c>
      <c r="BL52" s="17" t="s">
        <v>269</v>
      </c>
      <c r="BM52" s="447"/>
      <c r="BN52" s="447">
        <v>9.0909090909090912E-2</v>
      </c>
      <c r="BO52" s="447">
        <v>0.82296650717703346</v>
      </c>
      <c r="BP52" s="447"/>
      <c r="BQ52" s="447"/>
      <c r="BR52" s="447"/>
      <c r="BS52" s="447">
        <v>3650.6550218340608</v>
      </c>
      <c r="BT52" s="447">
        <v>273.92344497607661</v>
      </c>
      <c r="BU52" s="447"/>
      <c r="BV52" s="438">
        <f t="shared" si="1"/>
        <v>1</v>
      </c>
      <c r="BW52" s="438">
        <f>IF(BV52=1,COUNTIF($BV$2:BV52,1),"")</f>
        <v>51</v>
      </c>
    </row>
    <row r="53" spans="1:75" ht="31.9" customHeight="1" x14ac:dyDescent="0.25">
      <c r="A53" s="438" t="str">
        <f>IFERROR(INDEX($AZ$2:$AZ$87,MATCH(ROWS($A$29:A53),$BW$2:$BW$87,0)),"")</f>
        <v>Agricultural Inputs Activity - Uganda</v>
      </c>
      <c r="B53" s="439">
        <f>IF($A53="","",IFERROR(INDEX($BX$2:$BX$87,MATCH(ROWS($A$29:A53),$BW$2:$BW$87,0)),""))</f>
        <v>0</v>
      </c>
      <c r="C53" s="440" t="str">
        <f>IF($A53="","",INDEX($BB$2:$BB$87,MATCH(ROWS($A$29:A53),$BW$2:$BW$87,0)))</f>
        <v>USAID</v>
      </c>
      <c r="D53" s="441" t="str">
        <f>IF($A53="","",INDEX($BD$2:$BD$87,MATCH(ROWS($A$29:A53),$BW$2:$BW$87,0)))</f>
        <v>Agriculture</v>
      </c>
      <c r="E53" s="441" t="str">
        <f>IF($A53="","",INDEX($BF$2:$BF$87,MATCH(ROWS($A$29:A53),$BW$2:$BW$87,0)))</f>
        <v>5-8 years</v>
      </c>
      <c r="F53" s="441" t="str">
        <f>IF($A53="","",INDEX($BH$2:$BH$87,MATCH(ROWS($A$29:A53),$BW$2:$BW$87,0)))</f>
        <v>Politically Constrained Only</v>
      </c>
      <c r="G53" s="440" t="str">
        <f>IF($A53="","",INDEX($BI$2:$BI$87,MATCH(ROWS($A$29:A53),$BW$2:$BW$87,0)))</f>
        <v>Low-Income</v>
      </c>
      <c r="H53" s="440" t="str">
        <f>IF($A53="","",INDEX($BJ$2:$BJ$87,MATCH(ROWS($A$29:A53),$BW$2:$BW$87,0)))</f>
        <v>Stable</v>
      </c>
      <c r="I53" s="441" t="str">
        <f>IF($A53="","",INDEX($BK$2:$BK$87,MATCH(ROWS($A$29:A53),$BW$2:$BW$87,0)))</f>
        <v>income improvement; food security &amp; resilience</v>
      </c>
      <c r="J53" s="441" t="str">
        <f>IF($A53="","",
 _xlfn.LET(
   _xlpm.link,TRIM(INDEX($BL$2:$BL$87,MATCH(ROWS($A$29:A53),$BW$2:$BW$87,0))),
   IF(OR(_xlpm.link="",UPPER(_xlpm.link)="N/A"),"N/A",
      IF(OR(LEFT(_xlpm.link,7)="http://",LEFT(_xlpm.link,8)="https://"),
         HYPERLINK(_xlpm.link,_xlpm.link),
         _xlpm.link
      )
   )
 ))</f>
        <v>https://beamexchange.org/implement/programme-index/ag-inputs-agricultural-inputs-activity/</v>
      </c>
      <c r="K53" s="490"/>
      <c r="L53" s="490"/>
      <c r="M53" s="490"/>
      <c r="N53" s="490"/>
      <c r="AZ53" s="438" t="s">
        <v>270</v>
      </c>
      <c r="BA53" s="469" t="s">
        <v>271</v>
      </c>
      <c r="BB53" s="438" t="s">
        <v>104</v>
      </c>
      <c r="BC53" s="438" t="s">
        <v>273</v>
      </c>
      <c r="BD53" s="438" t="s">
        <v>597</v>
      </c>
      <c r="BE53" s="438" t="s">
        <v>778</v>
      </c>
      <c r="BF53" s="438" t="s">
        <v>716</v>
      </c>
      <c r="BG53" s="438" t="s">
        <v>674</v>
      </c>
      <c r="BH53" s="438" t="s">
        <v>727</v>
      </c>
      <c r="BI53" s="438" t="s">
        <v>583</v>
      </c>
      <c r="BJ53" s="438" t="s">
        <v>49</v>
      </c>
      <c r="BK53" s="438" t="s">
        <v>602</v>
      </c>
      <c r="BL53" s="17" t="s">
        <v>274</v>
      </c>
      <c r="BM53" s="447">
        <v>188.66995073891621</v>
      </c>
      <c r="BN53" s="447"/>
      <c r="BO53" s="447"/>
      <c r="BP53" s="447"/>
      <c r="BQ53" s="447"/>
      <c r="BR53" s="447"/>
      <c r="BS53" s="447">
        <v>102.95566502463051</v>
      </c>
      <c r="BT53" s="447">
        <v>9712.9186602870814</v>
      </c>
      <c r="BU53" s="447">
        <v>1.832535885167464</v>
      </c>
      <c r="BV53" s="438">
        <f t="shared" si="1"/>
        <v>1</v>
      </c>
      <c r="BW53" s="438">
        <f>IF(BV53=1,COUNTIF($BV$2:BV53,1),"")</f>
        <v>52</v>
      </c>
    </row>
    <row r="54" spans="1:75" ht="25.9" customHeight="1" x14ac:dyDescent="0.25">
      <c r="A54" s="438" t="str">
        <f>IFERROR(INDEX($AZ$2:$AZ$87,MATCH(ROWS($A$29:A54),$BW$2:$BW$87,0)),"")</f>
        <v>Resilient Communities Program</v>
      </c>
      <c r="B54" s="439">
        <f>IF($A54="","",IFERROR(INDEX($BX$2:$BX$87,MATCH(ROWS($A$29:A54),$BW$2:$BW$87,0)),""))</f>
        <v>0</v>
      </c>
      <c r="C54" s="440" t="str">
        <f>IF($A54="","",INDEX($BB$2:$BB$87,MATCH(ROWS($A$29:A54),$BW$2:$BW$87,0)))</f>
        <v>XacBank</v>
      </c>
      <c r="D54" s="441" t="str">
        <f>IF($A54="","",INDEX($BD$2:$BD$87,MATCH(ROWS($A$29:A54),$BW$2:$BW$87,0)))</f>
        <v>Agriculture</v>
      </c>
      <c r="E54" s="441" t="str">
        <f>IF($A54="","",INDEX($BF$2:$BF$87,MATCH(ROWS($A$29:A54),$BW$2:$BW$87,0)))</f>
        <v>1-4 years</v>
      </c>
      <c r="F54" s="441" t="str">
        <f>IF($A54="","",INDEX($BH$2:$BH$87,MATCH(ROWS($A$29:A54),$BW$2:$BW$87,0)))</f>
        <v>Macroeconomically Constrained Only</v>
      </c>
      <c r="G54" s="440" t="str">
        <f>IF($A54="","",INDEX($BI$2:$BI$87,MATCH(ROWS($A$29:A54),$BW$2:$BW$87,0)))</f>
        <v>Upper-Middle Income</v>
      </c>
      <c r="H54" s="440" t="str">
        <f>IF($A54="","",INDEX($BJ$2:$BJ$87,MATCH(ROWS($A$29:A54),$BW$2:$BW$87,0)))</f>
        <v>Stable</v>
      </c>
      <c r="I54" s="441" t="str">
        <f>IF($A54="","",INDEX($BK$2:$BK$87,MATCH(ROWS($A$29:A54),$BW$2:$BW$87,0)))</f>
        <v>job creation, income improvement; food security &amp; resilience</v>
      </c>
      <c r="J54" s="441" t="str">
        <f>IF($A54="","",
 _xlfn.LET(
   _xlpm.link,TRIM(INDEX($BL$2:$BL$87,MATCH(ROWS($A$29:A54),$BW$2:$BW$87,0))),
   IF(OR(_xlpm.link="",UPPER(_xlpm.link)="N/A"),"N/A",
      IF(OR(LEFT(_xlpm.link,7)="http://",LEFT(_xlpm.link,8)="https://"),
         HYPERLINK(_xlpm.link,_xlpm.link),
         _xlpm.link
      )
   )
 ))</f>
        <v>N/A - report provided by Mercy Corps</v>
      </c>
      <c r="K54" s="490"/>
      <c r="L54" s="490"/>
      <c r="M54" s="490"/>
      <c r="N54" s="490"/>
      <c r="AZ54" s="438" t="s">
        <v>275</v>
      </c>
      <c r="BA54" s="469" t="s">
        <v>276</v>
      </c>
      <c r="BB54" s="438" t="s">
        <v>137</v>
      </c>
      <c r="BC54" s="438" t="s">
        <v>278</v>
      </c>
      <c r="BD54" s="438" t="s">
        <v>597</v>
      </c>
      <c r="BE54" s="438" t="s">
        <v>771</v>
      </c>
      <c r="BF54" s="438" t="s">
        <v>766</v>
      </c>
      <c r="BG54" s="438" t="s">
        <v>673</v>
      </c>
      <c r="BH54" s="438" t="s">
        <v>728</v>
      </c>
      <c r="BI54" s="438" t="s">
        <v>583</v>
      </c>
      <c r="BJ54" s="438" t="s">
        <v>49</v>
      </c>
      <c r="BK54" s="438" t="s">
        <v>594</v>
      </c>
      <c r="BL54" s="17" t="s">
        <v>279</v>
      </c>
      <c r="BM54" s="447"/>
      <c r="BN54" s="447">
        <v>27.261512495924169</v>
      </c>
      <c r="BO54" s="447">
        <v>4.9137239241706147E-2</v>
      </c>
      <c r="BP54" s="447"/>
      <c r="BQ54" s="447">
        <v>535.05768986940529</v>
      </c>
      <c r="BR54" s="447">
        <v>1868.9573459715641</v>
      </c>
      <c r="BS54" s="447"/>
      <c r="BT54" s="447"/>
      <c r="BU54" s="447"/>
      <c r="BV54" s="438">
        <f t="shared" si="1"/>
        <v>1</v>
      </c>
      <c r="BW54" s="438">
        <f>IF(BV54=1,COUNTIF($BV$2:BV54,1),"")</f>
        <v>53</v>
      </c>
    </row>
    <row r="55" spans="1:75" ht="28.9" customHeight="1" x14ac:dyDescent="0.25">
      <c r="A55" s="438" t="str">
        <f>IFERROR(INDEX($AZ$2:$AZ$87,MATCH(ROWS($A$29:A55),$BW$2:$BW$87,0)),"")</f>
        <v>USAID Feed the Future Bangladesh Livestock Production for Improved Nutrition Activity</v>
      </c>
      <c r="B55" s="439">
        <f>IF($A55="","",IFERROR(INDEX($BX$2:$BX$87,MATCH(ROWS($A$29:A55),$BW$2:$BW$87,0)),""))</f>
        <v>0</v>
      </c>
      <c r="C55" s="440" t="str">
        <f>IF($A55="","",INDEX($BB$2:$BB$87,MATCH(ROWS($A$29:A55),$BW$2:$BW$87,0)))</f>
        <v>USAID</v>
      </c>
      <c r="D55" s="441" t="str">
        <f>IF($A55="","",INDEX($BD$2:$BD$87,MATCH(ROWS($A$29:A55),$BW$2:$BW$87,0)))</f>
        <v>Agriculture</v>
      </c>
      <c r="E55" s="441" t="str">
        <f>IF($A55="","",INDEX($BF$2:$BF$87,MATCH(ROWS($A$29:A55),$BW$2:$BW$87,0)))</f>
        <v>5-8 years</v>
      </c>
      <c r="F55" s="441" t="str">
        <f>IF($A55="","",INDEX($BH$2:$BH$87,MATCH(ROWS($A$29:A55),$BW$2:$BW$87,0)))</f>
        <v>Politically Constrained Only</v>
      </c>
      <c r="G55" s="440" t="str">
        <f>IF($A55="","",INDEX($BI$2:$BI$87,MATCH(ROWS($A$29:A55),$BW$2:$BW$87,0)))</f>
        <v>Lower-Middle Income</v>
      </c>
      <c r="H55" s="440" t="str">
        <f>IF($A55="","",INDEX($BJ$2:$BJ$87,MATCH(ROWS($A$29:A55),$BW$2:$BW$87,0)))</f>
        <v>Stable</v>
      </c>
      <c r="I55" s="441" t="str">
        <f>IF($A55="","",INDEX($BK$2:$BK$87,MATCH(ROWS($A$29:A55),$BW$2:$BW$87,0)))</f>
        <v>job creation; income improvement;  food security &amp; resilience</v>
      </c>
      <c r="J55" s="441" t="str">
        <f>IF($A55="","",
 _xlfn.LET(
   _xlpm.link,TRIM(INDEX($BL$2:$BL$87,MATCH(ROWS($A$29:A55),$BW$2:$BW$87,0))),
   IF(OR(_xlpm.link="",UPPER(_xlpm.link)="N/A"),"N/A",
      IF(OR(LEFT(_xlpm.link,7)="http://",LEFT(_xlpm.link,8)="https://"),
         HYPERLINK(_xlpm.link,_xlpm.link),
         _xlpm.link
      )
   )
 ))</f>
        <v>N/A - report provided by ACDI/VOCA</v>
      </c>
      <c r="K55" s="490"/>
      <c r="L55" s="490"/>
      <c r="M55" s="490"/>
      <c r="N55" s="490"/>
      <c r="AZ55" s="438" t="s">
        <v>601</v>
      </c>
      <c r="BA55" s="469" t="s">
        <v>281</v>
      </c>
      <c r="BB55" s="438" t="s">
        <v>104</v>
      </c>
      <c r="BC55" s="438" t="s">
        <v>39</v>
      </c>
      <c r="BD55" s="438" t="s">
        <v>39</v>
      </c>
      <c r="BE55" s="438" t="s">
        <v>778</v>
      </c>
      <c r="BF55" s="438" t="s">
        <v>716</v>
      </c>
      <c r="BG55" s="438" t="s">
        <v>673</v>
      </c>
      <c r="BH55" s="438" t="s">
        <v>728</v>
      </c>
      <c r="BI55" s="438" t="s">
        <v>586</v>
      </c>
      <c r="BJ55" s="438" t="s">
        <v>42</v>
      </c>
      <c r="BK55" s="438" t="s">
        <v>84</v>
      </c>
      <c r="BL55" s="17" t="s">
        <v>282</v>
      </c>
      <c r="BM55" s="447">
        <v>909.59614672100781</v>
      </c>
      <c r="BN55" s="447"/>
      <c r="BO55" s="447">
        <v>0.48617511520737328</v>
      </c>
      <c r="BP55" s="447"/>
      <c r="BQ55" s="447"/>
      <c r="BR55" s="447"/>
      <c r="BS55" s="447">
        <v>574.28677287884398</v>
      </c>
      <c r="BT55" s="447">
        <v>1741.2903225806449</v>
      </c>
      <c r="BU55" s="447">
        <v>1.583870967741936</v>
      </c>
      <c r="BV55" s="438">
        <f t="shared" si="1"/>
        <v>1</v>
      </c>
      <c r="BW55" s="438">
        <f>IF(BV55=1,COUNTIF($BV$2:BV55,1),"")</f>
        <v>54</v>
      </c>
    </row>
    <row r="56" spans="1:75" ht="24" customHeight="1" x14ac:dyDescent="0.25">
      <c r="A56" s="438" t="str">
        <f>IFERROR(INDEX($AZ$2:$AZ$87,MATCH(ROWS($A$29:A56),$BW$2:$BW$87,0)),"")</f>
        <v>Increasing the income of horticultural smallholders in Northern Mozambique</v>
      </c>
      <c r="B56" s="439">
        <f>IF($A56="","",IFERROR(INDEX($BX$2:$BX$87,MATCH(ROWS($A$29:A56),$BW$2:$BW$87,0)),""))</f>
        <v>0</v>
      </c>
      <c r="C56" s="440" t="str">
        <f>IF($A56="","",INDEX($BB$2:$BB$87,MATCH(ROWS($A$29:A56),$BW$2:$BW$87,0)))</f>
        <v>SDC</v>
      </c>
      <c r="D56" s="441" t="str">
        <f>IF($A56="","",INDEX($BD$2:$BD$87,MATCH(ROWS($A$29:A56),$BW$2:$BW$87,0)))</f>
        <v>Agriculture</v>
      </c>
      <c r="E56" s="441" t="str">
        <f>IF($A56="","",INDEX($BF$2:$BF$87,MATCH(ROWS($A$29:A56),$BW$2:$BW$87,0)))</f>
        <v>5-8 years</v>
      </c>
      <c r="F56" s="441" t="str">
        <f>IF($A56="","",INDEX($BH$2:$BH$87,MATCH(ROWS($A$29:A56),$BW$2:$BW$87,0)))</f>
        <v>Politically Constrained Only</v>
      </c>
      <c r="G56" s="440" t="str">
        <f>IF($A56="","",INDEX($BI$2:$BI$87,MATCH(ROWS($A$29:A56),$BW$2:$BW$87,0)))</f>
        <v>Low-Income</v>
      </c>
      <c r="H56" s="440" t="str">
        <f>IF($A56="","",INDEX($BJ$2:$BJ$87,MATCH(ROWS($A$29:A56),$BW$2:$BW$87,0)))</f>
        <v>FCAS</v>
      </c>
      <c r="I56" s="441" t="str">
        <f>IF($A56="","",INDEX($BK$2:$BK$87,MATCH(ROWS($A$29:A56),$BW$2:$BW$87,0)))</f>
        <v>income improvement; food security &amp; resilience</v>
      </c>
      <c r="J56" s="441" t="str">
        <f>IF($A56="","",
 _xlfn.LET(
   _xlpm.link,TRIM(INDEX($BL$2:$BL$87,MATCH(ROWS($A$29:A56),$BW$2:$BW$87,0))),
   IF(OR(_xlpm.link="",UPPER(_xlpm.link)="N/A"),"N/A",
      IF(OR(LEFT(_xlpm.link,7)="http://",LEFT(_xlpm.link,8)="https://"),
         HYPERLINK(_xlpm.link,_xlpm.link),
         _xlpm.link
      )
   )
 ))</f>
        <v>https://beamexchange.org/implement/programme-index/horti-sempre-increasing-the-income-of-horticultural-smallholders-in-northern-mozambique/</v>
      </c>
      <c r="K56" s="490"/>
      <c r="L56" s="490"/>
      <c r="M56" s="490"/>
      <c r="N56" s="490"/>
      <c r="AZ56" s="438" t="s">
        <v>549</v>
      </c>
      <c r="BA56" s="469" t="s">
        <v>284</v>
      </c>
      <c r="BB56" s="438" t="s">
        <v>171</v>
      </c>
      <c r="BC56" s="438" t="s">
        <v>39</v>
      </c>
      <c r="BD56" s="438" t="s">
        <v>39</v>
      </c>
      <c r="BE56" s="438" t="s">
        <v>761</v>
      </c>
      <c r="BF56" s="438" t="s">
        <v>766</v>
      </c>
      <c r="BG56" s="438" t="s">
        <v>673</v>
      </c>
      <c r="BH56" s="438" t="s">
        <v>728</v>
      </c>
      <c r="BI56" s="438" t="s">
        <v>583</v>
      </c>
      <c r="BJ56" s="438" t="s">
        <v>49</v>
      </c>
      <c r="BK56" s="438" t="s">
        <v>616</v>
      </c>
      <c r="BL56" s="17" t="s">
        <v>183</v>
      </c>
      <c r="BM56" s="447"/>
      <c r="BN56" s="447">
        <v>0.16233092165898619</v>
      </c>
      <c r="BO56" s="447">
        <v>4.2761399078341018</v>
      </c>
      <c r="BP56" s="447"/>
      <c r="BQ56" s="447"/>
      <c r="BR56" s="447"/>
      <c r="BS56" s="447">
        <v>78.463418690926446</v>
      </c>
      <c r="BT56" s="447">
        <v>12744.792626728109</v>
      </c>
      <c r="BU56" s="447"/>
      <c r="BV56" s="438">
        <f t="shared" si="1"/>
        <v>1</v>
      </c>
      <c r="BW56" s="438">
        <f>IF(BV56=1,COUNTIF($BV$2:BV56,1),"")</f>
        <v>55</v>
      </c>
    </row>
    <row r="57" spans="1:75" ht="28.9" customHeight="1" x14ac:dyDescent="0.25">
      <c r="A57" s="438" t="str">
        <f>IFERROR(INDEX($AZ$2:$AZ$87,MATCH(ROWS($A$29:A57),$BW$2:$BW$87,0)),"")</f>
        <v>Livelihood Enhancement through Agricultural Development</v>
      </c>
      <c r="B57" s="439">
        <f>IF($A57="","",IFERROR(INDEX($BX$2:$BX$87,MATCH(ROWS($A$29:A57),$BW$2:$BW$87,0)),""))</f>
        <v>0</v>
      </c>
      <c r="C57" s="440" t="str">
        <f>IF($A57="","",INDEX($BB$2:$BB$87,MATCH(ROWS($A$29:A57),$BW$2:$BW$87,0)))</f>
        <v>FCDO</v>
      </c>
      <c r="D57" s="441" t="str">
        <f>IF($A57="","",INDEX($BD$2:$BD$87,MATCH(ROWS($A$29:A57),$BW$2:$BW$87,0)))</f>
        <v>Agriculture</v>
      </c>
      <c r="E57" s="441" t="str">
        <f>IF($A57="","",INDEX($BF$2:$BF$87,MATCH(ROWS($A$29:A57),$BW$2:$BW$87,0)))</f>
        <v>1-4 years</v>
      </c>
      <c r="F57" s="441" t="str">
        <f>IF($A57="","",INDEX($BH$2:$BH$87,MATCH(ROWS($A$29:A57),$BW$2:$BW$87,0)))</f>
        <v>Macroeconomically Constrained Only</v>
      </c>
      <c r="G57" s="440" t="str">
        <f>IF($A57="","",INDEX($BI$2:$BI$87,MATCH(ROWS($A$29:A57),$BW$2:$BW$87,0)))</f>
        <v>Lower-Middle Income</v>
      </c>
      <c r="H57" s="440" t="str">
        <f>IF($A57="","",INDEX($BJ$2:$BJ$87,MATCH(ROWS($A$29:A57),$BW$2:$BW$87,0)))</f>
        <v>Stable</v>
      </c>
      <c r="I57" s="441" t="str">
        <f>IF($A57="","",INDEX($BK$2:$BK$87,MATCH(ROWS($A$29:A57),$BW$2:$BW$87,0)))</f>
        <v>income improvement; food security &amp; resilience</v>
      </c>
      <c r="J57" s="441" t="str">
        <f>IF($A57="","",
 _xlfn.LET(
   _xlpm.link,TRIM(INDEX($BL$2:$BL$87,MATCH(ROWS($A$29:A57),$BW$2:$BW$87,0))),
   IF(OR(_xlpm.link="",UPPER(_xlpm.link)="N/A"),"N/A",
      IF(OR(LEFT(_xlpm.link,7)="http://",LEFT(_xlpm.link,8)="https://"),
         HYPERLINK(_xlpm.link,_xlpm.link),
         _xlpm.link
      )
   )
 ))</f>
        <v>https://beamexchange.org/implement/programme-index/lead-livelihood-enhancement-through-agricultural-development/</v>
      </c>
      <c r="K57" s="490"/>
      <c r="L57" s="490"/>
      <c r="M57" s="490"/>
      <c r="N57" s="490"/>
      <c r="AZ57" s="438" t="s">
        <v>285</v>
      </c>
      <c r="BA57" s="469" t="s">
        <v>286</v>
      </c>
      <c r="BB57" s="438" t="s">
        <v>80</v>
      </c>
      <c r="BC57" s="438" t="s">
        <v>39</v>
      </c>
      <c r="BD57" s="438" t="s">
        <v>39</v>
      </c>
      <c r="BE57" s="438" t="s">
        <v>771</v>
      </c>
      <c r="BF57" s="438" t="s">
        <v>716</v>
      </c>
      <c r="BG57" s="438" t="s">
        <v>673</v>
      </c>
      <c r="BH57" s="438" t="s">
        <v>728</v>
      </c>
      <c r="BI57" s="438" t="s">
        <v>586</v>
      </c>
      <c r="BJ57" s="438" t="s">
        <v>49</v>
      </c>
      <c r="BK57" s="438" t="s">
        <v>602</v>
      </c>
      <c r="BL57" s="17" t="s">
        <v>287</v>
      </c>
      <c r="BM57" s="447">
        <v>350.35714285714278</v>
      </c>
      <c r="BN57" s="447">
        <v>0.17145454545454539</v>
      </c>
      <c r="BO57" s="447">
        <v>0.22531818181818181</v>
      </c>
      <c r="BP57" s="447">
        <v>0.1606363636363636</v>
      </c>
      <c r="BQ57" s="447">
        <v>3907.6376554174071</v>
      </c>
      <c r="BR57" s="447">
        <v>255.90909090909091</v>
      </c>
      <c r="BS57" s="447">
        <v>561.22448979591832</v>
      </c>
      <c r="BT57" s="447">
        <v>1781.818181818182</v>
      </c>
      <c r="BU57" s="447">
        <v>0.62427272727272731</v>
      </c>
      <c r="BV57" s="438">
        <f t="shared" si="1"/>
        <v>1</v>
      </c>
      <c r="BW57" s="438">
        <f>IF(BV57=1,COUNTIF($BV$2:BV57,1),"")</f>
        <v>56</v>
      </c>
    </row>
    <row r="58" spans="1:75" ht="24" customHeight="1" x14ac:dyDescent="0.25">
      <c r="A58" s="438" t="str">
        <f>IFERROR(INDEX($AZ$2:$AZ$87,MATCH(ROWS($A$29:A58),$BW$2:$BW$87,0)),"")</f>
        <v>Cambodia Horticulture Advancing Income and Nutrition</v>
      </c>
      <c r="B58" s="439">
        <f>IF($A58="","",IFERROR(INDEX($BX$2:$BX$87,MATCH(ROWS($A$29:A58),$BW$2:$BW$87,0)),""))</f>
        <v>0</v>
      </c>
      <c r="C58" s="440" t="str">
        <f>IF($A58="","",INDEX($BB$2:$BB$87,MATCH(ROWS($A$29:A58),$BW$2:$BW$87,0)))</f>
        <v>SDC</v>
      </c>
      <c r="D58" s="441" t="str">
        <f>IF($A58="","",INDEX($BD$2:$BD$87,MATCH(ROWS($A$29:A58),$BW$2:$BW$87,0)))</f>
        <v>Agriculture</v>
      </c>
      <c r="E58" s="441" t="str">
        <f>IF($A58="","",INDEX($BF$2:$BF$87,MATCH(ROWS($A$29:A58),$BW$2:$BW$87,0)))</f>
        <v>5-8 years</v>
      </c>
      <c r="F58" s="441" t="str">
        <f>IF($A58="","",INDEX($BH$2:$BH$87,MATCH(ROWS($A$29:A58),$BW$2:$BW$87,0)))</f>
        <v>Stable</v>
      </c>
      <c r="G58" s="440" t="str">
        <f>IF($A58="","",INDEX($BI$2:$BI$87,MATCH(ROWS($A$29:A58),$BW$2:$BW$87,0)))</f>
        <v>Lower-Middle Income</v>
      </c>
      <c r="H58" s="440" t="str">
        <f>IF($A58="","",INDEX($BJ$2:$BJ$87,MATCH(ROWS($A$29:A58),$BW$2:$BW$87,0)))</f>
        <v>Stable</v>
      </c>
      <c r="I58" s="441" t="str">
        <f>IF($A58="","",INDEX($BK$2:$BK$87,MATCH(ROWS($A$29:A58),$BW$2:$BW$87,0)))</f>
        <v>food security &amp; resilience; income improvement</v>
      </c>
      <c r="J58" s="441" t="str">
        <f>IF($A58="","",
 _xlfn.LET(
   _xlpm.link,TRIM(INDEX($BL$2:$BL$87,MATCH(ROWS($A$29:A58),$BW$2:$BW$87,0))),
   IF(OR(_xlpm.link="",UPPER(_xlpm.link)="N/A"),"N/A",
      IF(OR(LEFT(_xlpm.link,7)="http://",LEFT(_xlpm.link,8)="https://"),
         HYPERLINK(_xlpm.link,_xlpm.link),
         _xlpm.link
      )
   )
 ))</f>
        <v>https://beamexchange.org/implement/programme-index/chain-cambodia-horticulture-advancing-income-nutrition/</v>
      </c>
      <c r="K58" s="490"/>
      <c r="L58" s="490"/>
      <c r="M58" s="490"/>
      <c r="N58" s="490"/>
      <c r="AZ58" s="438" t="s">
        <v>552</v>
      </c>
      <c r="BA58" s="469" t="s">
        <v>289</v>
      </c>
      <c r="BB58" s="438" t="s">
        <v>171</v>
      </c>
      <c r="BC58" s="438" t="s">
        <v>290</v>
      </c>
      <c r="BD58" s="438" t="s">
        <v>597</v>
      </c>
      <c r="BE58" s="438" t="s">
        <v>761</v>
      </c>
      <c r="BF58" s="438" t="s">
        <v>766</v>
      </c>
      <c r="BG58" s="438" t="s">
        <v>673</v>
      </c>
      <c r="BH58" s="438" t="s">
        <v>728</v>
      </c>
      <c r="BI58" s="438" t="s">
        <v>583</v>
      </c>
      <c r="BJ58" s="438" t="s">
        <v>49</v>
      </c>
      <c r="BK58" s="438" t="s">
        <v>617</v>
      </c>
      <c r="BL58" s="17" t="s">
        <v>183</v>
      </c>
      <c r="BM58" s="447">
        <v>672.10389964548676</v>
      </c>
      <c r="BN58" s="447">
        <v>6.3452323040538188</v>
      </c>
      <c r="BO58" s="447">
        <v>11.54567086855173</v>
      </c>
      <c r="BP58" s="447">
        <v>2.52078849034325</v>
      </c>
      <c r="BQ58" s="447">
        <v>804.70201788175427</v>
      </c>
      <c r="BR58" s="447">
        <v>1242.696026328274</v>
      </c>
      <c r="BS58" s="447">
        <v>2103.9132403215381</v>
      </c>
      <c r="BT58" s="447">
        <v>475.30477057465151</v>
      </c>
      <c r="BU58" s="447">
        <v>1.4070683436263329</v>
      </c>
      <c r="BV58" s="438">
        <f t="shared" si="1"/>
        <v>1</v>
      </c>
      <c r="BW58" s="438">
        <f>IF(BV58=1,COUNTIF($BV$2:BV58,1),"")</f>
        <v>57</v>
      </c>
    </row>
    <row r="59" spans="1:75" ht="28.9" customHeight="1" x14ac:dyDescent="0.25">
      <c r="A59" s="438" t="str">
        <f>IFERROR(INDEX($AZ$2:$AZ$87,MATCH(ROWS($A$29:A59),$BW$2:$BW$87,0)),"")</f>
        <v>Northern Uganda - Transforming the Economy through Climate Smart Agriculture (Financial Services Component)</v>
      </c>
      <c r="B59" s="439">
        <f>IF($A59="","",IFERROR(INDEX($BX$2:$BX$87,MATCH(ROWS($A$29:A59),$BW$2:$BW$87,0)),""))</f>
        <v>0</v>
      </c>
      <c r="C59" s="440" t="str">
        <f>IF($A59="","",INDEX($BB$2:$BB$87,MATCH(ROWS($A$29:A59),$BW$2:$BW$87,0)))</f>
        <v>FCDO</v>
      </c>
      <c r="D59" s="441" t="str">
        <f>IF($A59="","",INDEX($BD$2:$BD$87,MATCH(ROWS($A$29:A59),$BW$2:$BW$87,0)))</f>
        <v>Agriculture</v>
      </c>
      <c r="E59" s="441" t="str">
        <f>IF($A59="","",INDEX($BF$2:$BF$87,MATCH(ROWS($A$29:A59),$BW$2:$BW$87,0)))</f>
        <v>1-4 years</v>
      </c>
      <c r="F59" s="441" t="str">
        <f>IF($A59="","",INDEX($BH$2:$BH$87,MATCH(ROWS($A$29:A59),$BW$2:$BW$87,0)))</f>
        <v>Politically Constrained Only</v>
      </c>
      <c r="G59" s="440" t="str">
        <f>IF($A59="","",INDEX($BI$2:$BI$87,MATCH(ROWS($A$29:A59),$BW$2:$BW$87,0)))</f>
        <v>Low-Income</v>
      </c>
      <c r="H59" s="440" t="str">
        <f>IF($A59="","",INDEX($BJ$2:$BJ$87,MATCH(ROWS($A$29:A59),$BW$2:$BW$87,0)))</f>
        <v>FCAS</v>
      </c>
      <c r="I59" s="441" t="str">
        <f>IF($A59="","",INDEX($BK$2:$BK$87,MATCH(ROWS($A$29:A59),$BW$2:$BW$87,0)))</f>
        <v>job creation, income improvement; food security &amp; resilience</v>
      </c>
      <c r="J59" s="441" t="str">
        <f>IF($A59="","",
 _xlfn.LET(
   _xlpm.link,TRIM(INDEX($BL$2:$BL$87,MATCH(ROWS($A$29:A59),$BW$2:$BW$87,0))),
   IF(OR(_xlpm.link="",UPPER(_xlpm.link)="N/A"),"N/A",
      IF(OR(LEFT(_xlpm.link,7)="http://",LEFT(_xlpm.link,8)="https://"),
         HYPERLINK(_xlpm.link,_xlpm.link),
         _xlpm.link
      )
   )
 ))</f>
        <v>N/A - report provided by Mercy Corps</v>
      </c>
      <c r="K59" s="490"/>
      <c r="L59" s="490"/>
      <c r="M59" s="490"/>
      <c r="N59" s="490"/>
      <c r="AZ59" s="438" t="s">
        <v>291</v>
      </c>
      <c r="BA59" s="469" t="s">
        <v>292</v>
      </c>
      <c r="BB59" s="438" t="s">
        <v>171</v>
      </c>
      <c r="BC59" s="438" t="s">
        <v>39</v>
      </c>
      <c r="BD59" s="438" t="s">
        <v>39</v>
      </c>
      <c r="BE59" s="438" t="s">
        <v>761</v>
      </c>
      <c r="BF59" s="438" t="s">
        <v>718</v>
      </c>
      <c r="BG59" s="438" t="s">
        <v>584</v>
      </c>
      <c r="BH59" s="438" t="s">
        <v>49</v>
      </c>
      <c r="BI59" s="438" t="s">
        <v>583</v>
      </c>
      <c r="BJ59" s="438" t="s">
        <v>49</v>
      </c>
      <c r="BK59" s="438" t="s">
        <v>617</v>
      </c>
      <c r="BL59" s="17" t="s">
        <v>231</v>
      </c>
      <c r="BM59" s="447"/>
      <c r="BN59" s="447">
        <v>1.133113833333333</v>
      </c>
      <c r="BO59" s="447">
        <v>3.004083333333333E-3</v>
      </c>
      <c r="BP59" s="447"/>
      <c r="BQ59" s="447">
        <v>1537.180554665983</v>
      </c>
      <c r="BR59" s="447">
        <v>650.54166666666663</v>
      </c>
      <c r="BS59" s="447">
        <v>160.01600160016</v>
      </c>
      <c r="BT59" s="447">
        <v>6249.375</v>
      </c>
      <c r="BU59" s="447"/>
      <c r="BV59" s="438">
        <f t="shared" si="1"/>
        <v>1</v>
      </c>
      <c r="BW59" s="438">
        <f>IF(BV59=1,COUNTIF($BV$2:BV59,1),"")</f>
        <v>58</v>
      </c>
    </row>
    <row r="60" spans="1:75" ht="24" customHeight="1" x14ac:dyDescent="0.25">
      <c r="A60" s="438" t="str">
        <f>IFERROR(INDEX($AZ$2:$AZ$87,MATCH(ROWS($A$29:A60),$BW$2:$BW$87,0)),"")</f>
        <v>Sierra Leone Opportunities for Business Action</v>
      </c>
      <c r="B60" s="439">
        <f>IF($A60="","",IFERROR(INDEX($BX$2:$BX$87,MATCH(ROWS($A$29:A60),$BW$2:$BW$87,0)),""))</f>
        <v>0</v>
      </c>
      <c r="C60" s="440" t="str">
        <f>IF($A60="","",INDEX($BB$2:$BB$87,MATCH(ROWS($A$29:A60),$BW$2:$BW$87,0)))</f>
        <v>FCDO</v>
      </c>
      <c r="D60" s="441" t="str">
        <f>IF($A60="","",INDEX($BD$2:$BD$87,MATCH(ROWS($A$29:A60),$BW$2:$BW$87,0)))</f>
        <v>Mixed</v>
      </c>
      <c r="E60" s="441" t="str">
        <f>IF($A60="","",INDEX($BF$2:$BF$87,MATCH(ROWS($A$29:A60),$BW$2:$BW$87,0)))</f>
        <v>1-4 years</v>
      </c>
      <c r="F60" s="441" t="str">
        <f>IF($A60="","",INDEX($BH$2:$BH$87,MATCH(ROWS($A$29:A60),$BW$2:$BW$87,0)))</f>
        <v>Macroeconomically Constrained Only</v>
      </c>
      <c r="G60" s="440" t="str">
        <f>IF($A60="","",INDEX($BI$2:$BI$87,MATCH(ROWS($A$29:A60),$BW$2:$BW$87,0)))</f>
        <v>Low-Income</v>
      </c>
      <c r="H60" s="440" t="str">
        <f>IF($A60="","",INDEX($BJ$2:$BJ$87,MATCH(ROWS($A$29:A60),$BW$2:$BW$87,0)))</f>
        <v>Stable</v>
      </c>
      <c r="I60" s="441" t="str">
        <f>IF($A60="","",INDEX($BK$2:$BK$87,MATCH(ROWS($A$29:A60),$BW$2:$BW$87,0)))</f>
        <v>income improvement; food security &amp; resilience</v>
      </c>
      <c r="J60" s="441" t="str">
        <f>IF($A60="","",
 _xlfn.LET(
   _xlpm.link,TRIM(INDEX($BL$2:$BL$87,MATCH(ROWS($A$29:A60),$BW$2:$BW$87,0))),
   IF(OR(_xlpm.link="",UPPER(_xlpm.link)="N/A"),"N/A",
      IF(OR(LEFT(_xlpm.link,7)="http://",LEFT(_xlpm.link,8)="https://"),
         HYPERLINK(_xlpm.link,_xlpm.link),
         _xlpm.link
      )
   )
 ))</f>
        <v>https://beamexchange.org/implement/programme-index/soba-sierra-leone-opportunities-for-business-action/</v>
      </c>
      <c r="K60" s="490"/>
      <c r="L60" s="490"/>
      <c r="M60" s="490"/>
      <c r="N60" s="490"/>
      <c r="AZ60" s="438" t="s">
        <v>503</v>
      </c>
      <c r="BA60" s="469" t="s">
        <v>607</v>
      </c>
      <c r="BB60" s="438" t="s">
        <v>137</v>
      </c>
      <c r="BC60" s="438" t="s">
        <v>39</v>
      </c>
      <c r="BD60" s="438" t="s">
        <v>39</v>
      </c>
      <c r="BE60" s="438" t="s">
        <v>771</v>
      </c>
      <c r="BF60" s="438" t="s">
        <v>766</v>
      </c>
      <c r="BG60" s="438" t="s">
        <v>674</v>
      </c>
      <c r="BH60" s="438" t="s">
        <v>727</v>
      </c>
      <c r="BI60" s="438" t="s">
        <v>586</v>
      </c>
      <c r="BJ60" s="438" t="s">
        <v>42</v>
      </c>
      <c r="BK60" s="438" t="s">
        <v>602</v>
      </c>
      <c r="BL60" s="17" t="s">
        <v>296</v>
      </c>
      <c r="BM60" s="447"/>
      <c r="BN60" s="447">
        <v>1.9702500000000001</v>
      </c>
      <c r="BO60" s="447">
        <v>1.33125</v>
      </c>
      <c r="BP60" s="447"/>
      <c r="BQ60" s="447"/>
      <c r="BR60" s="447"/>
      <c r="BS60" s="447"/>
      <c r="BT60" s="447"/>
      <c r="BU60" s="447"/>
      <c r="BV60" s="438">
        <f t="shared" si="1"/>
        <v>1</v>
      </c>
      <c r="BW60" s="438">
        <f>IF(BV60=1,COUNTIF($BV$2:BV60,1),"")</f>
        <v>59</v>
      </c>
    </row>
    <row r="61" spans="1:75" ht="24" customHeight="1" x14ac:dyDescent="0.25">
      <c r="A61" s="438" t="str">
        <f>IFERROR(INDEX($AZ$2:$AZ$87,MATCH(ROWS($A$29:A61),$BW$2:$BW$87,0)),"")</f>
        <v>Zambia Green Jobs Programme</v>
      </c>
      <c r="B61" s="439">
        <f>IF($A61="","",IFERROR(INDEX($BX$2:$BX$87,MATCH(ROWS($A$29:A61),$BW$2:$BW$87,0)),""))</f>
        <v>0</v>
      </c>
      <c r="C61" s="440" t="str">
        <f>IF($A61="","",INDEX($BB$2:$BB$87,MATCH(ROWS($A$29:A61),$BW$2:$BW$87,0)))</f>
        <v>Finland MoFA</v>
      </c>
      <c r="D61" s="441" t="str">
        <f>IF($A61="","",INDEX($BD$2:$BD$87,MATCH(ROWS($A$29:A61),$BW$2:$BW$87,0)))</f>
        <v>Agriculture</v>
      </c>
      <c r="E61" s="441" t="str">
        <f>IF($A61="","",INDEX($BF$2:$BF$87,MATCH(ROWS($A$29:A61),$BW$2:$BW$87,0)))</f>
        <v>5-8 years</v>
      </c>
      <c r="F61" s="441" t="str">
        <f>IF($A61="","",INDEX($BH$2:$BH$87,MATCH(ROWS($A$29:A61),$BW$2:$BW$87,0)))</f>
        <v>Macroeconomically Constrained Only</v>
      </c>
      <c r="G61" s="440" t="str">
        <f>IF($A61="","",INDEX($BI$2:$BI$87,MATCH(ROWS($A$29:A61),$BW$2:$BW$87,0)))</f>
        <v>Lower-Middle Income</v>
      </c>
      <c r="H61" s="440" t="str">
        <f>IF($A61="","",INDEX($BJ$2:$BJ$87,MATCH(ROWS($A$29:A61),$BW$2:$BW$87,0)))</f>
        <v>Stable</v>
      </c>
      <c r="I61" s="441" t="str">
        <f>IF($A61="","",INDEX($BK$2:$BK$87,MATCH(ROWS($A$29:A61),$BW$2:$BW$87,0)))</f>
        <v>job creation; income improvement; food security &amp; resilience</v>
      </c>
      <c r="J61" s="441" t="str">
        <f>IF($A61="","",
 _xlfn.LET(
   _xlpm.link,TRIM(INDEX($BL$2:$BL$87,MATCH(ROWS($A$29:A61),$BW$2:$BW$87,0))),
   IF(OR(_xlpm.link="",UPPER(_xlpm.link)="N/A"),"N/A",
      IF(OR(LEFT(_xlpm.link,7)="http://",LEFT(_xlpm.link,8)="https://"),
         HYPERLINK(_xlpm.link,_xlpm.link),
         _xlpm.link
      )
   )
 ))</f>
        <v>https://beamexchange.org/implement/programme-index/zgjp-zambia-green-jobs-programme/</v>
      </c>
      <c r="K61" s="490"/>
      <c r="L61" s="490"/>
      <c r="M61" s="490"/>
      <c r="N61" s="490"/>
      <c r="AZ61" s="438" t="s">
        <v>297</v>
      </c>
      <c r="BA61" s="486" t="s">
        <v>298</v>
      </c>
      <c r="BB61" s="438" t="s">
        <v>171</v>
      </c>
      <c r="BC61" s="438" t="s">
        <v>39</v>
      </c>
      <c r="BD61" s="438" t="s">
        <v>39</v>
      </c>
      <c r="BE61" s="438" t="s">
        <v>761</v>
      </c>
      <c r="BF61" s="438" t="s">
        <v>766</v>
      </c>
      <c r="BG61" s="438" t="s">
        <v>674</v>
      </c>
      <c r="BH61" s="438" t="s">
        <v>727</v>
      </c>
      <c r="BI61" s="438" t="s">
        <v>583</v>
      </c>
      <c r="BJ61" s="438" t="s">
        <v>49</v>
      </c>
      <c r="BK61" s="438" t="s">
        <v>582</v>
      </c>
      <c r="BL61" s="17" t="s">
        <v>299</v>
      </c>
      <c r="BM61" s="447">
        <v>65</v>
      </c>
      <c r="BN61" s="447">
        <v>0.13848039215686281</v>
      </c>
      <c r="BO61" s="447">
        <v>15.494013807189541</v>
      </c>
      <c r="BP61" s="447">
        <v>15.494013807189541</v>
      </c>
      <c r="BQ61" s="447"/>
      <c r="BR61" s="447"/>
      <c r="BS61" s="447"/>
      <c r="BT61" s="447"/>
      <c r="BU61" s="447">
        <v>2.8538690767973862</v>
      </c>
      <c r="BV61" s="438">
        <f t="shared" si="1"/>
        <v>1</v>
      </c>
      <c r="BW61" s="438">
        <f>IF(BV61=1,COUNTIF($BV$2:BV61,1),"")</f>
        <v>60</v>
      </c>
    </row>
    <row r="62" spans="1:75" ht="43.15" customHeight="1" x14ac:dyDescent="0.25">
      <c r="A62" s="438" t="str">
        <f>IFERROR(INDEX($AZ$2:$AZ$87,MATCH(ROWS($A$29:A62),$BW$2:$BW$87,0)),"")</f>
        <v>Promoting Private Sector Employment (Phase 2 &amp; 3)</v>
      </c>
      <c r="B62" s="439">
        <f>IF($A62="","",IFERROR(INDEX($BX$2:$BX$87,MATCH(ROWS($A$29:A62),$BW$2:$BW$87,0)),""))</f>
        <v>0</v>
      </c>
      <c r="C62" s="440" t="str">
        <f>IF($A62="","",INDEX($BB$2:$BB$87,MATCH(ROWS($A$29:A62),$BW$2:$BW$87,0)))</f>
        <v>SDC</v>
      </c>
      <c r="D62" s="441" t="str">
        <f>IF($A62="","",INDEX($BD$2:$BD$87,MATCH(ROWS($A$29:A62),$BW$2:$BW$87,0)))</f>
        <v>Non-Agriculture</v>
      </c>
      <c r="E62" s="441" t="str">
        <f>IF($A62="","",INDEX($BF$2:$BF$87,MATCH(ROWS($A$29:A62),$BW$2:$BW$87,0)))</f>
        <v>5-8 years</v>
      </c>
      <c r="F62" s="441" t="str">
        <f>IF($A62="","",INDEX($BH$2:$BH$87,MATCH(ROWS($A$29:A62),$BW$2:$BW$87,0)))</f>
        <v>Macroeconomically Constrained Only</v>
      </c>
      <c r="G62" s="440" t="str">
        <f>IF($A62="","",INDEX($BI$2:$BI$87,MATCH(ROWS($A$29:A62),$BW$2:$BW$87,0)))</f>
        <v>Upper-Middle Income</v>
      </c>
      <c r="H62" s="440" t="str">
        <f>IF($A62="","",INDEX($BJ$2:$BJ$87,MATCH(ROWS($A$29:A62),$BW$2:$BW$87,0)))</f>
        <v>Stable</v>
      </c>
      <c r="I62" s="441" t="str">
        <f>IF($A62="","",INDEX($BK$2:$BK$87,MATCH(ROWS($A$29:A62),$BW$2:$BW$87,0)))</f>
        <v>job creation; income improvement; food security &amp; resilience</v>
      </c>
      <c r="J62" s="441" t="str">
        <f>IF($A62="","",
 _xlfn.LET(
   _xlpm.link,TRIM(INDEX($BL$2:$BL$87,MATCH(ROWS($A$29:A62),$BW$2:$BW$87,0))),
   IF(OR(_xlpm.link="",UPPER(_xlpm.link)="N/A"),"N/A",
      IF(OR(LEFT(_xlpm.link,7)="http://",LEFT(_xlpm.link,8)="https://"),
         HYPERLINK(_xlpm.link,_xlpm.link),
         _xlpm.link
      )
   )
 ))</f>
        <v>https://beamexchange.org/implement/programme-index/ppse-promoting-private-sector-employment/</v>
      </c>
      <c r="K62" s="490"/>
      <c r="L62" s="490"/>
      <c r="M62" s="490"/>
      <c r="N62" s="490"/>
      <c r="AZ62" s="438" t="s">
        <v>300</v>
      </c>
      <c r="BA62" s="469" t="s">
        <v>301</v>
      </c>
      <c r="BB62" s="438" t="s">
        <v>171</v>
      </c>
      <c r="BC62" s="438" t="s">
        <v>302</v>
      </c>
      <c r="BD62" s="438" t="s">
        <v>729</v>
      </c>
      <c r="BE62" s="438" t="s">
        <v>761</v>
      </c>
      <c r="BF62" s="438" t="s">
        <v>766</v>
      </c>
      <c r="BG62" s="438" t="s">
        <v>673</v>
      </c>
      <c r="BH62" s="438" t="s">
        <v>728</v>
      </c>
      <c r="BI62" s="438" t="s">
        <v>589</v>
      </c>
      <c r="BJ62" s="438" t="s">
        <v>49</v>
      </c>
      <c r="BK62" s="438" t="s">
        <v>617</v>
      </c>
      <c r="BL62" s="17" t="s">
        <v>231</v>
      </c>
      <c r="BM62" s="447"/>
      <c r="BN62" s="447">
        <v>1.1559999999999999</v>
      </c>
      <c r="BO62" s="447">
        <v>2.6120000000000001</v>
      </c>
      <c r="BP62" s="447">
        <v>79.736000000000004</v>
      </c>
      <c r="BQ62" s="447">
        <v>5085.4353132628157</v>
      </c>
      <c r="BR62" s="447">
        <v>196.64</v>
      </c>
      <c r="BS62" s="447"/>
      <c r="BT62" s="447"/>
      <c r="BU62" s="447"/>
      <c r="BV62" s="438">
        <f t="shared" si="1"/>
        <v>1</v>
      </c>
      <c r="BW62" s="438">
        <f>IF(BV62=1,COUNTIF($BV$2:BV62,1),"")</f>
        <v>61</v>
      </c>
    </row>
    <row r="63" spans="1:75" ht="28.9" customHeight="1" x14ac:dyDescent="0.25">
      <c r="A63" s="438" t="str">
        <f>IFERROR(INDEX($AZ$2:$AZ$87,MATCH(ROWS($A$29:A63),$BW$2:$BW$87,0)),"")</f>
        <v>Local Empowerment through Economic Development</v>
      </c>
      <c r="B63" s="439">
        <f>IF($A63="","",IFERROR(INDEX($BX$2:$BX$87,MATCH(ROWS($A$29:A63),$BW$2:$BW$87,0)),""))</f>
        <v>0</v>
      </c>
      <c r="C63" s="440" t="str">
        <f>IF($A63="","",INDEX($BB$2:$BB$87,MATCH(ROWS($A$29:A63),$BW$2:$BW$87,0)))</f>
        <v>DFAT</v>
      </c>
      <c r="D63" s="441" t="str">
        <f>IF($A63="","",INDEX($BD$2:$BD$87,MATCH(ROWS($A$29:A63),$BW$2:$BW$87,0)))</f>
        <v>Non-Agriculture</v>
      </c>
      <c r="E63" s="441" t="str">
        <f>IF($A63="","",INDEX($BF$2:$BF$87,MATCH(ROWS($A$29:A63),$BW$2:$BW$87,0)))</f>
        <v>9+ years</v>
      </c>
      <c r="F63" s="441" t="str">
        <f>IF($A63="","",INDEX($BH$2:$BH$87,MATCH(ROWS($A$29:A63),$BW$2:$BW$87,0)))</f>
        <v>Macroeconomically Constrained Only</v>
      </c>
      <c r="G63" s="440" t="str">
        <f>IF($A63="","",INDEX($BI$2:$BI$87,MATCH(ROWS($A$29:A63),$BW$2:$BW$87,0)))</f>
        <v>Lower-Middle Income</v>
      </c>
      <c r="H63" s="440" t="str">
        <f>IF($A63="","",INDEX($BJ$2:$BJ$87,MATCH(ROWS($A$29:A63),$BW$2:$BW$87,0)))</f>
        <v>FCAS</v>
      </c>
      <c r="I63" s="441" t="str">
        <f>IF($A63="","",INDEX($BK$2:$BK$87,MATCH(ROWS($A$29:A63),$BW$2:$BW$87,0)))</f>
        <v>job creation, income improvement; food security &amp; resilience</v>
      </c>
      <c r="J63" s="441" t="str">
        <f>IF($A63="","",
 _xlfn.LET(
   _xlpm.link,TRIM(INDEX($BL$2:$BL$87,MATCH(ROWS($A$29:A63),$BW$2:$BW$87,0))),
   IF(OR(_xlpm.link="",UPPER(_xlpm.link)="N/A"),"N/A",
      IF(OR(LEFT(_xlpm.link,7)="http://",LEFT(_xlpm.link,8)="https://"),
         HYPERLINK(_xlpm.link,_xlpm.link),
         _xlpm.link
      )
   )
 ))</f>
        <v>N/A - merged programme</v>
      </c>
      <c r="K63" s="490"/>
      <c r="L63" s="490"/>
      <c r="M63" s="490"/>
      <c r="N63" s="490"/>
      <c r="AZ63" s="438" t="s">
        <v>306</v>
      </c>
      <c r="BA63" s="469" t="s">
        <v>307</v>
      </c>
      <c r="BB63" s="438" t="s">
        <v>137</v>
      </c>
      <c r="BC63" s="438" t="s">
        <v>39</v>
      </c>
      <c r="BD63" s="438" t="s">
        <v>39</v>
      </c>
      <c r="BE63" s="438" t="s">
        <v>771</v>
      </c>
      <c r="BF63" s="438" t="s">
        <v>766</v>
      </c>
      <c r="BG63" s="438" t="s">
        <v>587</v>
      </c>
      <c r="BH63" s="438" t="s">
        <v>764</v>
      </c>
      <c r="BI63" s="438" t="s">
        <v>583</v>
      </c>
      <c r="BJ63" s="438" t="s">
        <v>49</v>
      </c>
      <c r="BK63" s="438" t="s">
        <v>84</v>
      </c>
      <c r="BL63" s="17" t="s">
        <v>308</v>
      </c>
      <c r="BM63" s="447">
        <v>117.60204960463879</v>
      </c>
      <c r="BN63" s="447">
        <v>0.43977591240875907</v>
      </c>
      <c r="BO63" s="447">
        <v>1.973794160583942</v>
      </c>
      <c r="BP63" s="447"/>
      <c r="BQ63" s="447"/>
      <c r="BR63" s="447"/>
      <c r="BS63" s="447">
        <v>89.041407504175851</v>
      </c>
      <c r="BT63" s="447">
        <v>11230.7299270073</v>
      </c>
      <c r="BU63" s="447">
        <v>2.3671532846715331</v>
      </c>
      <c r="BV63" s="438">
        <f t="shared" si="1"/>
        <v>1</v>
      </c>
      <c r="BW63" s="438">
        <f>IF(BV63=1,COUNTIF($BV$2:BV63,1),"")</f>
        <v>62</v>
      </c>
    </row>
    <row r="64" spans="1:75" ht="36" customHeight="1" x14ac:dyDescent="0.25">
      <c r="A64" s="438" t="str">
        <f>IFERROR(INDEX($AZ$2:$AZ$87,MATCH(ROWS($A$29:A64),$BW$2:$BW$87,0)),"")</f>
        <v>FTF Rwanda Orora Wihaze Activity</v>
      </c>
      <c r="B64" s="439">
        <f>IF($A64="","",IFERROR(INDEX($BX$2:$BX$87,MATCH(ROWS($A$29:A64),$BW$2:$BW$87,0)),""))</f>
        <v>0</v>
      </c>
      <c r="C64" s="440" t="str">
        <f>IF($A64="","",INDEX($BB$2:$BB$87,MATCH(ROWS($A$29:A64),$BW$2:$BW$87,0)))</f>
        <v>USAID</v>
      </c>
      <c r="D64" s="441" t="str">
        <f>IF($A64="","",INDEX($BD$2:$BD$87,MATCH(ROWS($A$29:A64),$BW$2:$BW$87,0)))</f>
        <v>Agriculture</v>
      </c>
      <c r="E64" s="441" t="str">
        <f>IF($A64="","",INDEX($BF$2:$BF$87,MATCH(ROWS($A$29:A64),$BW$2:$BW$87,0)))</f>
        <v>5-8 years</v>
      </c>
      <c r="F64" s="441" t="str">
        <f>IF($A64="","",INDEX($BH$2:$BH$87,MATCH(ROWS($A$29:A64),$BW$2:$BW$87,0)))</f>
        <v>Macroeconomically Constrained Only</v>
      </c>
      <c r="G64" s="440" t="str">
        <f>IF($A64="","",INDEX($BI$2:$BI$87,MATCH(ROWS($A$29:A64),$BW$2:$BW$87,0)))</f>
        <v>Low-Income</v>
      </c>
      <c r="H64" s="440" t="str">
        <f>IF($A64="","",INDEX($BJ$2:$BJ$87,MATCH(ROWS($A$29:A64),$BW$2:$BW$87,0)))</f>
        <v>Stable</v>
      </c>
      <c r="I64" s="441" t="str">
        <f>IF($A64="","",INDEX($BK$2:$BK$87,MATCH(ROWS($A$29:A64),$BW$2:$BW$87,0)))</f>
        <v>job creation, income improvement; food security &amp; resilience</v>
      </c>
      <c r="J64" s="441" t="str">
        <f>IF($A64="","",
 _xlfn.LET(
   _xlpm.link,TRIM(INDEX($BL$2:$BL$87,MATCH(ROWS($A$29:A64),$BW$2:$BW$87,0))),
   IF(OR(_xlpm.link="",UPPER(_xlpm.link)="N/A"),"N/A",
      IF(OR(LEFT(_xlpm.link,7)="http://",LEFT(_xlpm.link,8)="https://"),
         HYPERLINK(_xlpm.link,_xlpm.link),
         _xlpm.link
      )
   )
 ))</f>
        <v>https://beamexchange.org/implement/programme-index/orora-wihaze/</v>
      </c>
      <c r="K64" s="490"/>
      <c r="L64" s="490"/>
      <c r="M64" s="490"/>
      <c r="N64" s="490"/>
      <c r="AZ64" s="438" t="s">
        <v>309</v>
      </c>
      <c r="BA64" s="469" t="s">
        <v>310</v>
      </c>
      <c r="BB64" s="438" t="s">
        <v>780</v>
      </c>
      <c r="BC64" s="438" t="s">
        <v>312</v>
      </c>
      <c r="BD64" s="438" t="s">
        <v>597</v>
      </c>
      <c r="BE64" s="438" t="s">
        <v>761</v>
      </c>
      <c r="BF64" s="438" t="s">
        <v>766</v>
      </c>
      <c r="BG64" s="438" t="s">
        <v>587</v>
      </c>
      <c r="BH64" s="438" t="s">
        <v>764</v>
      </c>
      <c r="BI64" s="438" t="s">
        <v>586</v>
      </c>
      <c r="BJ64" s="438" t="s">
        <v>42</v>
      </c>
      <c r="BK64" s="438" t="s">
        <v>594</v>
      </c>
      <c r="BL64" s="17" t="s">
        <v>313</v>
      </c>
      <c r="BM64" s="447"/>
      <c r="BN64" s="447"/>
      <c r="BO64" s="447">
        <v>0.2779701</v>
      </c>
      <c r="BP64" s="447"/>
      <c r="BQ64" s="447">
        <v>179419.75308641969</v>
      </c>
      <c r="BR64" s="447">
        <v>5.5735223284937732</v>
      </c>
      <c r="BS64" s="447">
        <v>26044.802867383511</v>
      </c>
      <c r="BT64" s="447">
        <v>38.395376040734881</v>
      </c>
      <c r="BU64" s="447"/>
      <c r="BV64" s="438">
        <f t="shared" si="1"/>
        <v>1</v>
      </c>
      <c r="BW64" s="438">
        <f>IF(BV64=1,COUNTIF($BV$2:BV64,1),"")</f>
        <v>63</v>
      </c>
    </row>
    <row r="65" spans="1:75" ht="24" customHeight="1" x14ac:dyDescent="0.25">
      <c r="A65" s="438" t="str">
        <f>IFERROR(INDEX($AZ$2:$AZ$87,MATCH(ROWS($A$29:A65),$BW$2:$BW$87,0)),"")</f>
        <v>Maendeleo Sawa</v>
      </c>
      <c r="B65" s="439">
        <f>IF($A65="","",IFERROR(INDEX($BX$2:$BX$87,MATCH(ROWS($A$29:A65),$BW$2:$BW$87,0)),""))</f>
        <v>0</v>
      </c>
      <c r="C65" s="440" t="str">
        <f>IF($A65="","",INDEX($BB$2:$BB$87,MATCH(ROWS($A$29:A65),$BW$2:$BW$87,0)))</f>
        <v>M-Sawa</v>
      </c>
      <c r="D65" s="441" t="str">
        <f>IF($A65="","",INDEX($BD$2:$BD$87,MATCH(ROWS($A$29:A65),$BW$2:$BW$87,0)))</f>
        <v>Agriculture</v>
      </c>
      <c r="E65" s="441" t="str">
        <f>IF($A65="","",INDEX($BF$2:$BF$87,MATCH(ROWS($A$29:A65),$BW$2:$BW$87,0)))</f>
        <v>5-8 years</v>
      </c>
      <c r="F65" s="441" t="str">
        <f>IF($A65="","",INDEX($BH$2:$BH$87,MATCH(ROWS($A$29:A65),$BW$2:$BW$87,0)))</f>
        <v>Politically Constrained Only</v>
      </c>
      <c r="G65" s="440" t="str">
        <f>IF($A65="","",INDEX($BI$2:$BI$87,MATCH(ROWS($A$29:A65),$BW$2:$BW$87,0)))</f>
        <v>Lower-Middle Income</v>
      </c>
      <c r="H65" s="440" t="str">
        <f>IF($A65="","",INDEX($BJ$2:$BJ$87,MATCH(ROWS($A$29:A65),$BW$2:$BW$87,0)))</f>
        <v>Stable</v>
      </c>
      <c r="I65" s="441" t="str">
        <f>IF($A65="","",INDEX($BK$2:$BK$87,MATCH(ROWS($A$29:A65),$BW$2:$BW$87,0)))</f>
        <v>income improvement; food security &amp; resilience</v>
      </c>
      <c r="J65" s="441" t="str">
        <f>IF($A65="","",
 _xlfn.LET(
   _xlpm.link,TRIM(INDEX($BL$2:$BL$87,MATCH(ROWS($A$29:A65),$BW$2:$BW$87,0))),
   IF(OR(_xlpm.link="",UPPER(_xlpm.link)="N/A"),"N/A",
      IF(OR(LEFT(_xlpm.link,7)="http://",LEFT(_xlpm.link,8)="https://"),
         HYPERLINK(_xlpm.link,_xlpm.link),
         _xlpm.link
      )
   )
 ))</f>
        <v>https://beamexchange.org/implement/programme-index/m-sawa-maendeleo-sawa/</v>
      </c>
      <c r="K65" s="490"/>
      <c r="L65" s="490"/>
      <c r="M65" s="490"/>
      <c r="N65" s="490"/>
      <c r="AZ65" s="438" t="s">
        <v>315</v>
      </c>
      <c r="BA65" s="469" t="s">
        <v>316</v>
      </c>
      <c r="BB65" s="438" t="s">
        <v>781</v>
      </c>
      <c r="BC65" s="438" t="s">
        <v>39</v>
      </c>
      <c r="BD65" s="438" t="s">
        <v>39</v>
      </c>
      <c r="BE65" s="438" t="s">
        <v>761</v>
      </c>
      <c r="BF65" s="438" t="s">
        <v>718</v>
      </c>
      <c r="BG65" s="438" t="s">
        <v>674</v>
      </c>
      <c r="BH65" s="438" t="s">
        <v>727</v>
      </c>
      <c r="BI65" s="438" t="s">
        <v>583</v>
      </c>
      <c r="BJ65" s="438" t="s">
        <v>49</v>
      </c>
      <c r="BK65" s="438" t="s">
        <v>611</v>
      </c>
      <c r="BL65" s="17" t="s">
        <v>320</v>
      </c>
      <c r="BM65" s="447">
        <v>188.1985</v>
      </c>
      <c r="BN65" s="447">
        <v>0.52716666666666656</v>
      </c>
      <c r="BO65" s="447"/>
      <c r="BP65" s="447"/>
      <c r="BQ65" s="447">
        <v>447.76119402985069</v>
      </c>
      <c r="BR65" s="447">
        <v>2233.333333333333</v>
      </c>
      <c r="BS65" s="447">
        <v>254237.2881355932</v>
      </c>
      <c r="BT65" s="447">
        <v>3.9333333333333331</v>
      </c>
      <c r="BU65" s="447">
        <v>1.0677128233333331</v>
      </c>
      <c r="BV65" s="438">
        <f t="shared" si="1"/>
        <v>1</v>
      </c>
      <c r="BW65" s="438">
        <f>IF(BV65=1,COUNTIF($BV$2:BV65,1),"")</f>
        <v>64</v>
      </c>
    </row>
    <row r="66" spans="1:75" ht="28.9" customHeight="1" x14ac:dyDescent="0.25">
      <c r="A66" s="438" t="str">
        <f>IFERROR(INDEX($AZ$2:$AZ$87,MATCH(ROWS($A$29:A66),$BW$2:$BW$87,0)),"")</f>
        <v>Gender Transformative &amp; Responsible Agribusiness Investment in South East Asia - Phase 2</v>
      </c>
      <c r="B66" s="439">
        <f>IF($A66="","",IFERROR(INDEX($BX$2:$BX$87,MATCH(ROWS($A$29:A66),$BW$2:$BW$87,0)),""))</f>
        <v>0</v>
      </c>
      <c r="C66" s="440" t="str">
        <f>IF($A66="","",INDEX($BB$2:$BB$87,MATCH(ROWS($A$29:A66),$BW$2:$BW$87,0)))</f>
        <v>Sida</v>
      </c>
      <c r="D66" s="441" t="str">
        <f>IF($A66="","",INDEX($BD$2:$BD$87,MATCH(ROWS($A$29:A66),$BW$2:$BW$87,0)))</f>
        <v>Agriculture</v>
      </c>
      <c r="E66" s="441" t="str">
        <f>IF($A66="","",INDEX($BF$2:$BF$87,MATCH(ROWS($A$29:A66),$BW$2:$BW$87,0)))</f>
        <v>5-8 years</v>
      </c>
      <c r="F66" s="441" t="str">
        <f>IF($A66="","",INDEX($BH$2:$BH$87,MATCH(ROWS($A$29:A66),$BW$2:$BW$87,0)))</f>
        <v>Politically Constrained Only</v>
      </c>
      <c r="G66" s="440" t="str">
        <f>IF($A66="","",INDEX($BI$2:$BI$87,MATCH(ROWS($A$29:A66),$BW$2:$BW$87,0)))</f>
        <v>Mixed</v>
      </c>
      <c r="H66" s="440" t="str">
        <f>IF($A66="","",INDEX($BJ$2:$BJ$87,MATCH(ROWS($A$29:A66),$BW$2:$BW$87,0)))</f>
        <v>Stable</v>
      </c>
      <c r="I66" s="441" t="str">
        <f>IF($A66="","",INDEX($BK$2:$BK$87,MATCH(ROWS($A$29:A66),$BW$2:$BW$87,0)))</f>
        <v>income improvement; food security &amp; resilience</v>
      </c>
      <c r="J66" s="441" t="str">
        <f>IF($A66="","",
 _xlfn.LET(
   _xlpm.link,TRIM(INDEX($BL$2:$BL$87,MATCH(ROWS($A$29:A66),$BW$2:$BW$87,0))),
   IF(OR(_xlpm.link="",UPPER(_xlpm.link)="N/A"),"N/A",
      IF(OR(LEFT(_xlpm.link,7)="http://",LEFT(_xlpm.link,8)="https://"),
         HYPERLINK(_xlpm.link,_xlpm.link),
         _xlpm.link
      )
   )
 ))</f>
        <v>N/A - report provided by Sida</v>
      </c>
      <c r="K66" s="490"/>
      <c r="L66" s="490"/>
      <c r="M66" s="490"/>
      <c r="N66" s="490"/>
      <c r="AZ66" s="438" t="s">
        <v>321</v>
      </c>
      <c r="BA66" s="469" t="s">
        <v>322</v>
      </c>
      <c r="BB66" s="438" t="s">
        <v>171</v>
      </c>
      <c r="BC66" s="438" t="s">
        <v>39</v>
      </c>
      <c r="BD66" s="438" t="s">
        <v>39</v>
      </c>
      <c r="BE66" s="438" t="s">
        <v>771</v>
      </c>
      <c r="BF66" s="438" t="s">
        <v>766</v>
      </c>
      <c r="BG66" s="438" t="s">
        <v>674</v>
      </c>
      <c r="BH66" s="438" t="s">
        <v>727</v>
      </c>
      <c r="BI66" s="438" t="s">
        <v>586</v>
      </c>
      <c r="BJ66" s="438" t="s">
        <v>49</v>
      </c>
      <c r="BK66" s="438" t="s">
        <v>617</v>
      </c>
      <c r="BL66" s="17" t="s">
        <v>231</v>
      </c>
      <c r="BM66" s="447"/>
      <c r="BN66" s="447">
        <v>1.4768966841882609</v>
      </c>
      <c r="BO66" s="447">
        <v>2.400082340145846</v>
      </c>
      <c r="BP66" s="447"/>
      <c r="BQ66" s="447">
        <v>13222.31033004715</v>
      </c>
      <c r="BR66" s="447">
        <v>75.629748133164114</v>
      </c>
      <c r="BS66" s="447">
        <v>419.0232008476188</v>
      </c>
      <c r="BT66" s="447">
        <v>2386.5026995573412</v>
      </c>
      <c r="BU66" s="447"/>
      <c r="BV66" s="438">
        <f t="shared" ref="BV66:BV87" si="2">--AND(OR($C$4="All",$BD66=$C$4),OR($C$5="All",$BI66=$C$5),OR($C$6="All",$BF66=$C$6),OR($C$7="All",$BJ66=$C$7),OR($C$8="All",$BH66=$C$8),OR($C$9="All",ISNUMBER(SEARCH(LOWER($C$9),LOWER($BK66)))),OR($C$10="All",ISNUMBER(SEARCH(LOWER($C$10),LOWER($BB66)))))</f>
        <v>1</v>
      </c>
      <c r="BW66" s="438">
        <f>IF(BV66=1,COUNTIF($BV$2:BV66,1),"")</f>
        <v>65</v>
      </c>
    </row>
    <row r="67" spans="1:75" ht="28.9" customHeight="1" x14ac:dyDescent="0.25">
      <c r="A67" s="438" t="str">
        <f>IFERROR(INDEX($AZ$2:$AZ$87,MATCH(ROWS($A$29:A67),$BW$2:$BW$87,0)),"")</f>
        <v>MarketMakers (Phase1-3)</v>
      </c>
      <c r="B67" s="439">
        <f>IF($A67="","",IFERROR(INDEX($BX$2:$BX$87,MATCH(ROWS($A$29:A67),$BW$2:$BW$87,0)),""))</f>
        <v>0</v>
      </c>
      <c r="C67" s="440" t="str">
        <f>IF($A67="","",INDEX($BB$2:$BB$87,MATCH(ROWS($A$29:A67),$BW$2:$BW$87,0)))</f>
        <v>SDC</v>
      </c>
      <c r="D67" s="441" t="str">
        <f>IF($A67="","",INDEX($BD$2:$BD$87,MATCH(ROWS($A$29:A67),$BW$2:$BW$87,0)))</f>
        <v>Non-Agriculture</v>
      </c>
      <c r="E67" s="441" t="str">
        <f>IF($A67="","",INDEX($BF$2:$BF$87,MATCH(ROWS($A$29:A67),$BW$2:$BW$87,0)))</f>
        <v>9+ years</v>
      </c>
      <c r="F67" s="441" t="str">
        <f>IF($A67="","",INDEX($BH$2:$BH$87,MATCH(ROWS($A$29:A67),$BW$2:$BW$87,0)))</f>
        <v>Macroeconomically Constrained Only</v>
      </c>
      <c r="G67" s="440" t="str">
        <f>IF($A67="","",INDEX($BI$2:$BI$87,MATCH(ROWS($A$29:A67),$BW$2:$BW$87,0)))</f>
        <v>Upper-Middle Income</v>
      </c>
      <c r="H67" s="440" t="str">
        <f>IF($A67="","",INDEX($BJ$2:$BJ$87,MATCH(ROWS($A$29:A67),$BW$2:$BW$87,0)))</f>
        <v>Stable</v>
      </c>
      <c r="I67" s="441" t="str">
        <f>IF($A67="","",INDEX($BK$2:$BK$87,MATCH(ROWS($A$29:A67),$BW$2:$BW$87,0)))</f>
        <v>job creation; income improvement</v>
      </c>
      <c r="J67" s="441" t="str">
        <f>IF($A67="","",
 _xlfn.LET(
   _xlpm.link,TRIM(INDEX($BL$2:$BL$87,MATCH(ROWS($A$29:A67),$BW$2:$BW$87,0))),
   IF(OR(_xlpm.link="",UPPER(_xlpm.link)="N/A"),"N/A",
      IF(OR(LEFT(_xlpm.link,7)="http://",LEFT(_xlpm.link,8)="https://"),
         HYPERLINK(_xlpm.link,_xlpm.link),
         _xlpm.link
      )
   )
 ))</f>
        <v>https://beamexchange.org/implement/programme-index/marketmakers/</v>
      </c>
      <c r="K67" s="490"/>
      <c r="L67" s="490"/>
      <c r="M67" s="490"/>
      <c r="N67" s="490"/>
      <c r="AZ67" s="438" t="s">
        <v>550</v>
      </c>
      <c r="BA67" s="469" t="s">
        <v>324</v>
      </c>
      <c r="BB67" s="438" t="s">
        <v>171</v>
      </c>
      <c r="BC67" s="438" t="s">
        <v>39</v>
      </c>
      <c r="BD67" s="438" t="s">
        <v>39</v>
      </c>
      <c r="BE67" s="438" t="s">
        <v>761</v>
      </c>
      <c r="BF67" s="438" t="s">
        <v>718</v>
      </c>
      <c r="BG67" s="438" t="s">
        <v>587</v>
      </c>
      <c r="BH67" s="438" t="s">
        <v>764</v>
      </c>
      <c r="BI67" s="438" t="s">
        <v>586</v>
      </c>
      <c r="BJ67" s="438" t="s">
        <v>42</v>
      </c>
      <c r="BK67" s="438" t="s">
        <v>616</v>
      </c>
      <c r="BL67" s="17" t="s">
        <v>183</v>
      </c>
      <c r="BM67" s="447"/>
      <c r="BN67" s="447">
        <v>0.13589120795412929</v>
      </c>
      <c r="BO67" s="447">
        <v>3.9781127139103221E-2</v>
      </c>
      <c r="BP67" s="447"/>
      <c r="BQ67" s="447"/>
      <c r="BR67" s="447"/>
      <c r="BS67" s="447">
        <v>167.49562201531359</v>
      </c>
      <c r="BT67" s="447">
        <v>5970.3053009264513</v>
      </c>
      <c r="BU67" s="447"/>
      <c r="BV67" s="438">
        <f t="shared" si="2"/>
        <v>1</v>
      </c>
      <c r="BW67" s="438">
        <f>IF(BV67=1,COUNTIF($BV$2:BV67,1),"")</f>
        <v>66</v>
      </c>
    </row>
    <row r="68" spans="1:75" ht="36" customHeight="1" x14ac:dyDescent="0.25">
      <c r="A68" s="438" t="str">
        <f>IFERROR(INDEX($AZ$2:$AZ$87,MATCH(ROWS($A$29:A68),$BW$2:$BW$87,0)),"")</f>
        <v>FTF Rwanda Nguriza Nshore</v>
      </c>
      <c r="B68" s="439">
        <f>IF($A68="","",IFERROR(INDEX($BX$2:$BX$87,MATCH(ROWS($A$29:A68),$BW$2:$BW$87,0)),""))</f>
        <v>0</v>
      </c>
      <c r="C68" s="440" t="str">
        <f>IF($A68="","",INDEX($BB$2:$BB$87,MATCH(ROWS($A$29:A68),$BW$2:$BW$87,0)))</f>
        <v>USAID</v>
      </c>
      <c r="D68" s="441" t="str">
        <f>IF($A68="","",INDEX($BD$2:$BD$87,MATCH(ROWS($A$29:A68),$BW$2:$BW$87,0)))</f>
        <v>Agriculture</v>
      </c>
      <c r="E68" s="441" t="str">
        <f>IF($A68="","",INDEX($BF$2:$BF$87,MATCH(ROWS($A$29:A68),$BW$2:$BW$87,0)))</f>
        <v>5-8 years</v>
      </c>
      <c r="F68" s="441" t="str">
        <f>IF($A68="","",INDEX($BH$2:$BH$87,MATCH(ROWS($A$29:A68),$BW$2:$BW$87,0)))</f>
        <v>Macroeconomically Constrained Only</v>
      </c>
      <c r="G68" s="440" t="str">
        <f>IF($A68="","",INDEX($BI$2:$BI$87,MATCH(ROWS($A$29:A68),$BW$2:$BW$87,0)))</f>
        <v>Low-Income</v>
      </c>
      <c r="H68" s="440" t="str">
        <f>IF($A68="","",INDEX($BJ$2:$BJ$87,MATCH(ROWS($A$29:A68),$BW$2:$BW$87,0)))</f>
        <v>Stable</v>
      </c>
      <c r="I68" s="441" t="str">
        <f>IF($A68="","",INDEX($BK$2:$BK$87,MATCH(ROWS($A$29:A68),$BW$2:$BW$87,0)))</f>
        <v>job creation, income improvement; food security &amp; resilience</v>
      </c>
      <c r="J68" s="441" t="str">
        <f>IF($A68="","",
 _xlfn.LET(
   _xlpm.link,TRIM(INDEX($BL$2:$BL$87,MATCH(ROWS($A$29:A68),$BW$2:$BW$87,0))),
   IF(OR(_xlpm.link="",UPPER(_xlpm.link)="N/A"),"N/A",
      IF(OR(LEFT(_xlpm.link,7)="http://",LEFT(_xlpm.link,8)="https://"),
         HYPERLINK(_xlpm.link,_xlpm.link),
         _xlpm.link
      )
   )
 ))</f>
        <v>N/A - report provided by former USAID</v>
      </c>
      <c r="K68" s="490"/>
      <c r="L68" s="490"/>
      <c r="M68" s="490"/>
      <c r="N68" s="490"/>
      <c r="AZ68" s="438" t="s">
        <v>325</v>
      </c>
      <c r="BA68" s="469" t="s">
        <v>326</v>
      </c>
      <c r="BB68" s="438" t="s">
        <v>782</v>
      </c>
      <c r="BC68" s="438" t="s">
        <v>39</v>
      </c>
      <c r="BD68" s="438" t="s">
        <v>39</v>
      </c>
      <c r="BE68" s="438" t="s">
        <v>778</v>
      </c>
      <c r="BF68" s="438" t="s">
        <v>716</v>
      </c>
      <c r="BG68" s="438" t="s">
        <v>673</v>
      </c>
      <c r="BH68" s="438" t="s">
        <v>728</v>
      </c>
      <c r="BI68" s="438" t="s">
        <v>589</v>
      </c>
      <c r="BJ68" s="438" t="s">
        <v>49</v>
      </c>
      <c r="BK68" s="438" t="s">
        <v>329</v>
      </c>
      <c r="BL68" s="17" t="s">
        <v>330</v>
      </c>
      <c r="BM68" s="447">
        <v>53.93589060488091</v>
      </c>
      <c r="BN68" s="447"/>
      <c r="BO68" s="447"/>
      <c r="BP68" s="447">
        <v>4.1676272283715718E-2</v>
      </c>
      <c r="BQ68" s="447">
        <v>22962.65409717186</v>
      </c>
      <c r="BR68" s="447">
        <v>43.548972856894729</v>
      </c>
      <c r="BS68" s="447">
        <v>61.714331375292829</v>
      </c>
      <c r="BT68" s="447">
        <v>16203.69171495792</v>
      </c>
      <c r="BU68" s="447">
        <v>1.1310176817040629</v>
      </c>
      <c r="BV68" s="438">
        <f t="shared" si="2"/>
        <v>1</v>
      </c>
      <c r="BW68" s="438">
        <f>IF(BV68=1,COUNTIF($BV$2:BV68,1),"")</f>
        <v>67</v>
      </c>
    </row>
    <row r="69" spans="1:75" ht="36" customHeight="1" x14ac:dyDescent="0.25">
      <c r="A69" s="438" t="str">
        <f>IFERROR(INDEX($AZ$2:$AZ$87,MATCH(ROWS($A$29:A69),$BW$2:$BW$87,0)),"")</f>
        <v>Strengthening African Rural Smallholders</v>
      </c>
      <c r="B69" s="439">
        <f>IF($A69="","",IFERROR(INDEX($BX$2:$BX$87,MATCH(ROWS($A$29:A69),$BW$2:$BW$87,0)),""))</f>
        <v>0</v>
      </c>
      <c r="C69" s="440" t="str">
        <f>IF($A69="","",INDEX($BB$2:$BB$87,MATCH(ROWS($A$29:A69),$BW$2:$BW$87,0)))</f>
        <v>Mastercard Foundation</v>
      </c>
      <c r="D69" s="441" t="str">
        <f>IF($A69="","",INDEX($BD$2:$BD$87,MATCH(ROWS($A$29:A69),$BW$2:$BW$87,0)))</f>
        <v>Mixed</v>
      </c>
      <c r="E69" s="441" t="str">
        <f>IF($A69="","",INDEX($BF$2:$BF$87,MATCH(ROWS($A$29:A69),$BW$2:$BW$87,0)))</f>
        <v>1-4 years</v>
      </c>
      <c r="F69" s="441" t="str">
        <f>IF($A69="","",INDEX($BH$2:$BH$87,MATCH(ROWS($A$29:A69),$BW$2:$BW$87,0)))</f>
        <v>Politically Constrained Only</v>
      </c>
      <c r="G69" s="440" t="str">
        <f>IF($A69="","",INDEX($BI$2:$BI$87,MATCH(ROWS($A$29:A69),$BW$2:$BW$87,0)))</f>
        <v>Mixed</v>
      </c>
      <c r="H69" s="440" t="str">
        <f>IF($A69="","",INDEX($BJ$2:$BJ$87,MATCH(ROWS($A$29:A69),$BW$2:$BW$87,0)))</f>
        <v>FCAS</v>
      </c>
      <c r="I69" s="441" t="str">
        <f>IF($A69="","",INDEX($BK$2:$BK$87,MATCH(ROWS($A$29:A69),$BW$2:$BW$87,0)))</f>
        <v>access to finance and end-markets</v>
      </c>
      <c r="J69" s="441" t="str">
        <f>IF($A69="","",
 _xlfn.LET(
   _xlpm.link,TRIM(INDEX($BL$2:$BL$87,MATCH(ROWS($A$29:A69),$BW$2:$BW$87,0))),
   IF(OR(_xlpm.link="",UPPER(_xlpm.link)="N/A"),"N/A",
      IF(OR(LEFT(_xlpm.link,7)="http://",LEFT(_xlpm.link,8)="https://"),
         HYPERLINK(_xlpm.link,_xlpm.link),
         _xlpm.link
      )
   )
 ))</f>
        <v>https://beamexchange.org/implement/programme-index/stars-strengthening-african-rural-smallholders/</v>
      </c>
      <c r="K69" s="490"/>
      <c r="L69" s="490"/>
      <c r="M69" s="490"/>
      <c r="N69" s="490"/>
      <c r="AZ69" s="438" t="s">
        <v>341</v>
      </c>
      <c r="BA69" s="469" t="s">
        <v>342</v>
      </c>
      <c r="BB69" s="438" t="s">
        <v>171</v>
      </c>
      <c r="BC69" s="438" t="s">
        <v>39</v>
      </c>
      <c r="BD69" s="438" t="s">
        <v>39</v>
      </c>
      <c r="BE69" s="438" t="s">
        <v>771</v>
      </c>
      <c r="BF69" s="438" t="s">
        <v>766</v>
      </c>
      <c r="BG69" s="438" t="s">
        <v>674</v>
      </c>
      <c r="BH69" s="438" t="s">
        <v>727</v>
      </c>
      <c r="BI69" s="438" t="s">
        <v>583</v>
      </c>
      <c r="BJ69" s="438" t="s">
        <v>49</v>
      </c>
      <c r="BK69" s="438" t="s">
        <v>594</v>
      </c>
      <c r="BL69" s="17" t="s">
        <v>343</v>
      </c>
      <c r="BM69" s="447">
        <v>87.461244316931172</v>
      </c>
      <c r="BN69" s="447">
        <v>0.56052631578947365</v>
      </c>
      <c r="BO69" s="447">
        <v>3.4210526315789469</v>
      </c>
      <c r="BP69" s="447"/>
      <c r="BQ69" s="447">
        <v>306.28145653848219</v>
      </c>
      <c r="BR69" s="447">
        <v>3264.9707602339181</v>
      </c>
      <c r="BS69" s="447"/>
      <c r="BT69" s="447"/>
      <c r="BU69" s="447">
        <v>0.78617684990253411</v>
      </c>
      <c r="BV69" s="438">
        <f t="shared" si="2"/>
        <v>1</v>
      </c>
      <c r="BW69" s="438">
        <f>IF(BV69=1,COUNTIF($BV$2:BV69,1),"")</f>
        <v>68</v>
      </c>
    </row>
    <row r="70" spans="1:75" ht="24" customHeight="1" x14ac:dyDescent="0.25">
      <c r="A70" s="438" t="str">
        <f>IFERROR(INDEX($AZ$2:$AZ$87,MATCH(ROWS($A$29:A70),$BW$2:$BW$87,0)),"")</f>
        <v>USAID Feed the Future Bangladesh Horticulture, Fruits, and Non-Food Crops Activity</v>
      </c>
      <c r="B70" s="439">
        <f>IF($A70="","",IFERROR(INDEX($BX$2:$BX$87,MATCH(ROWS($A$29:A70),$BW$2:$BW$87,0)),""))</f>
        <v>0</v>
      </c>
      <c r="C70" s="440" t="str">
        <f>IF($A70="","",INDEX($BB$2:$BB$87,MATCH(ROWS($A$29:A70),$BW$2:$BW$87,0)))</f>
        <v>USAID</v>
      </c>
      <c r="D70" s="441" t="str">
        <f>IF($A70="","",INDEX($BD$2:$BD$87,MATCH(ROWS($A$29:A70),$BW$2:$BW$87,0)))</f>
        <v>Agriculture</v>
      </c>
      <c r="E70" s="441" t="str">
        <f>IF($A70="","",INDEX($BF$2:$BF$87,MATCH(ROWS($A$29:A70),$BW$2:$BW$87,0)))</f>
        <v>5-8 years</v>
      </c>
      <c r="F70" s="441" t="str">
        <f>IF($A70="","",INDEX($BH$2:$BH$87,MATCH(ROWS($A$29:A70),$BW$2:$BW$87,0)))</f>
        <v>Politically Constrained Only</v>
      </c>
      <c r="G70" s="440" t="str">
        <f>IF($A70="","",INDEX($BI$2:$BI$87,MATCH(ROWS($A$29:A70),$BW$2:$BW$87,0)))</f>
        <v>Lower-Middle Income</v>
      </c>
      <c r="H70" s="440" t="str">
        <f>IF($A70="","",INDEX($BJ$2:$BJ$87,MATCH(ROWS($A$29:A70),$BW$2:$BW$87,0)))</f>
        <v>Stable</v>
      </c>
      <c r="I70" s="441" t="str">
        <f>IF($A70="","",INDEX($BK$2:$BK$87,MATCH(ROWS($A$29:A70),$BW$2:$BW$87,0)))</f>
        <v>job creation, income improvement; food security &amp; resilience</v>
      </c>
      <c r="J70" s="441" t="str">
        <f>IF($A70="","",
 _xlfn.LET(
   _xlpm.link,TRIM(INDEX($BL$2:$BL$87,MATCH(ROWS($A$29:A70),$BW$2:$BW$87,0))),
   IF(OR(_xlpm.link="",UPPER(_xlpm.link)="N/A"),"N/A",
      IF(OR(LEFT(_xlpm.link,7)="http://",LEFT(_xlpm.link,8)="https://"),
         HYPERLINK(_xlpm.link,_xlpm.link),
         _xlpm.link
      )
   )
 ))</f>
        <v>N/A - report provided by former USAID</v>
      </c>
      <c r="K70" s="490"/>
      <c r="L70" s="490"/>
      <c r="M70" s="490"/>
      <c r="N70" s="490"/>
      <c r="AZ70" s="438" t="s">
        <v>551</v>
      </c>
      <c r="BA70" s="469" t="s">
        <v>345</v>
      </c>
      <c r="BB70" s="438" t="s">
        <v>171</v>
      </c>
      <c r="BC70" s="438" t="s">
        <v>39</v>
      </c>
      <c r="BD70" s="438" t="s">
        <v>39</v>
      </c>
      <c r="BE70" s="438" t="s">
        <v>761</v>
      </c>
      <c r="BF70" s="438" t="s">
        <v>718</v>
      </c>
      <c r="BG70" s="438" t="s">
        <v>673</v>
      </c>
      <c r="BH70" s="438" t="s">
        <v>728</v>
      </c>
      <c r="BI70" s="438" t="s">
        <v>583</v>
      </c>
      <c r="BJ70" s="438" t="s">
        <v>49</v>
      </c>
      <c r="BK70" s="438" t="s">
        <v>616</v>
      </c>
      <c r="BL70" s="17" t="s">
        <v>183</v>
      </c>
      <c r="BM70" s="447"/>
      <c r="BN70" s="447">
        <v>8.3336882046059749E-4</v>
      </c>
      <c r="BO70" s="447">
        <v>1.959925063457816</v>
      </c>
      <c r="BP70" s="447"/>
      <c r="BQ70" s="447"/>
      <c r="BR70" s="447"/>
      <c r="BS70" s="447">
        <v>313.50224254452303</v>
      </c>
      <c r="BT70" s="447">
        <v>3189.769846249128</v>
      </c>
      <c r="BU70" s="447"/>
      <c r="BV70" s="438">
        <f t="shared" si="2"/>
        <v>1</v>
      </c>
      <c r="BW70" s="438">
        <f>IF(BV70=1,COUNTIF($BV$2:BV70,1),"")</f>
        <v>69</v>
      </c>
    </row>
    <row r="71" spans="1:75" ht="28.9" customHeight="1" x14ac:dyDescent="0.25">
      <c r="A71" s="438" t="str">
        <f>IFERROR(INDEX($AZ$2:$AZ$87,MATCH(ROWS($A$29:A71),$BW$2:$BW$87,0)),"")</f>
        <v>Sahaj - Nepal Agricultural Market Development Programme (Phase 1-2)</v>
      </c>
      <c r="B71" s="439">
        <f>IF($A71="","",IFERROR(INDEX($BX$2:$BX$87,MATCH(ROWS($A$29:A71),$BW$2:$BW$87,0)),""))</f>
        <v>0</v>
      </c>
      <c r="C71" s="440" t="str">
        <f>IF($A71="","",INDEX($BB$2:$BB$87,MATCH(ROWS($A$29:A71),$BW$2:$BW$87,0)))</f>
        <v>SDC</v>
      </c>
      <c r="D71" s="441" t="str">
        <f>IF($A71="","",INDEX($BD$2:$BD$87,MATCH(ROWS($A$29:A71),$BW$2:$BW$87,0)))</f>
        <v>Agriculture</v>
      </c>
      <c r="E71" s="441" t="str">
        <f>IF($A71="","",INDEX($BF$2:$BF$87,MATCH(ROWS($A$29:A71),$BW$2:$BW$87,0)))</f>
        <v>9+ years</v>
      </c>
      <c r="F71" s="441" t="str">
        <f>IF($A71="","",INDEX($BH$2:$BH$87,MATCH(ROWS($A$29:A71),$BW$2:$BW$87,0)))</f>
        <v>Macroeconomically Constrained Only</v>
      </c>
      <c r="G71" s="440" t="str">
        <f>IF($A71="","",INDEX($BI$2:$BI$87,MATCH(ROWS($A$29:A71),$BW$2:$BW$87,0)))</f>
        <v>Lower-Middle Income</v>
      </c>
      <c r="H71" s="440" t="str">
        <f>IF($A71="","",INDEX($BJ$2:$BJ$87,MATCH(ROWS($A$29:A71),$BW$2:$BW$87,0)))</f>
        <v>Stable</v>
      </c>
      <c r="I71" s="441" t="str">
        <f>IF($A71="","",INDEX($BK$2:$BK$87,MATCH(ROWS($A$29:A71),$BW$2:$BW$87,0)))</f>
        <v>job creation; income improvement</v>
      </c>
      <c r="J71" s="441" t="str">
        <f>IF($A71="","",
 _xlfn.LET(
   _xlpm.link,TRIM(INDEX($BL$2:$BL$87,MATCH(ROWS($A$29:A71),$BW$2:$BW$87,0))),
   IF(OR(_xlpm.link="",UPPER(_xlpm.link)="N/A"),"N/A",
      IF(OR(LEFT(_xlpm.link,7)="http://",LEFT(_xlpm.link,8)="https://"),
         HYPERLINK(_xlpm.link,_xlpm.link),
         _xlpm.link
      )
   )
 ))</f>
        <v>N/A - merged programme</v>
      </c>
      <c r="K71" s="490"/>
      <c r="L71" s="490"/>
      <c r="M71" s="490"/>
      <c r="N71" s="490"/>
      <c r="AZ71" s="438" t="s">
        <v>350</v>
      </c>
      <c r="BA71" s="469" t="s">
        <v>351</v>
      </c>
      <c r="BB71" s="438" t="s">
        <v>171</v>
      </c>
      <c r="BC71" s="438" t="s">
        <v>39</v>
      </c>
      <c r="BD71" s="438" t="s">
        <v>39</v>
      </c>
      <c r="BE71" s="438" t="s">
        <v>761</v>
      </c>
      <c r="BF71" s="438" t="s">
        <v>766</v>
      </c>
      <c r="BG71" s="438" t="s">
        <v>587</v>
      </c>
      <c r="BH71" s="438" t="s">
        <v>764</v>
      </c>
      <c r="BI71" s="438" t="s">
        <v>586</v>
      </c>
      <c r="BJ71" s="438" t="s">
        <v>42</v>
      </c>
      <c r="BK71" s="438" t="s">
        <v>618</v>
      </c>
      <c r="BL71" s="17" t="s">
        <v>231</v>
      </c>
      <c r="BM71" s="447"/>
      <c r="BN71" s="447">
        <v>3.8750673637124283E-2</v>
      </c>
      <c r="BO71" s="447">
        <v>1.1209320865687951</v>
      </c>
      <c r="BP71" s="447"/>
      <c r="BQ71" s="447">
        <v>80519.129662522202</v>
      </c>
      <c r="BR71" s="447">
        <v>12.41940895525417</v>
      </c>
      <c r="BS71" s="447"/>
      <c r="BT71" s="447"/>
      <c r="BU71" s="447"/>
      <c r="BV71" s="438">
        <f t="shared" si="2"/>
        <v>1</v>
      </c>
      <c r="BW71" s="438">
        <f>IF(BV71=1,COUNTIF($BV$2:BV71,1),"")</f>
        <v>70</v>
      </c>
    </row>
    <row r="72" spans="1:75" ht="33.6" customHeight="1" x14ac:dyDescent="0.25">
      <c r="A72" s="438" t="str">
        <f>IFERROR(INDEX($AZ$2:$AZ$87,MATCH(ROWS($A$29:A72),$BW$2:$BW$87,0)),"")</f>
        <v>USAID/Serbia: Big Small Businesses Project</v>
      </c>
      <c r="B72" s="439">
        <f>IF($A72="","",IFERROR(INDEX($BX$2:$BX$87,MATCH(ROWS($A$29:A72),$BW$2:$BW$87,0)),""))</f>
        <v>0</v>
      </c>
      <c r="C72" s="440" t="str">
        <f>IF($A72="","",INDEX($BB$2:$BB$87,MATCH(ROWS($A$29:A72),$BW$2:$BW$87,0)))</f>
        <v>USAID</v>
      </c>
      <c r="D72" s="441" t="str">
        <f>IF($A72="","",INDEX($BD$2:$BD$87,MATCH(ROWS($A$29:A72),$BW$2:$BW$87,0)))</f>
        <v>Agriculture</v>
      </c>
      <c r="E72" s="441" t="str">
        <f>IF($A72="","",INDEX($BF$2:$BF$87,MATCH(ROWS($A$29:A72),$BW$2:$BW$87,0)))</f>
        <v>1-4 years</v>
      </c>
      <c r="F72" s="441" t="str">
        <f>IF($A72="","",INDEX($BH$2:$BH$87,MATCH(ROWS($A$29:A72),$BW$2:$BW$87,0)))</f>
        <v>Macroeconomically Constrained Only</v>
      </c>
      <c r="G72" s="440" t="str">
        <f>IF($A72="","",INDEX($BI$2:$BI$87,MATCH(ROWS($A$29:A72),$BW$2:$BW$87,0)))</f>
        <v>Upper-Middle Income</v>
      </c>
      <c r="H72" s="440" t="str">
        <f>IF($A72="","",INDEX($BJ$2:$BJ$87,MATCH(ROWS($A$29:A72),$BW$2:$BW$87,0)))</f>
        <v>Stable</v>
      </c>
      <c r="I72" s="441" t="str">
        <f>IF($A72="","",INDEX($BK$2:$BK$87,MATCH(ROWS($A$29:A72),$BW$2:$BW$87,0)))</f>
        <v>job creation; income improvement;  food security &amp; resilience</v>
      </c>
      <c r="J72" s="441" t="str">
        <f>IF($A72="","",
 _xlfn.LET(
   _xlpm.link,TRIM(INDEX($BL$2:$BL$87,MATCH(ROWS($A$29:A72),$BW$2:$BW$87,0))),
   IF(OR(_xlpm.link="",UPPER(_xlpm.link)="N/A"),"N/A",
      IF(OR(LEFT(_xlpm.link,7)="http://",LEFT(_xlpm.link,8)="https://"),
         HYPERLINK(_xlpm.link,_xlpm.link),
         _xlpm.link
      )
   )
 ))</f>
        <v>N/A - report provided by ACDI/VOCA</v>
      </c>
      <c r="K72" s="490"/>
      <c r="L72" s="490"/>
      <c r="M72" s="490"/>
      <c r="N72" s="490"/>
      <c r="AZ72" s="438" t="s">
        <v>352</v>
      </c>
      <c r="BA72" s="469" t="s">
        <v>353</v>
      </c>
      <c r="BB72" s="438" t="s">
        <v>171</v>
      </c>
      <c r="BC72" s="438" t="s">
        <v>39</v>
      </c>
      <c r="BD72" s="438" t="s">
        <v>39</v>
      </c>
      <c r="BE72" s="438" t="s">
        <v>761</v>
      </c>
      <c r="BF72" s="438" t="s">
        <v>766</v>
      </c>
      <c r="BG72" s="438" t="s">
        <v>587</v>
      </c>
      <c r="BH72" s="438" t="s">
        <v>764</v>
      </c>
      <c r="BI72" s="438" t="s">
        <v>583</v>
      </c>
      <c r="BJ72" s="438" t="s">
        <v>42</v>
      </c>
      <c r="BK72" s="438" t="s">
        <v>602</v>
      </c>
      <c r="BL72" s="17" t="s">
        <v>231</v>
      </c>
      <c r="BM72" s="447">
        <v>2.54</v>
      </c>
      <c r="BN72" s="447">
        <v>0.81226860892865016</v>
      </c>
      <c r="BO72" s="447">
        <v>2.0232579381106071</v>
      </c>
      <c r="BP72" s="447"/>
      <c r="BQ72" s="447"/>
      <c r="BR72" s="447"/>
      <c r="BS72" s="447">
        <v>88.572931161109921</v>
      </c>
      <c r="BT72" s="447">
        <v>11290.131046708249</v>
      </c>
      <c r="BU72" s="447">
        <v>5.255148367073003E-2</v>
      </c>
      <c r="BV72" s="438">
        <f t="shared" si="2"/>
        <v>1</v>
      </c>
      <c r="BW72" s="438">
        <f>IF(BV72=1,COUNTIF($BV$2:BV72,1),"")</f>
        <v>71</v>
      </c>
    </row>
    <row r="73" spans="1:75" ht="28.9" customHeight="1" x14ac:dyDescent="0.25">
      <c r="A73" s="438" t="str">
        <f>IFERROR(INDEX($AZ$2:$AZ$87,MATCH(ROWS($A$29:A73),$BW$2:$BW$87,0)),"")</f>
        <v>Promoting Inclusive Markets in Somalia</v>
      </c>
      <c r="B73" s="439">
        <f>IF($A73="","",IFERROR(INDEX($BX$2:$BX$87,MATCH(ROWS($A$29:A73),$BW$2:$BW$87,0)),""))</f>
        <v>0</v>
      </c>
      <c r="C73" s="440" t="str">
        <f>IF($A73="","",INDEX($BB$2:$BB$87,MATCH(ROWS($A$29:A73),$BW$2:$BW$87,0)))</f>
        <v>FCDO; DANIDA</v>
      </c>
      <c r="D73" s="441" t="str">
        <f>IF($A73="","",INDEX($BD$2:$BD$87,MATCH(ROWS($A$29:A73),$BW$2:$BW$87,0)))</f>
        <v>Agriculture</v>
      </c>
      <c r="E73" s="441" t="str">
        <f>IF($A73="","",INDEX($BF$2:$BF$87,MATCH(ROWS($A$29:A73),$BW$2:$BW$87,0)))</f>
        <v>1-4 years</v>
      </c>
      <c r="F73" s="441" t="str">
        <f>IF($A73="","",INDEX($BH$2:$BH$87,MATCH(ROWS($A$29:A73),$BW$2:$BW$87,0)))</f>
        <v>Politically Constrained Only</v>
      </c>
      <c r="G73" s="440" t="str">
        <f>IF($A73="","",INDEX($BI$2:$BI$87,MATCH(ROWS($A$29:A73),$BW$2:$BW$87,0)))</f>
        <v>Low-Income</v>
      </c>
      <c r="H73" s="440" t="str">
        <f>IF($A73="","",INDEX($BJ$2:$BJ$87,MATCH(ROWS($A$29:A73),$BW$2:$BW$87,0)))</f>
        <v>FCAS</v>
      </c>
      <c r="I73" s="441" t="str">
        <f>IF($A73="","",INDEX($BK$2:$BK$87,MATCH(ROWS($A$29:A73),$BW$2:$BW$87,0)))</f>
        <v>job creation; income improvement</v>
      </c>
      <c r="J73" s="441" t="str">
        <f>IF($A73="","",
 _xlfn.LET(
   _xlpm.link,TRIM(INDEX($BL$2:$BL$87,MATCH(ROWS($A$29:A73),$BW$2:$BW$87,0))),
   IF(OR(_xlpm.link="",UPPER(_xlpm.link)="N/A"),"N/A",
      IF(OR(LEFT(_xlpm.link,7)="http://",LEFT(_xlpm.link,8)="https://"),
         HYPERLINK(_xlpm.link,_xlpm.link),
         _xlpm.link
      )
   )
 ))</f>
        <v>https://beamexchange.org/implement/programme-index/pims-promoting-inclusive-markets-in-somalia/</v>
      </c>
      <c r="K73" s="490"/>
      <c r="L73" s="490"/>
      <c r="M73" s="490"/>
      <c r="N73" s="490"/>
      <c r="AZ73" s="438" t="s">
        <v>354</v>
      </c>
      <c r="BA73" s="486" t="s">
        <v>355</v>
      </c>
      <c r="BB73" s="438" t="s">
        <v>783</v>
      </c>
      <c r="BC73" s="438" t="s">
        <v>39</v>
      </c>
      <c r="BD73" s="438" t="s">
        <v>39</v>
      </c>
      <c r="BE73" s="438" t="s">
        <v>778</v>
      </c>
      <c r="BF73" s="438" t="s">
        <v>716</v>
      </c>
      <c r="BG73" s="438" t="s">
        <v>673</v>
      </c>
      <c r="BH73" s="438" t="s">
        <v>728</v>
      </c>
      <c r="BI73" s="438" t="s">
        <v>583</v>
      </c>
      <c r="BJ73" s="438" t="s">
        <v>49</v>
      </c>
      <c r="BK73" s="438" t="s">
        <v>594</v>
      </c>
      <c r="BL73" s="17" t="s">
        <v>357</v>
      </c>
      <c r="BM73" s="447"/>
      <c r="BN73" s="447"/>
      <c r="BO73" s="447">
        <v>0.13</v>
      </c>
      <c r="BP73" s="447">
        <v>0.44</v>
      </c>
      <c r="BQ73" s="447"/>
      <c r="BR73" s="447"/>
      <c r="BS73" s="447">
        <v>9259.2592592592591</v>
      </c>
      <c r="BT73" s="447">
        <v>108</v>
      </c>
      <c r="BU73" s="447"/>
      <c r="BV73" s="438">
        <f t="shared" si="2"/>
        <v>1</v>
      </c>
      <c r="BW73" s="438">
        <f>IF(BV73=1,COUNTIF($BV$2:BV73,1),"")</f>
        <v>72</v>
      </c>
    </row>
    <row r="74" spans="1:75" ht="28.9" customHeight="1" x14ac:dyDescent="0.25">
      <c r="A74" s="438" t="str">
        <f>IFERROR(INDEX($AZ$2:$AZ$87,MATCH(ROWS($A$29:A74),$BW$2:$BW$87,0)),"")</f>
        <v>Livelihood improvement for women and youth</v>
      </c>
      <c r="B74" s="439">
        <f>IF($A74="","",IFERROR(INDEX($BX$2:$BX$87,MATCH(ROWS($A$29:A74),$BW$2:$BW$87,0)),""))</f>
        <v>0</v>
      </c>
      <c r="C74" s="440" t="str">
        <f>IF($A74="","",INDEX($BB$2:$BB$87,MATCH(ROWS($A$29:A74),$BW$2:$BW$87,0)))</f>
        <v>Sida</v>
      </c>
      <c r="D74" s="441" t="str">
        <f>IF($A74="","",INDEX($BD$2:$BD$87,MATCH(ROWS($A$29:A74),$BW$2:$BW$87,0)))</f>
        <v>Non-Agriculture</v>
      </c>
      <c r="E74" s="441" t="str">
        <f>IF($A74="","",INDEX($BF$2:$BF$87,MATCH(ROWS($A$29:A74),$BW$2:$BW$87,0)))</f>
        <v>5-8 years</v>
      </c>
      <c r="F74" s="441" t="str">
        <f>IF($A74="","",INDEX($BH$2:$BH$87,MATCH(ROWS($A$29:A74),$BW$2:$BW$87,0)))</f>
        <v>Politically and Macroeconomically Constrained</v>
      </c>
      <c r="G74" s="440" t="str">
        <f>IF($A74="","",INDEX($BI$2:$BI$87,MATCH(ROWS($A$29:A74),$BW$2:$BW$87,0)))</f>
        <v>Low-Income</v>
      </c>
      <c r="H74" s="440" t="str">
        <f>IF($A74="","",INDEX($BJ$2:$BJ$87,MATCH(ROWS($A$29:A74),$BW$2:$BW$87,0)))</f>
        <v>Stable</v>
      </c>
      <c r="I74" s="441" t="str">
        <f>IF($A74="","",INDEX($BK$2:$BK$87,MATCH(ROWS($A$29:A74),$BW$2:$BW$87,0)))</f>
        <v>job creation, income improvement; food security &amp; resilience</v>
      </c>
      <c r="J74" s="441" t="str">
        <f>IF($A74="","",
 _xlfn.LET(
   _xlpm.link,TRIM(INDEX($BL$2:$BL$87,MATCH(ROWS($A$29:A74),$BW$2:$BW$87,0))),
   IF(OR(_xlpm.link="",UPPER(_xlpm.link)="N/A"),"N/A",
      IF(OR(LEFT(_xlpm.link,7)="http://",LEFT(_xlpm.link,8)="https://"),
         HYPERLINK(_xlpm.link,_xlpm.link),
         _xlpm.link
      )
   )
 ))</f>
        <v>N/A - report provided by Mercy Corps</v>
      </c>
      <c r="K74" s="490"/>
      <c r="L74" s="490"/>
      <c r="M74" s="490"/>
      <c r="N74" s="490"/>
      <c r="AZ74" s="438" t="s">
        <v>362</v>
      </c>
      <c r="BA74" s="469" t="s">
        <v>363</v>
      </c>
      <c r="BB74" s="438" t="s">
        <v>171</v>
      </c>
      <c r="BC74" s="438" t="s">
        <v>364</v>
      </c>
      <c r="BD74" s="438" t="s">
        <v>597</v>
      </c>
      <c r="BE74" s="438" t="s">
        <v>771</v>
      </c>
      <c r="BF74" s="438" t="s">
        <v>766</v>
      </c>
      <c r="BG74" s="438" t="s">
        <v>673</v>
      </c>
      <c r="BH74" s="438" t="s">
        <v>728</v>
      </c>
      <c r="BI74" s="438" t="s">
        <v>583</v>
      </c>
      <c r="BJ74" s="438" t="s">
        <v>49</v>
      </c>
      <c r="BK74" s="438" t="s">
        <v>617</v>
      </c>
      <c r="BL74" s="17" t="s">
        <v>365</v>
      </c>
      <c r="BM74" s="447">
        <v>4308.7853172384303</v>
      </c>
      <c r="BN74" s="447">
        <v>0.70857276000000002</v>
      </c>
      <c r="BO74" s="447">
        <v>1.7337664800000001</v>
      </c>
      <c r="BP74" s="447"/>
      <c r="BQ74" s="447">
        <v>1644.574548564286</v>
      </c>
      <c r="BR74" s="447">
        <v>608.05999999999995</v>
      </c>
      <c r="BS74" s="447"/>
      <c r="BT74" s="447"/>
      <c r="BU74" s="447">
        <v>2.62</v>
      </c>
      <c r="BV74" s="438">
        <f t="shared" si="2"/>
        <v>1</v>
      </c>
      <c r="BW74" s="438">
        <f>IF(BV74=1,COUNTIF($BV$2:BV74,1),"")</f>
        <v>73</v>
      </c>
    </row>
    <row r="75" spans="1:75" ht="24" customHeight="1" x14ac:dyDescent="0.25">
      <c r="A75" s="438" t="str">
        <f>IFERROR(INDEX($AZ$2:$AZ$87,MATCH(ROWS($A$29:A75),$BW$2:$BW$87,0)),"")</f>
        <v>Market Development for Northern Ghana</v>
      </c>
      <c r="B75" s="439">
        <f>IF($A75="","",IFERROR(INDEX($BX$2:$BX$87,MATCH(ROWS($A$29:A75),$BW$2:$BW$87,0)),""))</f>
        <v>0</v>
      </c>
      <c r="C75" s="440" t="str">
        <f>IF($A75="","",INDEX($BB$2:$BB$87,MATCH(ROWS($A$29:A75),$BW$2:$BW$87,0)))</f>
        <v>FCDO</v>
      </c>
      <c r="D75" s="441" t="str">
        <f>IF($A75="","",INDEX($BD$2:$BD$87,MATCH(ROWS($A$29:A75),$BW$2:$BW$87,0)))</f>
        <v>Agriculture</v>
      </c>
      <c r="E75" s="441" t="str">
        <f>IF($A75="","",INDEX($BF$2:$BF$87,MATCH(ROWS($A$29:A75),$BW$2:$BW$87,0)))</f>
        <v>5-8 years</v>
      </c>
      <c r="F75" s="441" t="str">
        <f>IF($A75="","",INDEX($BH$2:$BH$87,MATCH(ROWS($A$29:A75),$BW$2:$BW$87,0)))</f>
        <v>Macroeconomically Constrained Only</v>
      </c>
      <c r="G75" s="440" t="str">
        <f>IF($A75="","",INDEX($BI$2:$BI$87,MATCH(ROWS($A$29:A75),$BW$2:$BW$87,0)))</f>
        <v>Lower-Middle Income</v>
      </c>
      <c r="H75" s="440" t="str">
        <f>IF($A75="","",INDEX($BJ$2:$BJ$87,MATCH(ROWS($A$29:A75),$BW$2:$BW$87,0)))</f>
        <v>Stable</v>
      </c>
      <c r="I75" s="441" t="str">
        <f>IF($A75="","",INDEX($BK$2:$BK$87,MATCH(ROWS($A$29:A75),$BW$2:$BW$87,0)))</f>
        <v>income improvement; rfood security &amp; resilience</v>
      </c>
      <c r="J75" s="441" t="str">
        <f>IF($A75="","",
 _xlfn.LET(
   _xlpm.link,TRIM(INDEX($BL$2:$BL$87,MATCH(ROWS($A$29:A75),$BW$2:$BW$87,0))),
   IF(OR(_xlpm.link="",UPPER(_xlpm.link)="N/A"),"N/A",
      IF(OR(LEFT(_xlpm.link,7)="http://",LEFT(_xlpm.link,8)="https://"),
         HYPERLINK(_xlpm.link,_xlpm.link),
         _xlpm.link
      )
   )
 ))</f>
        <v>https://beamexchange.org/implement/programme-index/made-market-development-for-northern-ghana/</v>
      </c>
      <c r="K75" s="490"/>
      <c r="L75" s="490"/>
      <c r="M75" s="490"/>
      <c r="N75" s="490"/>
      <c r="AZ75" s="438" t="s">
        <v>366</v>
      </c>
      <c r="BA75" s="469" t="s">
        <v>367</v>
      </c>
      <c r="BB75" s="438" t="s">
        <v>137</v>
      </c>
      <c r="BC75" s="438" t="s">
        <v>39</v>
      </c>
      <c r="BD75" s="438" t="s">
        <v>39</v>
      </c>
      <c r="BE75" s="438" t="s">
        <v>761</v>
      </c>
      <c r="BF75" s="438" t="s">
        <v>766</v>
      </c>
      <c r="BG75" s="438" t="s">
        <v>674</v>
      </c>
      <c r="BH75" s="438" t="s">
        <v>727</v>
      </c>
      <c r="BI75" s="438" t="s">
        <v>597</v>
      </c>
      <c r="BJ75" s="438" t="s">
        <v>49</v>
      </c>
      <c r="BK75" s="438" t="s">
        <v>611</v>
      </c>
      <c r="BL75" s="17" t="s">
        <v>370</v>
      </c>
      <c r="BM75" s="447">
        <v>66.396676493153763</v>
      </c>
      <c r="BN75" s="447"/>
      <c r="BO75" s="447"/>
      <c r="BP75" s="447"/>
      <c r="BQ75" s="447">
        <v>728.97942879968048</v>
      </c>
      <c r="BR75" s="447">
        <v>1371.780821917808</v>
      </c>
      <c r="BS75" s="447"/>
      <c r="BT75" s="447"/>
      <c r="BU75" s="447">
        <v>0.97210451516634055</v>
      </c>
      <c r="BV75" s="438">
        <f t="shared" si="2"/>
        <v>1</v>
      </c>
      <c r="BW75" s="438">
        <f>IF(BV75=1,COUNTIF($BV$2:BV75,1),"")</f>
        <v>74</v>
      </c>
    </row>
    <row r="76" spans="1:75" ht="28.9" customHeight="1" x14ac:dyDescent="0.25">
      <c r="A76" s="438" t="str">
        <f>IFERROR(INDEX($AZ$2:$AZ$87,MATCH(ROWS($A$29:A76),$BW$2:$BW$87,0)),"")</f>
        <v xml:space="preserve">Tajikistan Market Driven Rural Development (MDRD) Activity </v>
      </c>
      <c r="B76" s="439">
        <f>IF($A76="","",IFERROR(INDEX($BX$2:$BX$87,MATCH(ROWS($A$29:A76),$BW$2:$BW$87,0)),""))</f>
        <v>0</v>
      </c>
      <c r="C76" s="440" t="str">
        <f>IF($A76="","",INDEX($BB$2:$BB$87,MATCH(ROWS($A$29:A76),$BW$2:$BW$87,0)))</f>
        <v>USAID</v>
      </c>
      <c r="D76" s="441" t="str">
        <f>IF($A76="","",INDEX($BD$2:$BD$87,MATCH(ROWS($A$29:A76),$BW$2:$BW$87,0)))</f>
        <v>Agriculture</v>
      </c>
      <c r="E76" s="441" t="str">
        <f>IF($A76="","",INDEX($BF$2:$BF$87,MATCH(ROWS($A$29:A76),$BW$2:$BW$87,0)))</f>
        <v>1-4 years</v>
      </c>
      <c r="F76" s="441" t="str">
        <f>IF($A76="","",INDEX($BH$2:$BH$87,MATCH(ROWS($A$29:A76),$BW$2:$BW$87,0)))</f>
        <v>Macroeconomically Constrained Only</v>
      </c>
      <c r="G76" s="440" t="str">
        <f>IF($A76="","",INDEX($BI$2:$BI$87,MATCH(ROWS($A$29:A76),$BW$2:$BW$87,0)))</f>
        <v>Lower-Middle Income</v>
      </c>
      <c r="H76" s="440" t="str">
        <f>IF($A76="","",INDEX($BJ$2:$BJ$87,MATCH(ROWS($A$29:A76),$BW$2:$BW$87,0)))</f>
        <v>Stable</v>
      </c>
      <c r="I76" s="441" t="str">
        <f>IF($A76="","",INDEX($BK$2:$BK$87,MATCH(ROWS($A$29:A76),$BW$2:$BW$87,0)))</f>
        <v>income improvement; food security &amp; resilience</v>
      </c>
      <c r="J76" s="441" t="str">
        <f>IF($A76="","",
 _xlfn.LET(
   _xlpm.link,TRIM(INDEX($BL$2:$BL$87,MATCH(ROWS($A$29:A76),$BW$2:$BW$87,0))),
   IF(OR(_xlpm.link="",UPPER(_xlpm.link)="N/A"),"N/A",
      IF(OR(LEFT(_xlpm.link,7)="http://",LEFT(_xlpm.link,8)="https://"),
         HYPERLINK(_xlpm.link,_xlpm.link),
         _xlpm.link
      )
   )
 ))</f>
        <v>N/A - report provided by ACDI/VOCA</v>
      </c>
      <c r="K76" s="490"/>
      <c r="L76" s="490"/>
      <c r="M76" s="490"/>
      <c r="N76" s="490"/>
      <c r="AZ76" s="438" t="s">
        <v>546</v>
      </c>
      <c r="BA76" s="469" t="s">
        <v>372</v>
      </c>
      <c r="BB76" s="438" t="s">
        <v>171</v>
      </c>
      <c r="BC76" s="438" t="s">
        <v>39</v>
      </c>
      <c r="BD76" s="438" t="s">
        <v>39</v>
      </c>
      <c r="BE76" s="438" t="s">
        <v>761</v>
      </c>
      <c r="BF76" s="438" t="s">
        <v>766</v>
      </c>
      <c r="BG76" s="438" t="s">
        <v>674</v>
      </c>
      <c r="BH76" s="438" t="s">
        <v>727</v>
      </c>
      <c r="BI76" s="438" t="s">
        <v>583</v>
      </c>
      <c r="BJ76" s="438" t="s">
        <v>42</v>
      </c>
      <c r="BK76" s="438" t="s">
        <v>615</v>
      </c>
      <c r="BL76" s="17" t="s">
        <v>183</v>
      </c>
      <c r="BM76" s="447"/>
      <c r="BN76" s="447">
        <v>3.7123072761904758</v>
      </c>
      <c r="BO76" s="447"/>
      <c r="BP76" s="447"/>
      <c r="BQ76" s="447">
        <v>1133.884797304594</v>
      </c>
      <c r="BR76" s="447">
        <v>881.9238095238095</v>
      </c>
      <c r="BS76" s="447"/>
      <c r="BT76" s="447"/>
      <c r="BU76" s="447"/>
      <c r="BV76" s="438">
        <f t="shared" si="2"/>
        <v>1</v>
      </c>
      <c r="BW76" s="438">
        <f>IF(BV76=1,COUNTIF($BV$2:BV76,1),"")</f>
        <v>75</v>
      </c>
    </row>
    <row r="77" spans="1:75" ht="36" customHeight="1" x14ac:dyDescent="0.25">
      <c r="A77" s="438" t="str">
        <f>IFERROR(INDEX($AZ$2:$AZ$87,MATCH(ROWS($A$29:A77),$BW$2:$BW$87,0)),"")</f>
        <v>Enhancing Youth Employment (Phase 1-3)</v>
      </c>
      <c r="B77" s="439">
        <f>IF($A77="","",IFERROR(INDEX($BX$2:$BX$87,MATCH(ROWS($A$29:A77),$BW$2:$BW$87,0)),""))</f>
        <v>0</v>
      </c>
      <c r="C77" s="440" t="str">
        <f>IF($A77="","",INDEX($BB$2:$BB$87,MATCH(ROWS($A$29:A77),$BW$2:$BW$87,0)))</f>
        <v>SDC</v>
      </c>
      <c r="D77" s="441" t="str">
        <f>IF($A77="","",INDEX($BD$2:$BD$87,MATCH(ROWS($A$29:A77),$BW$2:$BW$87,0)))</f>
        <v>Non-Agriculture</v>
      </c>
      <c r="E77" s="441" t="str">
        <f>IF($A77="","",INDEX($BF$2:$BF$87,MATCH(ROWS($A$29:A77),$BW$2:$BW$87,0)))</f>
        <v>9+ years</v>
      </c>
      <c r="F77" s="441" t="str">
        <f>IF($A77="","",INDEX($BH$2:$BH$87,MATCH(ROWS($A$29:A77),$BW$2:$BW$87,0)))</f>
        <v>Macroeconomically Constrained Only</v>
      </c>
      <c r="G77" s="440" t="str">
        <f>IF($A77="","",INDEX($BI$2:$BI$87,MATCH(ROWS($A$29:A77),$BW$2:$BW$87,0)))</f>
        <v>Upper-Middle Income</v>
      </c>
      <c r="H77" s="440" t="str">
        <f>IF($A77="","",INDEX($BJ$2:$BJ$87,MATCH(ROWS($A$29:A77),$BW$2:$BW$87,0)))</f>
        <v>Stable</v>
      </c>
      <c r="I77" s="441" t="str">
        <f>IF($A77="","",INDEX($BK$2:$BK$87,MATCH(ROWS($A$29:A77),$BW$2:$BW$87,0)))</f>
        <v>job creation</v>
      </c>
      <c r="J77" s="441" t="str">
        <f>IF($A77="","",
 _xlfn.LET(
   _xlpm.link,TRIM(INDEX($BL$2:$BL$87,MATCH(ROWS($A$29:A77),$BW$2:$BW$87,0))),
   IF(OR(_xlpm.link="",UPPER(_xlpm.link)="N/A"),"N/A",
      IF(OR(LEFT(_xlpm.link,7)="http://",LEFT(_xlpm.link,8)="https://"),
         HYPERLINK(_xlpm.link,_xlpm.link),
         _xlpm.link
      )
   )
 ))</f>
        <v>N/A - merged programme</v>
      </c>
      <c r="K77" s="490"/>
      <c r="L77" s="490"/>
      <c r="M77" s="490"/>
      <c r="N77" s="490"/>
      <c r="AZ77" s="438" t="s">
        <v>373</v>
      </c>
      <c r="BA77" s="486" t="s">
        <v>374</v>
      </c>
      <c r="BB77" s="438" t="s">
        <v>137</v>
      </c>
      <c r="BC77" s="438" t="s">
        <v>375</v>
      </c>
      <c r="BD77" s="438" t="s">
        <v>597</v>
      </c>
      <c r="BE77" s="438" t="s">
        <v>771</v>
      </c>
      <c r="BF77" s="438" t="s">
        <v>766</v>
      </c>
      <c r="BG77" s="438" t="s">
        <v>587</v>
      </c>
      <c r="BH77" s="438" t="s">
        <v>764</v>
      </c>
      <c r="BI77" s="438" t="s">
        <v>583</v>
      </c>
      <c r="BJ77" s="438" t="s">
        <v>49</v>
      </c>
      <c r="BK77" s="438" t="s">
        <v>611</v>
      </c>
      <c r="BL77" s="17" t="s">
        <v>376</v>
      </c>
      <c r="BM77" s="447"/>
      <c r="BN77" s="447"/>
      <c r="BO77" s="447">
        <v>10.248627326637649</v>
      </c>
      <c r="BP77" s="447"/>
      <c r="BQ77" s="447">
        <v>1670.5695165268869</v>
      </c>
      <c r="BR77" s="447">
        <v>598.59825652691143</v>
      </c>
      <c r="BS77" s="447">
        <v>25.74734699715961</v>
      </c>
      <c r="BT77" s="447">
        <v>38838.953003985909</v>
      </c>
      <c r="BU77" s="447"/>
      <c r="BV77" s="438">
        <f t="shared" si="2"/>
        <v>1</v>
      </c>
      <c r="BW77" s="438">
        <f>IF(BV77=1,COUNTIF($BV$2:BV77,1),"")</f>
        <v>76</v>
      </c>
    </row>
    <row r="78" spans="1:75" ht="36" customHeight="1" x14ac:dyDescent="0.25">
      <c r="A78" s="438" t="str">
        <f>IFERROR(INDEX($AZ$2:$AZ$87,MATCH(ROWS($A$29:A78),$BW$2:$BW$87,0)),"")</f>
        <v>FTF Uganda Commodity Production and Marketing Activity</v>
      </c>
      <c r="B78" s="439">
        <f>IF($A78="","",IFERROR(INDEX($BX$2:$BX$87,MATCH(ROWS($A$29:A78),$BW$2:$BW$87,0)),""))</f>
        <v>0</v>
      </c>
      <c r="C78" s="440" t="str">
        <f>IF($A78="","",INDEX($BB$2:$BB$87,MATCH(ROWS($A$29:A78),$BW$2:$BW$87,0)))</f>
        <v>USAID</v>
      </c>
      <c r="D78" s="441" t="str">
        <f>IF($A78="","",INDEX($BD$2:$BD$87,MATCH(ROWS($A$29:A78),$BW$2:$BW$87,0)))</f>
        <v>Agriculture</v>
      </c>
      <c r="E78" s="441" t="str">
        <f>IF($A78="","",INDEX($BF$2:$BF$87,MATCH(ROWS($A$29:A78),$BW$2:$BW$87,0)))</f>
        <v>5-8 years</v>
      </c>
      <c r="F78" s="441" t="str">
        <f>IF($A78="","",INDEX($BH$2:$BH$87,MATCH(ROWS($A$29:A78),$BW$2:$BW$87,0)))</f>
        <v>Politically Constrained Only</v>
      </c>
      <c r="G78" s="440" t="str">
        <f>IF($A78="","",INDEX($BI$2:$BI$87,MATCH(ROWS($A$29:A78),$BW$2:$BW$87,0)))</f>
        <v>Low-Income</v>
      </c>
      <c r="H78" s="440" t="str">
        <f>IF($A78="","",INDEX($BJ$2:$BJ$87,MATCH(ROWS($A$29:A78),$BW$2:$BW$87,0)))</f>
        <v>Stable</v>
      </c>
      <c r="I78" s="441" t="str">
        <f>IF($A78="","",INDEX($BK$2:$BK$87,MATCH(ROWS($A$29:A78),$BW$2:$BW$87,0)))</f>
        <v>job creation, income improvement; food security &amp; resilience</v>
      </c>
      <c r="J78" s="441" t="str">
        <f>IF($A78="","",
 _xlfn.LET(
   _xlpm.link,TRIM(INDEX($BL$2:$BL$87,MATCH(ROWS($A$29:A78),$BW$2:$BW$87,0))),
   IF(OR(_xlpm.link="",UPPER(_xlpm.link)="N/A"),"N/A",
      IF(OR(LEFT(_xlpm.link,7)="http://",LEFT(_xlpm.link,8)="https://"),
         HYPERLINK(_xlpm.link,_xlpm.link),
         _xlpm.link
      )
   )
 ))</f>
        <v>N/A - report provided by former USAID</v>
      </c>
      <c r="K78" s="490"/>
      <c r="L78" s="490"/>
      <c r="M78" s="490"/>
      <c r="N78" s="490"/>
      <c r="AZ78" s="438" t="s">
        <v>377</v>
      </c>
      <c r="BA78" s="469" t="s">
        <v>378</v>
      </c>
      <c r="BB78" s="438" t="s">
        <v>171</v>
      </c>
      <c r="BC78" s="438" t="s">
        <v>39</v>
      </c>
      <c r="BD78" s="438" t="s">
        <v>39</v>
      </c>
      <c r="BE78" s="438" t="s">
        <v>761</v>
      </c>
      <c r="BF78" s="438" t="s">
        <v>718</v>
      </c>
      <c r="BG78" s="438" t="s">
        <v>674</v>
      </c>
      <c r="BH78" s="438" t="s">
        <v>727</v>
      </c>
      <c r="BI78" s="438" t="s">
        <v>586</v>
      </c>
      <c r="BJ78" s="438" t="s">
        <v>42</v>
      </c>
      <c r="BK78" s="438" t="s">
        <v>618</v>
      </c>
      <c r="BL78" s="17" t="s">
        <v>379</v>
      </c>
      <c r="BM78" s="447"/>
      <c r="BN78" s="447">
        <v>0.12727272727272729</v>
      </c>
      <c r="BO78" s="447"/>
      <c r="BP78" s="447">
        <v>9.0909090909090912E-2</v>
      </c>
      <c r="BQ78" s="447"/>
      <c r="BR78" s="447"/>
      <c r="BS78" s="447">
        <v>4406.3451369972763</v>
      </c>
      <c r="BT78" s="447">
        <v>226.94545454545451</v>
      </c>
      <c r="BU78" s="447"/>
      <c r="BV78" s="438">
        <f t="shared" si="2"/>
        <v>1</v>
      </c>
      <c r="BW78" s="438">
        <f>IF(BV78=1,COUNTIF($BV$2:BV78,1),"")</f>
        <v>77</v>
      </c>
    </row>
    <row r="79" spans="1:75" ht="30" customHeight="1" x14ac:dyDescent="0.25">
      <c r="A79" s="438" t="str">
        <f>IFERROR(INDEX($AZ$2:$AZ$87,MATCH(ROWS($A$29:A79),$BW$2:$BW$87,0)),"")</f>
        <v>Agricultural Innovations Activity</v>
      </c>
      <c r="B79" s="439">
        <f>IF($A79="","",IFERROR(INDEX($BX$2:$BX$87,MATCH(ROWS($A$29:A79),$BW$2:$BW$87,0)),""))</f>
        <v>0</v>
      </c>
      <c r="C79" s="440" t="str">
        <f>IF($A79="","",INDEX($BB$2:$BB$87,MATCH(ROWS($A$29:A79),$BW$2:$BW$87,0)))</f>
        <v>USAID</v>
      </c>
      <c r="D79" s="441" t="str">
        <f>IF($A79="","",INDEX($BD$2:$BD$87,MATCH(ROWS($A$29:A79),$BW$2:$BW$87,0)))</f>
        <v>Agriculture</v>
      </c>
      <c r="E79" s="441" t="str">
        <f>IF($A79="","",INDEX($BF$2:$BF$87,MATCH(ROWS($A$29:A79),$BW$2:$BW$87,0)))</f>
        <v>5-8 years</v>
      </c>
      <c r="F79" s="441" t="str">
        <f>IF($A79="","",INDEX($BH$2:$BH$87,MATCH(ROWS($A$29:A79),$BW$2:$BW$87,0)))</f>
        <v>Politically Constrained Only</v>
      </c>
      <c r="G79" s="440" t="str">
        <f>IF($A79="","",INDEX($BI$2:$BI$87,MATCH(ROWS($A$29:A79),$BW$2:$BW$87,0)))</f>
        <v>Low-Income</v>
      </c>
      <c r="H79" s="440" t="str">
        <f>IF($A79="","",INDEX($BJ$2:$BJ$87,MATCH(ROWS($A$29:A79),$BW$2:$BW$87,0)))</f>
        <v>FCAS</v>
      </c>
      <c r="I79" s="441" t="str">
        <f>IF($A79="","",INDEX($BK$2:$BK$87,MATCH(ROWS($A$29:A79),$BW$2:$BW$87,0)))</f>
        <v>income improvement; food security &amp; resilience</v>
      </c>
      <c r="J79" s="441" t="str">
        <f>IF($A79="","",
 _xlfn.LET(
   _xlpm.link,TRIM(INDEX($BL$2:$BL$87,MATCH(ROWS($A$29:A79),$BW$2:$BW$87,0))),
   IF(OR(_xlpm.link="",UPPER(_xlpm.link)="N/A"),"N/A",
      IF(OR(LEFT(_xlpm.link,7)="http://",LEFT(_xlpm.link,8)="https://"),
         HYPERLINK(_xlpm.link,_xlpm.link),
         _xlpm.link
      )
   )
 ))</f>
        <v>https://beamexchange.org/implement/programme-index/ftf-inova-agricultural-innovations-activity/</v>
      </c>
      <c r="K79" s="490"/>
      <c r="L79" s="490"/>
      <c r="M79" s="490"/>
      <c r="N79" s="490"/>
      <c r="AZ79" s="438" t="s">
        <v>382</v>
      </c>
      <c r="BA79" s="469" t="s">
        <v>383</v>
      </c>
      <c r="BB79" s="438" t="s">
        <v>45</v>
      </c>
      <c r="BC79" s="438" t="s">
        <v>39</v>
      </c>
      <c r="BD79" s="438" t="s">
        <v>39</v>
      </c>
      <c r="BE79" s="438" t="s">
        <v>761</v>
      </c>
      <c r="BF79" s="438" t="s">
        <v>766</v>
      </c>
      <c r="BG79" s="438" t="s">
        <v>673</v>
      </c>
      <c r="BH79" s="438" t="s">
        <v>728</v>
      </c>
      <c r="BI79" s="438" t="s">
        <v>589</v>
      </c>
      <c r="BJ79" s="438" t="s">
        <v>49</v>
      </c>
      <c r="BK79" s="438" t="s">
        <v>594</v>
      </c>
      <c r="BL79" s="17" t="s">
        <v>384</v>
      </c>
      <c r="BM79" s="447">
        <v>374.63659525624558</v>
      </c>
      <c r="BN79" s="447">
        <v>1.276372702807018</v>
      </c>
      <c r="BO79" s="447">
        <v>1.5929824561403509</v>
      </c>
      <c r="BP79" s="447"/>
      <c r="BQ79" s="447">
        <v>53672.316384180791</v>
      </c>
      <c r="BR79" s="447">
        <v>18.631578947368421</v>
      </c>
      <c r="BS79" s="447">
        <v>170.46168200821799</v>
      </c>
      <c r="BT79" s="447">
        <v>5866.4210526315792</v>
      </c>
      <c r="BU79" s="447">
        <v>4.5350877192982457</v>
      </c>
      <c r="BV79" s="438">
        <f t="shared" si="2"/>
        <v>1</v>
      </c>
      <c r="BW79" s="438">
        <f>IF(BV79=1,COUNTIF($BV$2:BV79,1),"")</f>
        <v>78</v>
      </c>
    </row>
    <row r="80" spans="1:75" ht="28.9" customHeight="1" x14ac:dyDescent="0.25">
      <c r="A80" s="438" t="str">
        <f>IFERROR(INDEX($AZ$2:$AZ$87,MATCH(ROWS($A$29:A80),$BW$2:$BW$87,0)),"")</f>
        <v>Making Markets Work for the Jamuna, Padma and Teesta Chars</v>
      </c>
      <c r="B80" s="439">
        <f>IF($A80="","",IFERROR(INDEX($BX$2:$BX$87,MATCH(ROWS($A$29:A80),$BW$2:$BW$87,0)),""))</f>
        <v>0</v>
      </c>
      <c r="C80" s="440" t="str">
        <f>IF($A80="","",INDEX($BB$2:$BB$87,MATCH(ROWS($A$29:A80),$BW$2:$BW$87,0)))</f>
        <v>SDC</v>
      </c>
      <c r="D80" s="441" t="str">
        <f>IF($A80="","",INDEX($BD$2:$BD$87,MATCH(ROWS($A$29:A80),$BW$2:$BW$87,0)))</f>
        <v>Mixed</v>
      </c>
      <c r="E80" s="441" t="str">
        <f>IF($A80="","",INDEX($BF$2:$BF$87,MATCH(ROWS($A$29:A80),$BW$2:$BW$87,0)))</f>
        <v>9+ years</v>
      </c>
      <c r="F80" s="441" t="str">
        <f>IF($A80="","",INDEX($BH$2:$BH$87,MATCH(ROWS($A$29:A80),$BW$2:$BW$87,0)))</f>
        <v>Politically Constrained Only</v>
      </c>
      <c r="G80" s="440" t="str">
        <f>IF($A80="","",INDEX($BI$2:$BI$87,MATCH(ROWS($A$29:A80),$BW$2:$BW$87,0)))</f>
        <v>Lower-Middle Income</v>
      </c>
      <c r="H80" s="440" t="str">
        <f>IF($A80="","",INDEX($BJ$2:$BJ$87,MATCH(ROWS($A$29:A80),$BW$2:$BW$87,0)))</f>
        <v>Stable</v>
      </c>
      <c r="I80" s="441" t="str">
        <f>IF($A80="","",INDEX($BK$2:$BK$87,MATCH(ROWS($A$29:A80),$BW$2:$BW$87,0)))</f>
        <v>income improvement; food security &amp; resilience</v>
      </c>
      <c r="J80" s="441" t="str">
        <f>IF($A80="","",
 _xlfn.LET(
   _xlpm.link,TRIM(INDEX($BL$2:$BL$87,MATCH(ROWS($A$29:A80),$BW$2:$BW$87,0))),
   IF(OR(_xlpm.link="",UPPER(_xlpm.link)="N/A"),"N/A",
      IF(OR(LEFT(_xlpm.link,7)="http://",LEFT(_xlpm.link,8)="https://"),
         HYPERLINK(_xlpm.link,_xlpm.link),
         _xlpm.link
      )
   )
 ))</f>
        <v>https://beamexchange.org/implement/programme-index/m4c-making-markets-work-for-the-jamuna-padma-and-teesta-chars/</v>
      </c>
      <c r="K80" s="490"/>
      <c r="L80" s="490"/>
      <c r="M80" s="490"/>
      <c r="N80" s="490"/>
      <c r="AZ80" s="438" t="s">
        <v>385</v>
      </c>
      <c r="BA80" s="469" t="s">
        <v>386</v>
      </c>
      <c r="BB80" s="438" t="s">
        <v>137</v>
      </c>
      <c r="BC80" s="438" t="s">
        <v>387</v>
      </c>
      <c r="BD80" s="438" t="s">
        <v>729</v>
      </c>
      <c r="BE80" s="438" t="s">
        <v>771</v>
      </c>
      <c r="BF80" s="438" t="s">
        <v>766</v>
      </c>
      <c r="BG80" s="438" t="s">
        <v>587</v>
      </c>
      <c r="BH80" s="438" t="s">
        <v>764</v>
      </c>
      <c r="BI80" s="438" t="s">
        <v>586</v>
      </c>
      <c r="BJ80" s="438" t="s">
        <v>49</v>
      </c>
      <c r="BK80" s="438" t="s">
        <v>594</v>
      </c>
      <c r="BL80" s="17" t="s">
        <v>388</v>
      </c>
      <c r="BM80" s="447"/>
      <c r="BN80" s="447">
        <v>6.8534883720930244</v>
      </c>
      <c r="BO80" s="447">
        <v>0.68604651162790697</v>
      </c>
      <c r="BP80" s="447"/>
      <c r="BQ80" s="447">
        <v>1240.8669491005101</v>
      </c>
      <c r="BR80" s="447">
        <v>805.88817417120231</v>
      </c>
      <c r="BS80" s="447">
        <v>2143.0086243461051</v>
      </c>
      <c r="BT80" s="447">
        <v>466.63367969651978</v>
      </c>
      <c r="BU80" s="447"/>
      <c r="BV80" s="438">
        <f t="shared" si="2"/>
        <v>1</v>
      </c>
      <c r="BW80" s="438">
        <f>IF(BV80=1,COUNTIF($BV$2:BV80,1),"")</f>
        <v>79</v>
      </c>
    </row>
    <row r="81" spans="1:75" ht="28.9" customHeight="1" x14ac:dyDescent="0.25">
      <c r="A81" s="438" t="str">
        <f>IFERROR(INDEX($AZ$2:$AZ$87,MATCH(ROWS($A$29:A81),$BW$2:$BW$87,0)),"")</f>
        <v>Private Enterprise Programme Zambia</v>
      </c>
      <c r="B81" s="439">
        <f>IF($A81="","",IFERROR(INDEX($BX$2:$BX$87,MATCH(ROWS($A$29:A81),$BW$2:$BW$87,0)),""))</f>
        <v>0</v>
      </c>
      <c r="C81" s="440" t="str">
        <f>IF($A81="","",INDEX($BB$2:$BB$87,MATCH(ROWS($A$29:A81),$BW$2:$BW$87,0)))</f>
        <v>FCDO</v>
      </c>
      <c r="D81" s="441" t="str">
        <f>IF($A81="","",INDEX($BD$2:$BD$87,MATCH(ROWS($A$29:A81),$BW$2:$BW$87,0)))</f>
        <v>Mixed</v>
      </c>
      <c r="E81" s="441" t="str">
        <f>IF($A81="","",INDEX($BF$2:$BF$87,MATCH(ROWS($A$29:A81),$BW$2:$BW$87,0)))</f>
        <v>5-8 years</v>
      </c>
      <c r="F81" s="441" t="str">
        <f>IF($A81="","",INDEX($BH$2:$BH$87,MATCH(ROWS($A$29:A81),$BW$2:$BW$87,0)))</f>
        <v>Macroeconomically Constrained Only</v>
      </c>
      <c r="G81" s="440" t="str">
        <f>IF($A81="","",INDEX($BI$2:$BI$87,MATCH(ROWS($A$29:A81),$BW$2:$BW$87,0)))</f>
        <v>Lower-Middle Income</v>
      </c>
      <c r="H81" s="440" t="str">
        <f>IF($A81="","",INDEX($BJ$2:$BJ$87,MATCH(ROWS($A$29:A81),$BW$2:$BW$87,0)))</f>
        <v>Stable</v>
      </c>
      <c r="I81" s="441" t="str">
        <f>IF($A81="","",INDEX($BK$2:$BK$87,MATCH(ROWS($A$29:A81),$BW$2:$BW$87,0)))</f>
        <v>job creation; income improvement</v>
      </c>
      <c r="J81" s="441" t="str">
        <f>IF($A81="","",
 _xlfn.LET(
   _xlpm.link,TRIM(INDEX($BL$2:$BL$87,MATCH(ROWS($A$29:A81),$BW$2:$BW$87,0))),
   IF(OR(_xlpm.link="",UPPER(_xlpm.link)="N/A"),"N/A",
      IF(OR(LEFT(_xlpm.link,7)="http://",LEFT(_xlpm.link,8)="https://"),
         HYPERLINK(_xlpm.link,_xlpm.link),
         _xlpm.link
      )
   )
 ))</f>
        <v>https://beamexchange.org/implement/programme-index/pepz-private-enterprise-programme-zambia/</v>
      </c>
      <c r="K81" s="490"/>
      <c r="L81" s="490"/>
      <c r="M81" s="490"/>
      <c r="N81" s="490"/>
      <c r="AZ81" s="438" t="s">
        <v>389</v>
      </c>
      <c r="BA81" s="469" t="s">
        <v>390</v>
      </c>
      <c r="BB81" s="438" t="s">
        <v>784</v>
      </c>
      <c r="BC81" s="438" t="s">
        <v>39</v>
      </c>
      <c r="BD81" s="438" t="s">
        <v>39</v>
      </c>
      <c r="BE81" s="438" t="s">
        <v>778</v>
      </c>
      <c r="BF81" s="438" t="s">
        <v>716</v>
      </c>
      <c r="BG81" s="438" t="s">
        <v>673</v>
      </c>
      <c r="BH81" s="438" t="s">
        <v>728</v>
      </c>
      <c r="BI81" s="438" t="s">
        <v>583</v>
      </c>
      <c r="BJ81" s="438" t="s">
        <v>49</v>
      </c>
      <c r="BK81" s="438" t="s">
        <v>617</v>
      </c>
      <c r="BL81" s="17" t="s">
        <v>393</v>
      </c>
      <c r="BM81" s="447"/>
      <c r="BN81" s="447">
        <v>0.16</v>
      </c>
      <c r="BO81" s="447"/>
      <c r="BP81" s="447"/>
      <c r="BQ81" s="447"/>
      <c r="BR81" s="447"/>
      <c r="BS81" s="447">
        <v>231.4814814814815</v>
      </c>
      <c r="BT81" s="447">
        <v>4320</v>
      </c>
      <c r="BU81" s="447"/>
      <c r="BV81" s="438">
        <f t="shared" si="2"/>
        <v>1</v>
      </c>
      <c r="BW81" s="438">
        <f>IF(BV81=1,COUNTIF($BV$2:BV81,1),"")</f>
        <v>80</v>
      </c>
    </row>
    <row r="82" spans="1:75" ht="28.9" customHeight="1" x14ac:dyDescent="0.25">
      <c r="A82" s="438" t="str">
        <f>IFERROR(INDEX($AZ$2:$AZ$87,MATCH(ROWS($A$29:A82),$BW$2:$BW$87,0)),"")</f>
        <v>Innovation for Agribusiness (Phase 1-3)</v>
      </c>
      <c r="B82" s="439">
        <f>IF($A82="","",IFERROR(INDEX($BX$2:$BX$87,MATCH(ROWS($A$29:A82),$BW$2:$BW$87,0)),""))</f>
        <v>0</v>
      </c>
      <c r="C82" s="440" t="str">
        <f>IF($A82="","",INDEX($BB$2:$BB$87,MATCH(ROWS($A$29:A82),$BW$2:$BW$87,0)))</f>
        <v>SDC</v>
      </c>
      <c r="D82" s="441" t="str">
        <f>IF($A82="","",INDEX($BD$2:$BD$87,MATCH(ROWS($A$29:A82),$BW$2:$BW$87,0)))</f>
        <v>Agriculture</v>
      </c>
      <c r="E82" s="441" t="str">
        <f>IF($A82="","",INDEX($BF$2:$BF$87,MATCH(ROWS($A$29:A82),$BW$2:$BW$87,0)))</f>
        <v>9+ years</v>
      </c>
      <c r="F82" s="441" t="str">
        <f>IF($A82="","",INDEX($BH$2:$BH$87,MATCH(ROWS($A$29:A82),$BW$2:$BW$87,0)))</f>
        <v>Macroeconomically Constrained Only</v>
      </c>
      <c r="G82" s="440" t="str">
        <f>IF($A82="","",INDEX($BI$2:$BI$87,MATCH(ROWS($A$29:A82),$BW$2:$BW$87,0)))</f>
        <v>Low-Income</v>
      </c>
      <c r="H82" s="440" t="str">
        <f>IF($A82="","",INDEX($BJ$2:$BJ$87,MATCH(ROWS($A$29:A82),$BW$2:$BW$87,0)))</f>
        <v>FCAS</v>
      </c>
      <c r="I82" s="441" t="str">
        <f>IF($A82="","",INDEX($BK$2:$BK$87,MATCH(ROWS($A$29:A82),$BW$2:$BW$87,0)))</f>
        <v>income improvement</v>
      </c>
      <c r="J82" s="441" t="str">
        <f>IF($A82="","",
 _xlfn.LET(
   _xlpm.link,TRIM(INDEX($BL$2:$BL$87,MATCH(ROWS($A$29:A82),$BW$2:$BW$87,0))),
   IF(OR(_xlpm.link="",UPPER(_xlpm.link)="N/A"),"N/A",
      IF(OR(LEFT(_xlpm.link,7)="http://",LEFT(_xlpm.link,8)="https://"),
         HYPERLINK(_xlpm.link,_xlpm.link),
         _xlpm.link
      )
   )
 ))</f>
        <v>https://beamexchange.org/implement/programme-index/inovagro-innovation-for-agribusiness/</v>
      </c>
      <c r="K82" s="490"/>
      <c r="L82" s="490"/>
      <c r="M82" s="490"/>
      <c r="N82" s="490"/>
      <c r="AZ82" s="438" t="s">
        <v>394</v>
      </c>
      <c r="BA82" s="469" t="s">
        <v>395</v>
      </c>
      <c r="BB82" s="438" t="s">
        <v>171</v>
      </c>
      <c r="BC82" s="438" t="s">
        <v>39</v>
      </c>
      <c r="BD82" s="438" t="s">
        <v>39</v>
      </c>
      <c r="BE82" s="438" t="s">
        <v>771</v>
      </c>
      <c r="BF82" s="438" t="s">
        <v>766</v>
      </c>
      <c r="BG82" s="438" t="s">
        <v>587</v>
      </c>
      <c r="BH82" s="438" t="s">
        <v>764</v>
      </c>
      <c r="BI82" s="438" t="s">
        <v>586</v>
      </c>
      <c r="BJ82" s="438" t="s">
        <v>42</v>
      </c>
      <c r="BK82" s="438" t="s">
        <v>582</v>
      </c>
      <c r="BL82" s="17" t="s">
        <v>396</v>
      </c>
      <c r="BM82" s="447">
        <v>99.714285714285708</v>
      </c>
      <c r="BN82" s="447">
        <v>0.26501766784452302</v>
      </c>
      <c r="BO82" s="447"/>
      <c r="BP82" s="447"/>
      <c r="BQ82" s="447">
        <v>11983.062808750879</v>
      </c>
      <c r="BR82" s="447">
        <v>83.451118963486451</v>
      </c>
      <c r="BS82" s="447"/>
      <c r="BT82" s="447"/>
      <c r="BU82" s="447">
        <v>3.3067852767962309</v>
      </c>
      <c r="BV82" s="438">
        <f t="shared" si="2"/>
        <v>1</v>
      </c>
      <c r="BW82" s="438">
        <f>IF(BV82=1,COUNTIF($BV$2:BV82,1),"")</f>
        <v>81</v>
      </c>
    </row>
    <row r="83" spans="1:75" ht="24" customHeight="1" x14ac:dyDescent="0.25">
      <c r="A83" s="438" t="str">
        <f>IFERROR(INDEX($AZ$2:$AZ$87,MATCH(ROWS($A$29:A83),$BW$2:$BW$87,0)),"")</f>
        <v>USAID Feed the Future Tanzania NAFAKA</v>
      </c>
      <c r="B83" s="439">
        <f>IF($A83="","",IFERROR(INDEX($BX$2:$BX$87,MATCH(ROWS($A$29:A83),$BW$2:$BW$87,0)),""))</f>
        <v>0</v>
      </c>
      <c r="C83" s="440" t="str">
        <f>IF($A83="","",INDEX($BB$2:$BB$87,MATCH(ROWS($A$29:A83),$BW$2:$BW$87,0)))</f>
        <v>USAID</v>
      </c>
      <c r="D83" s="441" t="str">
        <f>IF($A83="","",INDEX($BD$2:$BD$87,MATCH(ROWS($A$29:A83),$BW$2:$BW$87,0)))</f>
        <v>Agriculture</v>
      </c>
      <c r="E83" s="441" t="str">
        <f>IF($A83="","",INDEX($BF$2:$BF$87,MATCH(ROWS($A$29:A83),$BW$2:$BW$87,0)))</f>
        <v>5-8 years</v>
      </c>
      <c r="F83" s="441" t="str">
        <f>IF($A83="","",INDEX($BH$2:$BH$87,MATCH(ROWS($A$29:A83),$BW$2:$BW$87,0)))</f>
        <v>Macroeconomically Constrained Only</v>
      </c>
      <c r="G83" s="440" t="str">
        <f>IF($A83="","",INDEX($BI$2:$BI$87,MATCH(ROWS($A$29:A83),$BW$2:$BW$87,0)))</f>
        <v>Lower-Middle Income</v>
      </c>
      <c r="H83" s="440" t="str">
        <f>IF($A83="","",INDEX($BJ$2:$BJ$87,MATCH(ROWS($A$29:A83),$BW$2:$BW$87,0)))</f>
        <v>Stable</v>
      </c>
      <c r="I83" s="441" t="str">
        <f>IF($A83="","",INDEX($BK$2:$BK$87,MATCH(ROWS($A$29:A83),$BW$2:$BW$87,0)))</f>
        <v>income improvement;  food security &amp; resilience</v>
      </c>
      <c r="J83" s="441" t="str">
        <f>IF($A83="","",
 _xlfn.LET(
   _xlpm.link,TRIM(INDEX($BL$2:$BL$87,MATCH(ROWS($A$29:A83),$BW$2:$BW$87,0))),
   IF(OR(_xlpm.link="",UPPER(_xlpm.link)="N/A"),"N/A",
      IF(OR(LEFT(_xlpm.link,7)="http://",LEFT(_xlpm.link,8)="https://"),
         HYPERLINK(_xlpm.link,_xlpm.link),
         _xlpm.link
      )
   )
 ))</f>
        <v>N/A - report provided by ACDI/VOCA</v>
      </c>
      <c r="K83" s="490"/>
      <c r="L83" s="490"/>
      <c r="M83" s="490"/>
      <c r="N83" s="490"/>
      <c r="AZ83" s="438" t="s">
        <v>404</v>
      </c>
      <c r="BA83" s="487" t="s">
        <v>405</v>
      </c>
      <c r="BB83" s="438" t="s">
        <v>45</v>
      </c>
      <c r="BC83" s="438" t="s">
        <v>312</v>
      </c>
      <c r="BD83" s="438" t="s">
        <v>39</v>
      </c>
      <c r="BE83" s="438" t="s">
        <v>778</v>
      </c>
      <c r="BF83" s="438" t="s">
        <v>716</v>
      </c>
      <c r="BG83" s="438" t="s">
        <v>673</v>
      </c>
      <c r="BH83" s="438" t="s">
        <v>728</v>
      </c>
      <c r="BI83" s="438" t="s">
        <v>597</v>
      </c>
      <c r="BJ83" s="438" t="s">
        <v>49</v>
      </c>
      <c r="BK83" s="438" t="s">
        <v>594</v>
      </c>
      <c r="BL83" s="17" t="s">
        <v>305</v>
      </c>
      <c r="BM83" s="447">
        <v>492.39882661123181</v>
      </c>
      <c r="BN83" s="447">
        <v>0.48221049077583339</v>
      </c>
      <c r="BO83" s="447">
        <v>3.2399911384850131</v>
      </c>
      <c r="BP83" s="447"/>
      <c r="BQ83" s="447">
        <v>9620.9987560570407</v>
      </c>
      <c r="BR83" s="447">
        <v>104</v>
      </c>
      <c r="BS83" s="447">
        <v>4673.3338275050437</v>
      </c>
      <c r="BT83" s="447">
        <v>213.98000590380909</v>
      </c>
      <c r="BU83" s="447">
        <v>2.479045428182832</v>
      </c>
      <c r="BV83" s="438">
        <f t="shared" si="2"/>
        <v>1</v>
      </c>
      <c r="BW83" s="438">
        <f>IF(BV83=1,COUNTIF($BV$2:BV83,1),"")</f>
        <v>82</v>
      </c>
    </row>
    <row r="84" spans="1:75" ht="28.9" customHeight="1" x14ac:dyDescent="0.25">
      <c r="A84" s="438" t="str">
        <f>IFERROR(INDEX($AZ$2:$AZ$87,MATCH(ROWS($A$29:A84),$BW$2:$BW$87,0)),"")</f>
        <v>GROW Liberia</v>
      </c>
      <c r="B84" s="439">
        <f>IF($A84="","",IFERROR(INDEX($BX$2:$BX$87,MATCH(ROWS($A$29:A84),$BW$2:$BW$87,0)),""))</f>
        <v>0</v>
      </c>
      <c r="C84" s="440" t="str">
        <f>IF($A84="","",INDEX($BB$2:$BB$87,MATCH(ROWS($A$29:A84),$BW$2:$BW$87,0)))</f>
        <v>Sida</v>
      </c>
      <c r="D84" s="441" t="str">
        <f>IF($A84="","",INDEX($BD$2:$BD$87,MATCH(ROWS($A$29:A84),$BW$2:$BW$87,0)))</f>
        <v>Agriculture</v>
      </c>
      <c r="E84" s="441" t="str">
        <f>IF($A84="","",INDEX($BF$2:$BF$87,MATCH(ROWS($A$29:A84),$BW$2:$BW$87,0)))</f>
        <v>9+ years</v>
      </c>
      <c r="F84" s="441" t="str">
        <f>IF($A84="","",INDEX($BH$2:$BH$87,MATCH(ROWS($A$29:A84),$BW$2:$BW$87,0)))</f>
        <v>Macroeconomically Constrained Only</v>
      </c>
      <c r="G84" s="440" t="str">
        <f>IF($A84="","",INDEX($BI$2:$BI$87,MATCH(ROWS($A$29:A84),$BW$2:$BW$87,0)))</f>
        <v>Low-Income</v>
      </c>
      <c r="H84" s="440" t="str">
        <f>IF($A84="","",INDEX($BJ$2:$BJ$87,MATCH(ROWS($A$29:A84),$BW$2:$BW$87,0)))</f>
        <v>Stable</v>
      </c>
      <c r="I84" s="441" t="str">
        <f>IF($A84="","",INDEX($BK$2:$BK$87,MATCH(ROWS($A$29:A84),$BW$2:$BW$87,0)))</f>
        <v>income improvement; food security &amp; resilience</v>
      </c>
      <c r="J84" s="441" t="str">
        <f>IF($A84="","",
 _xlfn.LET(
   _xlpm.link,TRIM(INDEX($BL$2:$BL$87,MATCH(ROWS($A$29:A84),$BW$2:$BW$87,0))),
   IF(OR(_xlpm.link="",UPPER(_xlpm.link)="N/A"),"N/A",
      IF(OR(LEFT(_xlpm.link,7)="http://",LEFT(_xlpm.link,8)="https://"),
         HYPERLINK(_xlpm.link,_xlpm.link),
         _xlpm.link
      )
   )
 ))</f>
        <v>https://beamexchange.org/implement/programme-index/grow-liberia/</v>
      </c>
      <c r="K84" s="490"/>
      <c r="L84" s="490"/>
      <c r="M84" s="490"/>
      <c r="N84" s="490"/>
      <c r="AZ84" s="438" t="s">
        <v>397</v>
      </c>
      <c r="BA84" s="469" t="s">
        <v>397</v>
      </c>
      <c r="BB84" s="438" t="s">
        <v>137</v>
      </c>
      <c r="BC84" s="438" t="s">
        <v>39</v>
      </c>
      <c r="BD84" s="438" t="s">
        <v>39</v>
      </c>
      <c r="BE84" s="438" t="s">
        <v>771</v>
      </c>
      <c r="BF84" s="438" t="s">
        <v>766</v>
      </c>
      <c r="BG84" s="438" t="s">
        <v>674</v>
      </c>
      <c r="BH84" s="438" t="s">
        <v>727</v>
      </c>
      <c r="BI84" s="438" t="s">
        <v>586</v>
      </c>
      <c r="BJ84" s="438" t="s">
        <v>42</v>
      </c>
      <c r="BK84" s="438" t="s">
        <v>594</v>
      </c>
      <c r="BL84" s="17" t="s">
        <v>398</v>
      </c>
      <c r="BM84" s="447">
        <v>51.919783760864973</v>
      </c>
      <c r="BN84" s="447"/>
      <c r="BO84" s="447"/>
      <c r="BP84" s="447">
        <v>9.1880142857142869E-2</v>
      </c>
      <c r="BQ84" s="447"/>
      <c r="BR84" s="447"/>
      <c r="BS84" s="447"/>
      <c r="BT84" s="447"/>
      <c r="BU84" s="447">
        <v>0.69973034285714297</v>
      </c>
      <c r="BV84" s="438">
        <f t="shared" si="2"/>
        <v>1</v>
      </c>
      <c r="BW84" s="438">
        <f>IF(BV84=1,COUNTIF($BV$2:BV84,1),"")</f>
        <v>83</v>
      </c>
    </row>
    <row r="85" spans="1:75" ht="43.15" customHeight="1" x14ac:dyDescent="0.25">
      <c r="A85" s="438" t="str">
        <f>IFERROR(INDEX($AZ$2:$AZ$87,MATCH(ROWS($A$29:A85),$BW$2:$BW$87,0)),"")</f>
        <v xml:space="preserve">USAID Kyrgyzstan Enterprise Competitiveness Project </v>
      </c>
      <c r="B85" s="439">
        <f>IF($A85="","",IFERROR(INDEX($BX$2:$BX$87,MATCH(ROWS($A$29:A85),$BW$2:$BW$87,0)),""))</f>
        <v>0</v>
      </c>
      <c r="C85" s="440" t="str">
        <f>IF($A85="","",INDEX($BB$2:$BB$87,MATCH(ROWS($A$29:A85),$BW$2:$BW$87,0)))</f>
        <v>USAID</v>
      </c>
      <c r="D85" s="441" t="str">
        <f>IF($A85="","",INDEX($BD$2:$BD$87,MATCH(ROWS($A$29:A85),$BW$2:$BW$87,0)))</f>
        <v>Mixed</v>
      </c>
      <c r="E85" s="441" t="str">
        <f>IF($A85="","",INDEX($BF$2:$BF$87,MATCH(ROWS($A$29:A85),$BW$2:$BW$87,0)))</f>
        <v>5-8 years</v>
      </c>
      <c r="F85" s="441" t="str">
        <f>IF($A85="","",INDEX($BH$2:$BH$87,MATCH(ROWS($A$29:A85),$BW$2:$BW$87,0)))</f>
        <v>Macroeconomically Constrained Only</v>
      </c>
      <c r="G85" s="440" t="str">
        <f>IF($A85="","",INDEX($BI$2:$BI$87,MATCH(ROWS($A$29:A85),$BW$2:$BW$87,0)))</f>
        <v>Lower-Middle Income</v>
      </c>
      <c r="H85" s="440" t="str">
        <f>IF($A85="","",INDEX($BJ$2:$BJ$87,MATCH(ROWS($A$29:A85),$BW$2:$BW$87,0)))</f>
        <v>Stable</v>
      </c>
      <c r="I85" s="441" t="str">
        <f>IF($A85="","",INDEX($BK$2:$BK$87,MATCH(ROWS($A$29:A85),$BW$2:$BW$87,0)))</f>
        <v>job creation, income improvement; food security &amp; resilience</v>
      </c>
      <c r="J85" s="441" t="str">
        <f>IF($A85="","",
 _xlfn.LET(
   _xlpm.link,TRIM(INDEX($BL$2:$BL$87,MATCH(ROWS($A$29:A85),$BW$2:$BW$87,0))),
   IF(OR(_xlpm.link="",UPPER(_xlpm.link)="N/A"),"N/A",
      IF(OR(LEFT(_xlpm.link,7)="http://",LEFT(_xlpm.link,8)="https://"),
         HYPERLINK(_xlpm.link,_xlpm.link),
         _xlpm.link
      )
   )
 ))</f>
        <v>N/A - report provided by ACDI/VOCA</v>
      </c>
      <c r="K85" s="490"/>
      <c r="L85" s="490"/>
      <c r="M85" s="490"/>
      <c r="N85" s="490"/>
      <c r="AZ85" s="438" t="s">
        <v>407</v>
      </c>
      <c r="BA85" s="487" t="s">
        <v>408</v>
      </c>
      <c r="BB85" s="438" t="s">
        <v>785</v>
      </c>
      <c r="BC85" s="438" t="s">
        <v>333</v>
      </c>
      <c r="BD85" s="438" t="s">
        <v>39</v>
      </c>
      <c r="BE85" s="438" t="s">
        <v>778</v>
      </c>
      <c r="BF85" s="438" t="s">
        <v>716</v>
      </c>
      <c r="BG85" s="438" t="s">
        <v>674</v>
      </c>
      <c r="BH85" s="438" t="s">
        <v>727</v>
      </c>
      <c r="BI85" s="438" t="s">
        <v>583</v>
      </c>
      <c r="BJ85" s="438" t="s">
        <v>49</v>
      </c>
      <c r="BK85" s="438" t="s">
        <v>594</v>
      </c>
      <c r="BL85" s="17" t="s">
        <v>305</v>
      </c>
      <c r="BM85" s="447">
        <v>74</v>
      </c>
      <c r="BN85" s="447"/>
      <c r="BO85" s="447">
        <v>1.963414634146341</v>
      </c>
      <c r="BP85" s="447"/>
      <c r="BQ85" s="447">
        <v>410</v>
      </c>
      <c r="BR85" s="447">
        <v>2439.024390243902</v>
      </c>
      <c r="BS85" s="447">
        <v>30.37037037037037</v>
      </c>
      <c r="BT85" s="447">
        <v>32926.829268292677</v>
      </c>
      <c r="BU85" s="447">
        <v>1.963414634146341</v>
      </c>
      <c r="BV85" s="438">
        <f t="shared" si="2"/>
        <v>1</v>
      </c>
      <c r="BW85" s="438">
        <f>IF(BV85=1,COUNTIF($BV$2:BV85,1),"")</f>
        <v>84</v>
      </c>
    </row>
    <row r="86" spans="1:75" ht="24" customHeight="1" x14ac:dyDescent="0.25">
      <c r="A86" s="438" t="str">
        <f>IFERROR(INDEX($AZ$2:$AZ$87,MATCH(ROWS($A$29:A86),$BW$2:$BW$87,0)),"")</f>
        <v>FTF Senegal Naatal Mbay</v>
      </c>
      <c r="B86" s="439">
        <f>IF($A86="","",IFERROR(INDEX($BX$2:$BX$87,MATCH(ROWS($A$29:A86),$BW$2:$BW$87,0)),""))</f>
        <v>0</v>
      </c>
      <c r="C86" s="440" t="str">
        <f>IF($A86="","",INDEX($BB$2:$BB$87,MATCH(ROWS($A$29:A86),$BW$2:$BW$87,0)))</f>
        <v>USAID</v>
      </c>
      <c r="D86" s="441" t="str">
        <f>IF($A86="","",INDEX($BD$2:$BD$87,MATCH(ROWS($A$29:A86),$BW$2:$BW$87,0)))</f>
        <v>Agriculture</v>
      </c>
      <c r="E86" s="441" t="str">
        <f>IF($A86="","",INDEX($BF$2:$BF$87,MATCH(ROWS($A$29:A86),$BW$2:$BW$87,0)))</f>
        <v>1-4 years</v>
      </c>
      <c r="F86" s="441" t="str">
        <f>IF($A86="","",INDEX($BH$2:$BH$87,MATCH(ROWS($A$29:A86),$BW$2:$BW$87,0)))</f>
        <v>Stable</v>
      </c>
      <c r="G86" s="440" t="str">
        <f>IF($A86="","",INDEX($BI$2:$BI$87,MATCH(ROWS($A$29:A86),$BW$2:$BW$87,0)))</f>
        <v>Lower-Middle Income</v>
      </c>
      <c r="H86" s="440" t="str">
        <f>IF($A86="","",INDEX($BJ$2:$BJ$87,MATCH(ROWS($A$29:A86),$BW$2:$BW$87,0)))</f>
        <v>Stable</v>
      </c>
      <c r="I86" s="441" t="str">
        <f>IF($A86="","",INDEX($BK$2:$BK$87,MATCH(ROWS($A$29:A86),$BW$2:$BW$87,0)))</f>
        <v>job creation, income improvement; food security &amp; resilience</v>
      </c>
      <c r="J86" s="441" t="str">
        <f>IF($A86="","",
 _xlfn.LET(
   _xlpm.link,TRIM(INDEX($BL$2:$BL$87,MATCH(ROWS($A$29:A86),$BW$2:$BW$87,0))),
   IF(OR(_xlpm.link="",UPPER(_xlpm.link)="N/A"),"N/A",
      IF(OR(LEFT(_xlpm.link,7)="http://",LEFT(_xlpm.link,8)="https://"),
         HYPERLINK(_xlpm.link,_xlpm.link),
         _xlpm.link
      )
   )
 ))</f>
        <v>N/A - report provided by former USAID</v>
      </c>
      <c r="K86" s="490"/>
      <c r="L86" s="490"/>
      <c r="M86" s="490"/>
      <c r="N86" s="490"/>
      <c r="AZ86" s="438" t="s">
        <v>399</v>
      </c>
      <c r="BA86" s="469" t="s">
        <v>399</v>
      </c>
      <c r="BB86" s="438" t="s">
        <v>137</v>
      </c>
      <c r="BC86" s="438" t="s">
        <v>39</v>
      </c>
      <c r="BD86" s="438" t="s">
        <v>39</v>
      </c>
      <c r="BE86" s="438" t="s">
        <v>771</v>
      </c>
      <c r="BF86" s="438" t="s">
        <v>716</v>
      </c>
      <c r="BG86" s="438" t="s">
        <v>587</v>
      </c>
      <c r="BH86" s="438" t="s">
        <v>764</v>
      </c>
      <c r="BI86" s="438" t="s">
        <v>583</v>
      </c>
      <c r="BJ86" s="438" t="s">
        <v>42</v>
      </c>
      <c r="BK86" s="438" t="s">
        <v>594</v>
      </c>
      <c r="BL86" s="17" t="s">
        <v>400</v>
      </c>
      <c r="BM86" s="447">
        <v>94.051340826613838</v>
      </c>
      <c r="BN86" s="447">
        <v>1.426401761744966</v>
      </c>
      <c r="BO86" s="447"/>
      <c r="BP86" s="447"/>
      <c r="BQ86" s="447"/>
      <c r="BR86" s="447"/>
      <c r="BS86" s="447">
        <v>65.570665191416765</v>
      </c>
      <c r="BT86" s="447">
        <v>15250.72221062202</v>
      </c>
      <c r="BU86" s="447">
        <v>1.434350872483221</v>
      </c>
      <c r="BV86" s="438">
        <f t="shared" si="2"/>
        <v>1</v>
      </c>
      <c r="BW86" s="438">
        <f>IF(BV86=1,COUNTIF($BV$2:BV86,1),"")</f>
        <v>85</v>
      </c>
    </row>
    <row r="87" spans="1:75" ht="28.9" customHeight="1" x14ac:dyDescent="0.25">
      <c r="A87" s="438" t="str">
        <f>IFERROR(INDEX($AZ$2:$AZ$87,MATCH(ROWS($A$29:A87),$BW$2:$BW$87,0)),"")</f>
        <v>Northern Uganda - Transforming the Economy through Climate Smart Agriculture</v>
      </c>
      <c r="B87" s="439">
        <f>IF($A87="","",IFERROR(INDEX($BX$2:$BX$87,MATCH(ROWS($A$29:A87),$BW$2:$BW$87,0)),""))</f>
        <v>0</v>
      </c>
      <c r="C87" s="440" t="str">
        <f>IF($A87="","",INDEX($BB$2:$BB$87,MATCH(ROWS($A$29:A87),$BW$2:$BW$87,0)))</f>
        <v>FCDO</v>
      </c>
      <c r="D87" s="441" t="str">
        <f>IF($A87="","",INDEX($BD$2:$BD$87,MATCH(ROWS($A$29:A87),$BW$2:$BW$87,0)))</f>
        <v>Agriculture</v>
      </c>
      <c r="E87" s="441" t="str">
        <f>IF($A87="","",INDEX($BF$2:$BF$87,MATCH(ROWS($A$29:A87),$BW$2:$BW$87,0)))</f>
        <v>5-8 years</v>
      </c>
      <c r="F87" s="441" t="str">
        <f>IF($A87="","",INDEX($BH$2:$BH$87,MATCH(ROWS($A$29:A87),$BW$2:$BW$87,0)))</f>
        <v>Politically Constrained Only</v>
      </c>
      <c r="G87" s="440" t="str">
        <f>IF($A87="","",INDEX($BI$2:$BI$87,MATCH(ROWS($A$29:A87),$BW$2:$BW$87,0)))</f>
        <v>Low-Income</v>
      </c>
      <c r="H87" s="440" t="str">
        <f>IF($A87="","",INDEX($BJ$2:$BJ$87,MATCH(ROWS($A$29:A87),$BW$2:$BW$87,0)))</f>
        <v>FCAS</v>
      </c>
      <c r="I87" s="441" t="str">
        <f>IF($A87="","",INDEX($BK$2:$BK$87,MATCH(ROWS($A$29:A87),$BW$2:$BW$87,0)))</f>
        <v>income improvement; food security &amp; resilience</v>
      </c>
      <c r="J87" s="441" t="str">
        <f>IF($A87="","",
 _xlfn.LET(
   _xlpm.link,TRIM(INDEX($BL$2:$BL$87,MATCH(ROWS($A$29:A87),$BW$2:$BW$87,0))),
   IF(OR(_xlpm.link="",UPPER(_xlpm.link)="N/A"),"N/A",
      IF(OR(LEFT(_xlpm.link,7)="http://",LEFT(_xlpm.link,8)="https://"),
         HYPERLINK(_xlpm.link,_xlpm.link),
         _xlpm.link
      )
   )
 ))</f>
        <v>https://beamexchange.org/implement/programme-index/nu-tec-northern-uganda-transforming-the-economy-through-climate-smart-agriculture/</v>
      </c>
      <c r="K87" s="490"/>
      <c r="L87" s="490"/>
      <c r="M87" s="490"/>
      <c r="N87" s="490"/>
      <c r="AZ87" s="438" t="s">
        <v>401</v>
      </c>
      <c r="BA87" s="489" t="s">
        <v>402</v>
      </c>
      <c r="BB87" s="438" t="s">
        <v>45</v>
      </c>
      <c r="BC87" s="438" t="s">
        <v>39</v>
      </c>
      <c r="BD87" s="438" t="s">
        <v>39</v>
      </c>
      <c r="BE87" s="438" t="s">
        <v>761</v>
      </c>
      <c r="BF87" s="438" t="s">
        <v>718</v>
      </c>
      <c r="BG87" s="438" t="s">
        <v>673</v>
      </c>
      <c r="BH87" s="438" t="s">
        <v>728</v>
      </c>
      <c r="BI87" s="438" t="s">
        <v>589</v>
      </c>
      <c r="BJ87" s="438" t="s">
        <v>49</v>
      </c>
      <c r="BK87" s="438" t="s">
        <v>602</v>
      </c>
      <c r="BL87" s="17" t="s">
        <v>403</v>
      </c>
      <c r="BM87" s="447"/>
      <c r="BN87" s="447">
        <v>0.1757894736842105</v>
      </c>
      <c r="BO87" s="447">
        <v>0.8147368421052632</v>
      </c>
      <c r="BP87" s="447"/>
      <c r="BQ87" s="447"/>
      <c r="BR87" s="447"/>
      <c r="BS87" s="447">
        <v>77.577998552966179</v>
      </c>
      <c r="BT87" s="447">
        <v>12890.252631578949</v>
      </c>
      <c r="BU87" s="447"/>
      <c r="BV87" s="438">
        <f t="shared" si="2"/>
        <v>1</v>
      </c>
      <c r="BW87" s="438">
        <f>IF(BV87=1,COUNTIF($BV$2:BV87,1),"")</f>
        <v>86</v>
      </c>
    </row>
    <row r="88" spans="1:75" ht="28.9" customHeight="1" x14ac:dyDescent="0.25">
      <c r="A88" s="438" t="str">
        <f>IFERROR(INDEX($AZ$2:$AZ$87,MATCH(ROWS($A$29:A88),$BW$2:$BW$87,0)),"")</f>
        <v>Rice and Diversified Crops Activity</v>
      </c>
      <c r="B88" s="439">
        <f>IF($A88="","",IFERROR(INDEX($BX$2:$BX$87,MATCH(ROWS($A$29:A88),$BW$2:$BW$87,0)),""))</f>
        <v>0</v>
      </c>
      <c r="C88" s="440" t="str">
        <f>IF($A88="","",INDEX($BB$2:$BB$87,MATCH(ROWS($A$29:A88),$BW$2:$BW$87,0)))</f>
        <v>USAID</v>
      </c>
      <c r="D88" s="441" t="str">
        <f>IF($A88="","",INDEX($BD$2:$BD$87,MATCH(ROWS($A$29:A88),$BW$2:$BW$87,0)))</f>
        <v>Agriculture</v>
      </c>
      <c r="E88" s="441" t="str">
        <f>IF($A88="","",INDEX($BF$2:$BF$87,MATCH(ROWS($A$29:A88),$BW$2:$BW$87,0)))</f>
        <v>5-8 years</v>
      </c>
      <c r="F88" s="441" t="str">
        <f>IF($A88="","",INDEX($BH$2:$BH$87,MATCH(ROWS($A$29:A88),$BW$2:$BW$87,0)))</f>
        <v>Politically Constrained Only</v>
      </c>
      <c r="G88" s="440" t="str">
        <f>IF($A88="","",INDEX($BI$2:$BI$87,MATCH(ROWS($A$29:A88),$BW$2:$BW$87,0)))</f>
        <v>Lower-Middle Income</v>
      </c>
      <c r="H88" s="440" t="str">
        <f>IF($A88="","",INDEX($BJ$2:$BJ$87,MATCH(ROWS($A$29:A88),$BW$2:$BW$87,0)))</f>
        <v>Stable</v>
      </c>
      <c r="I88" s="441" t="str">
        <f>IF($A88="","",INDEX($BK$2:$BK$87,MATCH(ROWS($A$29:A88),$BW$2:$BW$87,0)))</f>
        <v>food security &amp; resilience; income improvement</v>
      </c>
      <c r="J88" s="441" t="str">
        <f>IF($A88="","",
 _xlfn.LET(
   _xlpm.link,TRIM(INDEX($BL$2:$BL$87,MATCH(ROWS($A$29:A88),$BW$2:$BW$87,0))),
   IF(OR(_xlpm.link="",UPPER(_xlpm.link)="N/A"),"N/A",
      IF(OR(LEFT(_xlpm.link,7)="http://",LEFT(_xlpm.link,8)="https://"),
         HYPERLINK(_xlpm.link,_xlpm.link),
         _xlpm.link
      )
   )
 ))</f>
        <v>https://beamexchange.org/implement/programme-index/rdc-rice-and-diversified-crops-activity/</v>
      </c>
      <c r="K88" s="490"/>
      <c r="L88" s="490"/>
      <c r="M88" s="490"/>
      <c r="N88" s="490"/>
    </row>
    <row r="89" spans="1:75" ht="28.9" customHeight="1" x14ac:dyDescent="0.25">
      <c r="A89" s="438" t="str">
        <f>IFERROR(INDEX($AZ$2:$AZ$87,MATCH(ROWS($A$29:A89),$BW$2:$BW$87,0)),"")</f>
        <v xml:space="preserve">Georgia Economic Security Program </v>
      </c>
      <c r="B89" s="439">
        <f>IF($A89="","",IFERROR(INDEX($BX$2:$BX$87,MATCH(ROWS($A$29:A89),$BW$2:$BW$87,0)),""))</f>
        <v>0</v>
      </c>
      <c r="C89" s="440" t="str">
        <f>IF($A89="","",INDEX($BB$2:$BB$87,MATCH(ROWS($A$29:A89),$BW$2:$BW$87,0)))</f>
        <v>USAID</v>
      </c>
      <c r="D89" s="441" t="str">
        <f>IF($A89="","",INDEX($BD$2:$BD$87,MATCH(ROWS($A$29:A89),$BW$2:$BW$87,0)))</f>
        <v>Non-Agriculture</v>
      </c>
      <c r="E89" s="441" t="str">
        <f>IF($A89="","",INDEX($BF$2:$BF$87,MATCH(ROWS($A$29:A89),$BW$2:$BW$87,0)))</f>
        <v>5-8 years</v>
      </c>
      <c r="F89" s="441" t="str">
        <f>IF($A89="","",INDEX($BH$2:$BH$87,MATCH(ROWS($A$29:A89),$BW$2:$BW$87,0)))</f>
        <v>Macroeconomically Constrained Only</v>
      </c>
      <c r="G89" s="440" t="str">
        <f>IF($A89="","",INDEX($BI$2:$BI$87,MATCH(ROWS($A$29:A89),$BW$2:$BW$87,0)))</f>
        <v>Upper-Middle Income</v>
      </c>
      <c r="H89" s="440" t="str">
        <f>IF($A89="","",INDEX($BJ$2:$BJ$87,MATCH(ROWS($A$29:A89),$BW$2:$BW$87,0)))</f>
        <v>Stable</v>
      </c>
      <c r="I89" s="441" t="str">
        <f>IF($A89="","",INDEX($BK$2:$BK$87,MATCH(ROWS($A$29:A89),$BW$2:$BW$87,0)))</f>
        <v>job creation, income improvement; food security &amp; resilience</v>
      </c>
      <c r="J89" s="441" t="str">
        <f>IF($A89="","",
 _xlfn.LET(
   _xlpm.link,TRIM(INDEX($BL$2:$BL$87,MATCH(ROWS($A$29:A89),$BW$2:$BW$87,0))),
   IF(OR(_xlpm.link="",UPPER(_xlpm.link)="N/A"),"N/A",
      IF(OR(LEFT(_xlpm.link,7)="http://",LEFT(_xlpm.link,8)="https://"),
         HYPERLINK(_xlpm.link,_xlpm.link),
         _xlpm.link
      )
   )
 ))</f>
        <v>N/A - report provided by former USAID</v>
      </c>
      <c r="K89" s="490"/>
      <c r="L89" s="490"/>
      <c r="M89" s="490"/>
      <c r="N89" s="490"/>
    </row>
    <row r="90" spans="1:75" ht="43.15" customHeight="1" x14ac:dyDescent="0.25">
      <c r="A90" s="438" t="str">
        <f>IFERROR(INDEX($AZ$2:$AZ$87,MATCH(ROWS($A$29:A90),$BW$2:$BW$87,0)),"")</f>
        <v>Market Development in the Niger Delta - Phases I and II</v>
      </c>
      <c r="B90" s="439">
        <f>IF($A90="","",IFERROR(INDEX($BX$2:$BX$87,MATCH(ROWS($A$29:A90),$BW$2:$BW$87,0)),""))</f>
        <v>0</v>
      </c>
      <c r="C90" s="440" t="str">
        <f>IF($A90="","",INDEX($BB$2:$BB$87,MATCH(ROWS($A$29:A90),$BW$2:$BW$87,0)))</f>
        <v>FCDO</v>
      </c>
      <c r="D90" s="441" t="str">
        <f>IF($A90="","",INDEX($BD$2:$BD$87,MATCH(ROWS($A$29:A90),$BW$2:$BW$87,0)))</f>
        <v>Agriculture</v>
      </c>
      <c r="E90" s="441" t="str">
        <f>IF($A90="","",INDEX($BF$2:$BF$87,MATCH(ROWS($A$29:A90),$BW$2:$BW$87,0)))</f>
        <v>5-8 years</v>
      </c>
      <c r="F90" s="441" t="str">
        <f>IF($A90="","",INDEX($BH$2:$BH$87,MATCH(ROWS($A$29:A90),$BW$2:$BW$87,0)))</f>
        <v>Politically and Macroeconomically Constrained</v>
      </c>
      <c r="G90" s="440" t="str">
        <f>IF($A90="","",INDEX($BI$2:$BI$87,MATCH(ROWS($A$29:A90),$BW$2:$BW$87,0)))</f>
        <v>Lower-Middle Income</v>
      </c>
      <c r="H90" s="440" t="str">
        <f>IF($A90="","",INDEX($BJ$2:$BJ$87,MATCH(ROWS($A$29:A90),$BW$2:$BW$87,0)))</f>
        <v>Stable</v>
      </c>
      <c r="I90" s="441" t="str">
        <f>IF($A90="","",INDEX($BK$2:$BK$87,MATCH(ROWS($A$29:A90),$BW$2:$BW$87,0)))</f>
        <v>income improvement</v>
      </c>
      <c r="J90" s="441" t="str">
        <f>IF($A90="","",
 _xlfn.LET(
   _xlpm.link,TRIM(INDEX($BL$2:$BL$87,MATCH(ROWS($A$29:A90),$BW$2:$BW$87,0))),
   IF(OR(_xlpm.link="",UPPER(_xlpm.link)="N/A"),"N/A",
      IF(OR(LEFT(_xlpm.link,7)="http://",LEFT(_xlpm.link,8)="https://"),
         HYPERLINK(_xlpm.link,_xlpm.link),
         _xlpm.link
      )
   )
 ))</f>
        <v>https://beamexchange.org/implement/programme-index/made-market-development-in-the-niger-delta-phases-i-and-ii/</v>
      </c>
      <c r="K90" s="490"/>
      <c r="L90" s="490"/>
      <c r="M90" s="490"/>
      <c r="N90" s="490"/>
    </row>
    <row r="91" spans="1:75" ht="28.9" customHeight="1" x14ac:dyDescent="0.25">
      <c r="A91" s="438" t="str">
        <f>IFERROR(INDEX($AZ$2:$AZ$87,MATCH(ROWS($A$29:A91),$BW$2:$BW$87,0)),"")</f>
        <v>Palestinian Market Development Programme</v>
      </c>
      <c r="B91" s="439">
        <f>IF($A91="","",IFERROR(INDEX($BX$2:$BX$87,MATCH(ROWS($A$29:A91),$BW$2:$BW$87,0)),""))</f>
        <v>0</v>
      </c>
      <c r="C91" s="440" t="str">
        <f>IF($A91="","",INDEX($BB$2:$BB$87,MATCH(ROWS($A$29:A91),$BW$2:$BW$87,0)))</f>
        <v>FCDO; EU</v>
      </c>
      <c r="D91" s="441" t="str">
        <f>IF($A91="","",INDEX($BD$2:$BD$87,MATCH(ROWS($A$29:A91),$BW$2:$BW$87,0)))</f>
        <v>Mixed</v>
      </c>
      <c r="E91" s="441" t="str">
        <f>IF($A91="","",INDEX($BF$2:$BF$87,MATCH(ROWS($A$29:A91),$BW$2:$BW$87,0)))</f>
        <v>5-8 years</v>
      </c>
      <c r="F91" s="441" t="str">
        <f>IF($A91="","",INDEX($BH$2:$BH$87,MATCH(ROWS($A$29:A91),$BW$2:$BW$87,0)))</f>
        <v>Politically and Macroeconomically Constrained</v>
      </c>
      <c r="G91" s="440" t="str">
        <f>IF($A91="","",INDEX($BI$2:$BI$87,MATCH(ROWS($A$29:A91),$BW$2:$BW$87,0)))</f>
        <v>Low-Income</v>
      </c>
      <c r="H91" s="440" t="str">
        <f>IF($A91="","",INDEX($BJ$2:$BJ$87,MATCH(ROWS($A$29:A91),$BW$2:$BW$87,0)))</f>
        <v>FCAS</v>
      </c>
      <c r="I91" s="441" t="str">
        <f>IF($A91="","",INDEX($BK$2:$BK$87,MATCH(ROWS($A$29:A91),$BW$2:$BW$87,0)))</f>
        <v>job creation; income improvement</v>
      </c>
      <c r="J91" s="441" t="str">
        <f>IF($A91="","",
 _xlfn.LET(
   _xlpm.link,TRIM(INDEX($BL$2:$BL$87,MATCH(ROWS($A$29:A91),$BW$2:$BW$87,0))),
   IF(OR(_xlpm.link="",UPPER(_xlpm.link)="N/A"),"N/A",
      IF(OR(LEFT(_xlpm.link,7)="http://",LEFT(_xlpm.link,8)="https://"),
         HYPERLINK(_xlpm.link,_xlpm.link),
         _xlpm.link
      )
   )
 ))</f>
        <v>https://beamexchange.org/implement/programme-index/pmdp-palestinian-market-development-programme/</v>
      </c>
      <c r="K91" s="490"/>
      <c r="L91" s="490"/>
      <c r="M91" s="490"/>
      <c r="N91" s="490"/>
    </row>
    <row r="92" spans="1:75" ht="28.9" customHeight="1" x14ac:dyDescent="0.25">
      <c r="A92" s="438" t="str">
        <f>IFERROR(INDEX($AZ$2:$AZ$87,MATCH(ROWS($A$29:A92),$BW$2:$BW$87,0)),"")</f>
        <v>Kenya Market Assistance Programme</v>
      </c>
      <c r="B92" s="439">
        <f>IF($A92="","",IFERROR(INDEX($BX$2:$BX$87,MATCH(ROWS($A$29:A92),$BW$2:$BW$87,0)),""))</f>
        <v>0</v>
      </c>
      <c r="C92" s="440" t="str">
        <f>IF($A92="","",INDEX($BB$2:$BB$87,MATCH(ROWS($A$29:A92),$BW$2:$BW$87,0)))</f>
        <v>FCDO; Gatsby; Netherlands Embassy</v>
      </c>
      <c r="D92" s="441" t="str">
        <f>IF($A92="","",INDEX($BD$2:$BD$87,MATCH(ROWS($A$29:A92),$BW$2:$BW$87,0)))</f>
        <v>Agriculture</v>
      </c>
      <c r="E92" s="441" t="str">
        <f>IF($A92="","",INDEX($BF$2:$BF$87,MATCH(ROWS($A$29:A92),$BW$2:$BW$87,0)))</f>
        <v>1-4 years</v>
      </c>
      <c r="F92" s="441" t="str">
        <f>IF($A92="","",INDEX($BH$2:$BH$87,MATCH(ROWS($A$29:A92),$BW$2:$BW$87,0)))</f>
        <v>Politically Constrained Only</v>
      </c>
      <c r="G92" s="440" t="str">
        <f>IF($A92="","",INDEX($BI$2:$BI$87,MATCH(ROWS($A$29:A92),$BW$2:$BW$87,0)))</f>
        <v>Lower-Middle Income</v>
      </c>
      <c r="H92" s="440" t="str">
        <f>IF($A92="","",INDEX($BJ$2:$BJ$87,MATCH(ROWS($A$29:A92),$BW$2:$BW$87,0)))</f>
        <v>Stable</v>
      </c>
      <c r="I92" s="441" t="str">
        <f>IF($A92="","",INDEX($BK$2:$BK$87,MATCH(ROWS($A$29:A92),$BW$2:$BW$87,0)))</f>
        <v>job creation; income improvement; food security &amp; resilience</v>
      </c>
      <c r="J92" s="441" t="str">
        <f>IF($A92="","",
 _xlfn.LET(
   _xlpm.link,TRIM(INDEX($BL$2:$BL$87,MATCH(ROWS($A$29:A92),$BW$2:$BW$87,0))),
   IF(OR(_xlpm.link="",UPPER(_xlpm.link)="N/A"),"N/A",
      IF(OR(LEFT(_xlpm.link,7)="http://",LEFT(_xlpm.link,8)="https://"),
         HYPERLINK(_xlpm.link,_xlpm.link),
         _xlpm.link
      )
   )
 ))</f>
        <v>https://beamexchange.org/implement/programme-index/kmap-kenya-market-assistance-programme/</v>
      </c>
      <c r="K92" s="490"/>
      <c r="L92" s="490"/>
      <c r="M92" s="490"/>
      <c r="N92" s="490"/>
    </row>
    <row r="93" spans="1:75" ht="24" customHeight="1" x14ac:dyDescent="0.25">
      <c r="A93" s="438" t="str">
        <f>IFERROR(INDEX($AZ$2:$AZ$87,MATCH(ROWS($A$29:A93),$BW$2:$BW$87,0)),"")</f>
        <v>FTF Uganda Inclusive Agricultural Markets Activity (IAM)</v>
      </c>
      <c r="B93" s="439">
        <f>IF($A93="","",IFERROR(INDEX($BX$2:$BX$87,MATCH(ROWS($A$29:A93),$BW$2:$BW$87,0)),""))</f>
        <v>0</v>
      </c>
      <c r="C93" s="440" t="str">
        <f>IF($A93="","",INDEX($BB$2:$BB$87,MATCH(ROWS($A$29:A93),$BW$2:$BW$87,0)))</f>
        <v>USAID</v>
      </c>
      <c r="D93" s="441" t="str">
        <f>IF($A93="","",INDEX($BD$2:$BD$87,MATCH(ROWS($A$29:A93),$BW$2:$BW$87,0)))</f>
        <v>Agriculture</v>
      </c>
      <c r="E93" s="441" t="str">
        <f>IF($A93="","",INDEX($BF$2:$BF$87,MATCH(ROWS($A$29:A93),$BW$2:$BW$87,0)))</f>
        <v>5-8 years</v>
      </c>
      <c r="F93" s="441" t="str">
        <f>IF($A93="","",INDEX($BH$2:$BH$87,MATCH(ROWS($A$29:A93),$BW$2:$BW$87,0)))</f>
        <v>Politically Constrained Only</v>
      </c>
      <c r="G93" s="440" t="str">
        <f>IF($A93="","",INDEX($BI$2:$BI$87,MATCH(ROWS($A$29:A93),$BW$2:$BW$87,0)))</f>
        <v>Low-Income</v>
      </c>
      <c r="H93" s="440" t="str">
        <f>IF($A93="","",INDEX($BJ$2:$BJ$87,MATCH(ROWS($A$29:A93),$BW$2:$BW$87,0)))</f>
        <v>Stable</v>
      </c>
      <c r="I93" s="441" t="str">
        <f>IF($A93="","",INDEX($BK$2:$BK$87,MATCH(ROWS($A$29:A93),$BW$2:$BW$87,0)))</f>
        <v>job creation, income improvement; food security &amp; resilience</v>
      </c>
      <c r="J93" s="441" t="str">
        <f>IF($A93="","",
 _xlfn.LET(
   _xlpm.link,TRIM(INDEX($BL$2:$BL$87,MATCH(ROWS($A$29:A93),$BW$2:$BW$87,0))),
   IF(OR(_xlpm.link="",UPPER(_xlpm.link)="N/A"),"N/A",
      IF(OR(LEFT(_xlpm.link,7)="http://",LEFT(_xlpm.link,8)="https://"),
         HYPERLINK(_xlpm.link,_xlpm.link),
         _xlpm.link
      )
   )
 ))</f>
        <v>N/A - report provided by former USAID</v>
      </c>
      <c r="K93" s="490"/>
      <c r="L93" s="490"/>
      <c r="M93" s="490"/>
      <c r="N93" s="490"/>
    </row>
    <row r="94" spans="1:75" ht="36" customHeight="1" x14ac:dyDescent="0.25">
      <c r="A94" s="438" t="str">
        <f>IFERROR(INDEX($AZ$2:$AZ$87,MATCH(ROWS($A$29:A94),$BW$2:$BW$87,0)),"")</f>
        <v>USAID Feed the Future Ethiopia Alliance to Accelerate Agricultural Growth</v>
      </c>
      <c r="B94" s="439">
        <f>IF($A94="","",IFERROR(INDEX($BX$2:$BX$87,MATCH(ROWS($A$29:A94),$BW$2:$BW$87,0)),""))</f>
        <v>0</v>
      </c>
      <c r="C94" s="440" t="str">
        <f>IF($A94="","",INDEX($BB$2:$BB$87,MATCH(ROWS($A$29:A94),$BW$2:$BW$87,0)))</f>
        <v>USAID</v>
      </c>
      <c r="D94" s="441" t="str">
        <f>IF($A94="","",INDEX($BD$2:$BD$87,MATCH(ROWS($A$29:A94),$BW$2:$BW$87,0)))</f>
        <v>Agriculture</v>
      </c>
      <c r="E94" s="441" t="str">
        <f>IF($A94="","",INDEX($BF$2:$BF$87,MATCH(ROWS($A$29:A94),$BW$2:$BW$87,0)))</f>
        <v>1-4 years</v>
      </c>
      <c r="F94" s="441" t="str">
        <f>IF($A94="","",INDEX($BH$2:$BH$87,MATCH(ROWS($A$29:A94),$BW$2:$BW$87,0)))</f>
        <v>Politically and Macroeconomically Constrained</v>
      </c>
      <c r="G94" s="440" t="str">
        <f>IF($A94="","",INDEX($BI$2:$BI$87,MATCH(ROWS($A$29:A94),$BW$2:$BW$87,0)))</f>
        <v>Low-Income</v>
      </c>
      <c r="H94" s="440" t="str">
        <f>IF($A94="","",INDEX($BJ$2:$BJ$87,MATCH(ROWS($A$29:A94),$BW$2:$BW$87,0)))</f>
        <v>FCAS</v>
      </c>
      <c r="I94" s="441" t="str">
        <f>IF($A94="","",INDEX($BK$2:$BK$87,MATCH(ROWS($A$29:A94),$BW$2:$BW$87,0)))</f>
        <v>income improvement;  food security &amp; resilience</v>
      </c>
      <c r="J94" s="441" t="str">
        <f>IF($A94="","",
 _xlfn.LET(
   _xlpm.link,TRIM(INDEX($BL$2:$BL$87,MATCH(ROWS($A$29:A94),$BW$2:$BW$87,0))),
   IF(OR(_xlpm.link="",UPPER(_xlpm.link)="N/A"),"N/A",
      IF(OR(LEFT(_xlpm.link,7)="http://",LEFT(_xlpm.link,8)="https://"),
         HYPERLINK(_xlpm.link,_xlpm.link),
         _xlpm.link
      )
   )
 ))</f>
        <v>N/A - report provided by ACDI/VOCA</v>
      </c>
      <c r="K94" s="490"/>
      <c r="L94" s="490"/>
      <c r="M94" s="490"/>
      <c r="N94" s="490"/>
    </row>
    <row r="95" spans="1:75" ht="24" customHeight="1" x14ac:dyDescent="0.25">
      <c r="A95" s="438" t="str">
        <f>IFERROR(INDEX($AZ$2:$AZ$87,MATCH(ROWS($A$29:A95),$BW$2:$BW$87,0)),"")</f>
        <v>Alliances Caucasus Programme</v>
      </c>
      <c r="B95" s="439">
        <f>IF($A95="","",IFERROR(INDEX($BX$2:$BX$87,MATCH(ROWS($A$29:A95),$BW$2:$BW$87,0)),""))</f>
        <v>0</v>
      </c>
      <c r="C95" s="440" t="str">
        <f>IF($A95="","",INDEX($BB$2:$BB$87,MATCH(ROWS($A$29:A95),$BW$2:$BW$87,0)))</f>
        <v>SDC; ADC</v>
      </c>
      <c r="D95" s="441" t="str">
        <f>IF($A95="","",INDEX($BD$2:$BD$87,MATCH(ROWS($A$29:A95),$BW$2:$BW$87,0)))</f>
        <v>Agriculture</v>
      </c>
      <c r="E95" s="441" t="str">
        <f>IF($A95="","",INDEX($BF$2:$BF$87,MATCH(ROWS($A$29:A95),$BW$2:$BW$87,0)))</f>
        <v>9+ years</v>
      </c>
      <c r="F95" s="441" t="str">
        <f>IF($A95="","",INDEX($BH$2:$BH$87,MATCH(ROWS($A$29:A95),$BW$2:$BW$87,0)))</f>
        <v>Macroeconomically Constrained Only</v>
      </c>
      <c r="G95" s="440" t="str">
        <f>IF($A95="","",INDEX($BI$2:$BI$87,MATCH(ROWS($A$29:A95),$BW$2:$BW$87,0)))</f>
        <v>Upper-Middle Income</v>
      </c>
      <c r="H95" s="440" t="str">
        <f>IF($A95="","",INDEX($BJ$2:$BJ$87,MATCH(ROWS($A$29:A95),$BW$2:$BW$87,0)))</f>
        <v>Stable</v>
      </c>
      <c r="I95" s="441" t="str">
        <f>IF($A95="","",INDEX($BK$2:$BK$87,MATCH(ROWS($A$29:A95),$BW$2:$BW$87,0)))</f>
        <v>income improvement; job creation</v>
      </c>
      <c r="J95" s="441" t="str">
        <f>IF($A95="","",
 _xlfn.LET(
   _xlpm.link,TRIM(INDEX($BL$2:$BL$87,MATCH(ROWS($A$29:A95),$BW$2:$BW$87,0))),
   IF(OR(_xlpm.link="",UPPER(_xlpm.link)="N/A"),"N/A",
      IF(OR(LEFT(_xlpm.link,7)="http://",LEFT(_xlpm.link,8)="https://"),
         HYPERLINK(_xlpm.link,_xlpm.link),
         _xlpm.link
      )
   )
 ))</f>
        <v>https://beamexchange.org/implement/programme-index/alcp-alliances-caucasus-programme/</v>
      </c>
      <c r="K95" s="490"/>
      <c r="L95" s="490"/>
      <c r="M95" s="490"/>
      <c r="N95" s="490"/>
    </row>
    <row r="96" spans="1:75" ht="24" customHeight="1" x14ac:dyDescent="0.25">
      <c r="A96" s="438" t="str">
        <f>IFERROR(INDEX($AZ$2:$AZ$87,MATCH(ROWS($A$29:A96),$BW$2:$BW$87,0)),"")</f>
        <v>Agricultural Value Chains Activity in Bangledesh</v>
      </c>
      <c r="B96" s="439">
        <f>IF($A96="","",IFERROR(INDEX($BX$2:$BX$87,MATCH(ROWS($A$29:A96),$BW$2:$BW$87,0)),""))</f>
        <v>0</v>
      </c>
      <c r="C96" s="440" t="str">
        <f>IF($A96="","",INDEX($BB$2:$BB$87,MATCH(ROWS($A$29:A96),$BW$2:$BW$87,0)))</f>
        <v>USAID</v>
      </c>
      <c r="D96" s="441" t="str">
        <f>IF($A96="","",INDEX($BD$2:$BD$87,MATCH(ROWS($A$29:A96),$BW$2:$BW$87,0)))</f>
        <v>Agriculture</v>
      </c>
      <c r="E96" s="441" t="str">
        <f>IF($A96="","",INDEX($BF$2:$BF$87,MATCH(ROWS($A$29:A96),$BW$2:$BW$87,0)))</f>
        <v>5-8 years</v>
      </c>
      <c r="F96" s="441" t="str">
        <f>IF($A96="","",INDEX($BH$2:$BH$87,MATCH(ROWS($A$29:A96),$BW$2:$BW$87,0)))</f>
        <v>Politically Constrained Only</v>
      </c>
      <c r="G96" s="440" t="str">
        <f>IF($A96="","",INDEX($BI$2:$BI$87,MATCH(ROWS($A$29:A96),$BW$2:$BW$87,0)))</f>
        <v>Lower-Middle Income</v>
      </c>
      <c r="H96" s="440" t="str">
        <f>IF($A96="","",INDEX($BJ$2:$BJ$87,MATCH(ROWS($A$29:A96),$BW$2:$BW$87,0)))</f>
        <v>Stable</v>
      </c>
      <c r="I96" s="441" t="str">
        <f>IF($A96="","",INDEX($BK$2:$BK$87,MATCH(ROWS($A$29:A96),$BW$2:$BW$87,0)))</f>
        <v>job creation; income improvement</v>
      </c>
      <c r="J96" s="441" t="str">
        <f>IF($A96="","",
 _xlfn.LET(
   _xlpm.link,TRIM(INDEX($BL$2:$BL$87,MATCH(ROWS($A$29:A96),$BW$2:$BW$87,0))),
   IF(OR(_xlpm.link="",UPPER(_xlpm.link)="N/A"),"N/A",
      IF(OR(LEFT(_xlpm.link,7)="http://",LEFT(_xlpm.link,8)="https://"),
         HYPERLINK(_xlpm.link,_xlpm.link),
         _xlpm.link
      )
   )
 ))</f>
        <v>https://beamexchange.org/implement/programme-index/avc-agricultural-value-chains-activity/</v>
      </c>
      <c r="K96" s="490"/>
      <c r="L96" s="490"/>
      <c r="M96" s="490"/>
      <c r="N96" s="490"/>
    </row>
    <row r="97" spans="1:14" ht="36" customHeight="1" x14ac:dyDescent="0.25">
      <c r="A97" s="438" t="str">
        <f>IFERROR(INDEX($AZ$2:$AZ$87,MATCH(ROWS($A$29:A97),$BW$2:$BW$87,0)),"")</f>
        <v>USAID Feed the Future Ghana Market Systems and Resilience</v>
      </c>
      <c r="B97" s="439">
        <f>IF($A97="","",IFERROR(INDEX($BX$2:$BX$87,MATCH(ROWS($A$29:A97),$BW$2:$BW$87,0)),""))</f>
        <v>0</v>
      </c>
      <c r="C97" s="440" t="str">
        <f>IF($A97="","",INDEX($BB$2:$BB$87,MATCH(ROWS($A$29:A97),$BW$2:$BW$87,0)))</f>
        <v>USAID</v>
      </c>
      <c r="D97" s="441" t="str">
        <f>IF($A97="","",INDEX($BD$2:$BD$87,MATCH(ROWS($A$29:A97),$BW$2:$BW$87,0)))</f>
        <v>Agriculture</v>
      </c>
      <c r="E97" s="441" t="str">
        <f>IF($A97="","",INDEX($BF$2:$BF$87,MATCH(ROWS($A$29:A97),$BW$2:$BW$87,0)))</f>
        <v>1-4 years</v>
      </c>
      <c r="F97" s="441" t="str">
        <f>IF($A97="","",INDEX($BH$2:$BH$87,MATCH(ROWS($A$29:A97),$BW$2:$BW$87,0)))</f>
        <v>Macroeconomically Constrained Only</v>
      </c>
      <c r="G97" s="440" t="str">
        <f>IF($A97="","",INDEX($BI$2:$BI$87,MATCH(ROWS($A$29:A97),$BW$2:$BW$87,0)))</f>
        <v>Lower-Middle Income</v>
      </c>
      <c r="H97" s="440" t="str">
        <f>IF($A97="","",INDEX($BJ$2:$BJ$87,MATCH(ROWS($A$29:A97),$BW$2:$BW$87,0)))</f>
        <v>Stable</v>
      </c>
      <c r="I97" s="441" t="str">
        <f>IF($A97="","",INDEX($BK$2:$BK$87,MATCH(ROWS($A$29:A97),$BW$2:$BW$87,0)))</f>
        <v>income improvement;  food security &amp; resilience</v>
      </c>
      <c r="J97" s="441" t="str">
        <f>IF($A97="","",
 _xlfn.LET(
   _xlpm.link,TRIM(INDEX($BL$2:$BL$87,MATCH(ROWS($A$29:A97),$BW$2:$BW$87,0))),
   IF(OR(_xlpm.link="",UPPER(_xlpm.link)="N/A"),"N/A",
      IF(OR(LEFT(_xlpm.link,7)="http://",LEFT(_xlpm.link,8)="https://"),
         HYPERLINK(_xlpm.link,_xlpm.link),
         _xlpm.link
      )
   )
 ))</f>
        <v>N/A - report provided by ACDI/VOCA</v>
      </c>
      <c r="K97" s="490"/>
      <c r="L97" s="490"/>
      <c r="M97" s="490"/>
      <c r="N97" s="490"/>
    </row>
    <row r="98" spans="1:14" ht="24" customHeight="1" x14ac:dyDescent="0.25">
      <c r="A98" s="438" t="str">
        <f>IFERROR(INDEX($AZ$2:$AZ$87,MATCH(ROWS($A$29:A98),$BW$2:$BW$87,0)),"")</f>
        <v>FTF Resilience in Pastoral Areas Activity</v>
      </c>
      <c r="B98" s="439">
        <f>IF($A98="","",IFERROR(INDEX($BX$2:$BX$87,MATCH(ROWS($A$29:A98),$BW$2:$BW$87,0)),""))</f>
        <v>0</v>
      </c>
      <c r="C98" s="440" t="str">
        <f>IF($A98="","",INDEX($BB$2:$BB$87,MATCH(ROWS($A$29:A98),$BW$2:$BW$87,0)))</f>
        <v>USAID</v>
      </c>
      <c r="D98" s="441" t="str">
        <f>IF($A98="","",INDEX($BD$2:$BD$87,MATCH(ROWS($A$29:A98),$BW$2:$BW$87,0)))</f>
        <v>Agriculture</v>
      </c>
      <c r="E98" s="441" t="str">
        <f>IF($A98="","",INDEX($BF$2:$BF$87,MATCH(ROWS($A$29:A98),$BW$2:$BW$87,0)))</f>
        <v>5-8 years</v>
      </c>
      <c r="F98" s="441" t="str">
        <f>IF($A98="","",INDEX($BH$2:$BH$87,MATCH(ROWS($A$29:A98),$BW$2:$BW$87,0)))</f>
        <v>Politically and Macroeconomically Constrained</v>
      </c>
      <c r="G98" s="440" t="str">
        <f>IF($A98="","",INDEX($BI$2:$BI$87,MATCH(ROWS($A$29:A98),$BW$2:$BW$87,0)))</f>
        <v>Low-Income</v>
      </c>
      <c r="H98" s="440" t="str">
        <f>IF($A98="","",INDEX($BJ$2:$BJ$87,MATCH(ROWS($A$29:A98),$BW$2:$BW$87,0)))</f>
        <v>FCAS</v>
      </c>
      <c r="I98" s="441" t="str">
        <f>IF($A98="","",INDEX($BK$2:$BK$87,MATCH(ROWS($A$29:A98),$BW$2:$BW$87,0)))</f>
        <v>job creation, food security &amp; resilience</v>
      </c>
      <c r="J98" s="441" t="str">
        <f>IF($A98="","",
 _xlfn.LET(
   _xlpm.link,TRIM(INDEX($BL$2:$BL$87,MATCH(ROWS($A$29:A98),$BW$2:$BW$87,0))),
   IF(OR(_xlpm.link="",UPPER(_xlpm.link)="N/A"),"N/A",
      IF(OR(LEFT(_xlpm.link,7)="http://",LEFT(_xlpm.link,8)="https://"),
         HYPERLINK(_xlpm.link,_xlpm.link),
         _xlpm.link
      )
   )
 ))</f>
        <v>N/A - report provided by former USAID</v>
      </c>
      <c r="K98" s="490"/>
      <c r="L98" s="490"/>
      <c r="M98" s="490"/>
      <c r="N98" s="490"/>
    </row>
    <row r="99" spans="1:14" ht="24" customHeight="1" x14ac:dyDescent="0.25">
      <c r="A99" s="438" t="str">
        <f>IFERROR(INDEX($AZ$2:$AZ$87,MATCH(ROWS($A$29:A99),$BW$2:$BW$87,0)),"")</f>
        <v>FTF Nigeria Rural Resilience Activity</v>
      </c>
      <c r="B99" s="439">
        <f>IF($A99="","",IFERROR(INDEX($BX$2:$BX$87,MATCH(ROWS($A$29:A99),$BW$2:$BW$87,0)),""))</f>
        <v>0</v>
      </c>
      <c r="C99" s="440" t="str">
        <f>IF($A99="","",INDEX($BB$2:$BB$87,MATCH(ROWS($A$29:A99),$BW$2:$BW$87,0)))</f>
        <v>USAID</v>
      </c>
      <c r="D99" s="441" t="str">
        <f>IF($A99="","",INDEX($BD$2:$BD$87,MATCH(ROWS($A$29:A99),$BW$2:$BW$87,0)))</f>
        <v>Agriculture</v>
      </c>
      <c r="E99" s="441" t="str">
        <f>IF($A99="","",INDEX($BF$2:$BF$87,MATCH(ROWS($A$29:A99),$BW$2:$BW$87,0)))</f>
        <v>5-8 years</v>
      </c>
      <c r="F99" s="441" t="str">
        <f>IF($A99="","",INDEX($BH$2:$BH$87,MATCH(ROWS($A$29:A99),$BW$2:$BW$87,0)))</f>
        <v>Politically and Macroeconomically Constrained</v>
      </c>
      <c r="G99" s="440" t="str">
        <f>IF($A99="","",INDEX($BI$2:$BI$87,MATCH(ROWS($A$29:A99),$BW$2:$BW$87,0)))</f>
        <v>Lower-Middle Income</v>
      </c>
      <c r="H99" s="440" t="str">
        <f>IF($A99="","",INDEX($BJ$2:$BJ$87,MATCH(ROWS($A$29:A99),$BW$2:$BW$87,0)))</f>
        <v>FCAS</v>
      </c>
      <c r="I99" s="441" t="str">
        <f>IF($A99="","",INDEX($BK$2:$BK$87,MATCH(ROWS($A$29:A99),$BW$2:$BW$87,0)))</f>
        <v>income improvement; food security &amp; resilience</v>
      </c>
      <c r="J99" s="441" t="str">
        <f>IF($A99="","",
 _xlfn.LET(
   _xlpm.link,TRIM(INDEX($BL$2:$BL$87,MATCH(ROWS($A$29:A99),$BW$2:$BW$87,0))),
   IF(OR(_xlpm.link="",UPPER(_xlpm.link)="N/A"),"N/A",
      IF(OR(LEFT(_xlpm.link,7)="http://",LEFT(_xlpm.link,8)="https://"),
         HYPERLINK(_xlpm.link,_xlpm.link),
         _xlpm.link
      )
   )
 ))</f>
        <v>N/A - report provided by former USAID</v>
      </c>
      <c r="K99" s="490"/>
      <c r="L99" s="490"/>
      <c r="M99" s="490"/>
      <c r="N99" s="490"/>
    </row>
    <row r="100" spans="1:14" ht="24" customHeight="1" x14ac:dyDescent="0.25">
      <c r="A100" s="438" t="str">
        <f>IFERROR(INDEX($AZ$2:$AZ$87,MATCH(ROWS($A$29:A100),$BW$2:$BW$87,0)),"")</f>
        <v>Cotton and Textiles Development Programme</v>
      </c>
      <c r="B100" s="439">
        <f>IF($A100="","",IFERROR(INDEX($BX$2:$BX$87,MATCH(ROWS($A$29:A100),$BW$2:$BW$87,0)),""))</f>
        <v>0</v>
      </c>
      <c r="C100" s="440" t="str">
        <f>IF($A100="","",INDEX($BB$2:$BB$87,MATCH(ROWS($A$29:A100),$BW$2:$BW$87,0)))</f>
        <v>Gatsby; FCDO</v>
      </c>
      <c r="D100" s="441" t="str">
        <f>IF($A100="","",INDEX($BD$2:$BD$87,MATCH(ROWS($A$29:A100),$BW$2:$BW$87,0)))</f>
        <v>Agriculture</v>
      </c>
      <c r="E100" s="441" t="str">
        <f>IF($A100="","",INDEX($BF$2:$BF$87,MATCH(ROWS($A$29:A100),$BW$2:$BW$87,0)))</f>
        <v>9+ years</v>
      </c>
      <c r="F100" s="441" t="str">
        <f>IF($A100="","",INDEX($BH$2:$BH$87,MATCH(ROWS($A$29:A100),$BW$2:$BW$87,0)))</f>
        <v>Macroeconomically Constrained Only</v>
      </c>
      <c r="G100" s="440" t="str">
        <f>IF($A100="","",INDEX($BI$2:$BI$87,MATCH(ROWS($A$29:A100),$BW$2:$BW$87,0)))</f>
        <v>Lower-Middle Income</v>
      </c>
      <c r="H100" s="440" t="str">
        <f>IF($A100="","",INDEX($BJ$2:$BJ$87,MATCH(ROWS($A$29:A100),$BW$2:$BW$87,0)))</f>
        <v>Stable</v>
      </c>
      <c r="I100" s="441" t="str">
        <f>IF($A100="","",INDEX($BK$2:$BK$87,MATCH(ROWS($A$29:A100),$BW$2:$BW$87,0)))</f>
        <v>job creation; income improvement</v>
      </c>
      <c r="J100" s="441" t="str">
        <f>IF($A100="","",
 _xlfn.LET(
   _xlpm.link,TRIM(INDEX($BL$2:$BL$87,MATCH(ROWS($A$29:A100),$BW$2:$BW$87,0))),
   IF(OR(_xlpm.link="",UPPER(_xlpm.link)="N/A"),"N/A",
      IF(OR(LEFT(_xlpm.link,7)="http://",LEFT(_xlpm.link,8)="https://"),
         HYPERLINK(_xlpm.link,_xlpm.link),
         _xlpm.link
      )
   )
 ))</f>
        <v>https://beamexchange.org/implement/programme-index/ctdp-cotton-and-textiles-development-programme/</v>
      </c>
      <c r="K100" s="490"/>
      <c r="L100" s="490"/>
      <c r="M100" s="490"/>
      <c r="N100" s="490"/>
    </row>
    <row r="101" spans="1:14" ht="28.9" customHeight="1" x14ac:dyDescent="0.25">
      <c r="A101" s="438" t="str">
        <f>IFERROR(INDEX($AZ$2:$AZ$87,MATCH(ROWS($A$29:A101),$BW$2:$BW$87,0)),"")</f>
        <v>Transforming Market Systems activity</v>
      </c>
      <c r="B101" s="439">
        <f>IF($A101="","",IFERROR(INDEX($BX$2:$BX$87,MATCH(ROWS($A$29:A101),$BW$2:$BW$87,0)),""))</f>
        <v>0</v>
      </c>
      <c r="C101" s="440" t="str">
        <f>IF($A101="","",INDEX($BB$2:$BB$87,MATCH(ROWS($A$29:A101),$BW$2:$BW$87,0)))</f>
        <v>USAID</v>
      </c>
      <c r="D101" s="441" t="str">
        <f>IF($A101="","",INDEX($BD$2:$BD$87,MATCH(ROWS($A$29:A101),$BW$2:$BW$87,0)))</f>
        <v>Mixed</v>
      </c>
      <c r="E101" s="441" t="str">
        <f>IF($A101="","",INDEX($BF$2:$BF$87,MATCH(ROWS($A$29:A101),$BW$2:$BW$87,0)))</f>
        <v>5-8 years</v>
      </c>
      <c r="F101" s="441" t="str">
        <f>IF($A101="","",INDEX($BH$2:$BH$87,MATCH(ROWS($A$29:A101),$BW$2:$BW$87,0)))</f>
        <v>Macroeconomically Constrained Only</v>
      </c>
      <c r="G101" s="440" t="str">
        <f>IF($A101="","",INDEX($BI$2:$BI$87,MATCH(ROWS($A$29:A101),$BW$2:$BW$87,0)))</f>
        <v>Lower-Middle Income</v>
      </c>
      <c r="H101" s="440" t="str">
        <f>IF($A101="","",INDEX($BJ$2:$BJ$87,MATCH(ROWS($A$29:A101),$BW$2:$BW$87,0)))</f>
        <v>Stable</v>
      </c>
      <c r="I101" s="441" t="str">
        <f>IF($A101="","",INDEX($BK$2:$BK$87,MATCH(ROWS($A$29:A101),$BW$2:$BW$87,0)))</f>
        <v>job creation, income improvement; food security &amp; resilience</v>
      </c>
      <c r="J101" s="441" t="str">
        <f>IF($A101="","",
 _xlfn.LET(
   _xlpm.link,TRIM(INDEX($BL$2:$BL$87,MATCH(ROWS($A$29:A101),$BW$2:$BW$87,0))),
   IF(OR(_xlpm.link="",UPPER(_xlpm.link)="N/A"),"N/A",
      IF(OR(LEFT(_xlpm.link,7)="http://",LEFT(_xlpm.link,8)="https://"),
         HYPERLINK(_xlpm.link,_xlpm.link),
         _xlpm.link
      )
   )
 ))</f>
        <v>https://beamexchange.org/implement/programme-index/tms-transforming-market-systems-activity/</v>
      </c>
      <c r="K101" s="490"/>
      <c r="L101" s="490"/>
      <c r="M101" s="490"/>
      <c r="N101" s="490"/>
    </row>
    <row r="102" spans="1:14" ht="28.9" customHeight="1" x14ac:dyDescent="0.25">
      <c r="A102" s="438" t="str">
        <f>IFERROR(INDEX($AZ$2:$AZ$87,MATCH(ROWS($A$29:A102),$BW$2:$BW$87,0)),"")</f>
        <v>Business Innovation Facility - Phase 2</v>
      </c>
      <c r="B102" s="439">
        <f>IF($A102="","",IFERROR(INDEX($BX$2:$BX$87,MATCH(ROWS($A$29:A102),$BW$2:$BW$87,0)),""))</f>
        <v>0</v>
      </c>
      <c r="C102" s="440" t="str">
        <f>IF($A102="","",INDEX($BB$2:$BB$87,MATCH(ROWS($A$29:A102),$BW$2:$BW$87,0)))</f>
        <v>FCDO</v>
      </c>
      <c r="D102" s="441" t="str">
        <f>IF($A102="","",INDEX($BD$2:$BD$87,MATCH(ROWS($A$29:A102),$BW$2:$BW$87,0)))</f>
        <v>Agriculture</v>
      </c>
      <c r="E102" s="441" t="str">
        <f>IF($A102="","",INDEX($BF$2:$BF$87,MATCH(ROWS($A$29:A102),$BW$2:$BW$87,0)))</f>
        <v>5-8 years</v>
      </c>
      <c r="F102" s="441" t="str">
        <f>IF($A102="","",INDEX($BH$2:$BH$87,MATCH(ROWS($A$29:A102),$BW$2:$BW$87,0)))</f>
        <v>Politically Constrained Only</v>
      </c>
      <c r="G102" s="440" t="str">
        <f>IF($A102="","",INDEX($BI$2:$BI$87,MATCH(ROWS($A$29:A102),$BW$2:$BW$87,0)))</f>
        <v>Mixed</v>
      </c>
      <c r="H102" s="440" t="str">
        <f>IF($A102="","",INDEX($BJ$2:$BJ$87,MATCH(ROWS($A$29:A102),$BW$2:$BW$87,0)))</f>
        <v>Stable</v>
      </c>
      <c r="I102" s="441" t="str">
        <f>IF($A102="","",INDEX($BK$2:$BK$87,MATCH(ROWS($A$29:A102),$BW$2:$BW$87,0)))</f>
        <v>job creation; income improvement; food security &amp; resilience</v>
      </c>
      <c r="J102" s="441" t="str">
        <f>IF($A102="","",
 _xlfn.LET(
   _xlpm.link,TRIM(INDEX($BL$2:$BL$87,MATCH(ROWS($A$29:A102),$BW$2:$BW$87,0))),
   IF(OR(_xlpm.link="",UPPER(_xlpm.link)="N/A"),"N/A",
      IF(OR(LEFT(_xlpm.link,7)="http://",LEFT(_xlpm.link,8)="https://"),
         HYPERLINK(_xlpm.link,_xlpm.link),
         _xlpm.link
      )
   )
 ))</f>
        <v>https://beamexchange.org/implement/programme-index/bif-2-business-innovation-facility-phase-2/</v>
      </c>
      <c r="K102" s="490"/>
      <c r="L102" s="490"/>
      <c r="M102" s="490"/>
      <c r="N102" s="490"/>
    </row>
    <row r="103" spans="1:14" ht="24" customHeight="1" x14ac:dyDescent="0.25">
      <c r="A103" s="438" t="str">
        <f>IFERROR(INDEX($AZ$2:$AZ$87,MATCH(ROWS($A$29:A103),$BW$2:$BW$87,0)),"")</f>
        <v>Feed the Future Kenya - USAID Kuza</v>
      </c>
      <c r="B103" s="438">
        <f>IF($A103="","",IFERROR(INDEX($BX$2:$BX$87,MATCH(ROWS($A$29:A103),$BW$2:$BW$87,0)),""))</f>
        <v>0</v>
      </c>
      <c r="C103" s="438" t="str">
        <f>IF($A103="","",INDEX($BB$2:$BB$87,MATCH(ROWS($A$29:A103),$BW$2:$BW$87,0)))</f>
        <v>USAID</v>
      </c>
      <c r="D103" s="438" t="str">
        <f>IF($A103="","",INDEX($BD$2:$BD$87,MATCH(ROWS($A$29:A103),$BW$2:$BW$87,0)))</f>
        <v>Agriculture</v>
      </c>
      <c r="E103" s="438" t="str">
        <f>IF($A103="","",INDEX($BF$2:$BF$87,MATCH(ROWS($A$29:A103),$BW$2:$BW$87,0)))</f>
        <v>5-8 years</v>
      </c>
      <c r="F103" s="438" t="str">
        <f>IF($A103="","",INDEX($BH$2:$BH$87,MATCH(ROWS($A$29:A103),$BW$2:$BW$87,0)))</f>
        <v>Politically Constrained Only</v>
      </c>
      <c r="G103" s="438" t="str">
        <f>IF($A103="","",INDEX($BI$2:$BI$87,MATCH(ROWS($A$29:A103),$BW$2:$BW$87,0)))</f>
        <v>Lower-Middle Income</v>
      </c>
      <c r="H103" s="438" t="str">
        <f>IF($A103="","",INDEX($BJ$2:$BJ$87,MATCH(ROWS($A$29:A103),$BW$2:$BW$87,0)))</f>
        <v>FCAS</v>
      </c>
      <c r="I103" s="438" t="str">
        <f>IF($A103="","",INDEX($BK$2:$BK$87,MATCH(ROWS($A$29:A103),$BW$2:$BW$87,0)))</f>
        <v>job creation; income improvement;  food security &amp; resilience</v>
      </c>
      <c r="J103" s="441" t="str">
        <f>IF($A103="","",
 _xlfn.LET(
   _xlpm.link,TRIM(INDEX($BL$2:$BL$87,MATCH(ROWS($A$29:A103),$BW$2:$BW$87,0))),
   IF(OR(_xlpm.link="",UPPER(_xlpm.link)="N/A"),"N/A",
      IF(OR(LEFT(_xlpm.link,7)="http://",LEFT(_xlpm.link,8)="https://"),
         HYPERLINK(_xlpm.link,_xlpm.link),
         _xlpm.link
      )
   )
 ))</f>
        <v>N/A - report provided by ACDI/VOCA</v>
      </c>
      <c r="K103" s="490"/>
      <c r="L103" s="490"/>
      <c r="M103" s="490"/>
      <c r="N103" s="490"/>
    </row>
    <row r="104" spans="1:14" ht="36" customHeight="1" x14ac:dyDescent="0.25">
      <c r="A104" s="438" t="str">
        <f>IFERROR(INDEX($AZ$2:$AZ$87,MATCH(ROWS($A$29:A104),$BW$2:$BW$87,0)),"")</f>
        <v>Growth and Employment in States - wholesale &amp; retail sector</v>
      </c>
      <c r="B104" s="438">
        <f>IF($A104="","",IFERROR(INDEX($BX$2:$BX$87,MATCH(ROWS($A$29:A104),$BW$2:$BW$87,0)),""))</f>
        <v>0</v>
      </c>
      <c r="C104" s="438" t="str">
        <f>IF($A104="","",INDEX($BB$2:$BB$87,MATCH(ROWS($A$29:A104),$BW$2:$BW$87,0)))</f>
        <v>FCDO</v>
      </c>
      <c r="D104" s="438" t="str">
        <f>IF($A104="","",INDEX($BD$2:$BD$87,MATCH(ROWS($A$29:A104),$BW$2:$BW$87,0)))</f>
        <v>Mixed</v>
      </c>
      <c r="E104" s="438" t="str">
        <f>IF($A104="","",INDEX($BF$2:$BF$87,MATCH(ROWS($A$29:A104),$BW$2:$BW$87,0)))</f>
        <v>5-8 years</v>
      </c>
      <c r="F104" s="438" t="str">
        <f>IF($A104="","",INDEX($BH$2:$BH$87,MATCH(ROWS($A$29:A104),$BW$2:$BW$87,0)))</f>
        <v>Politically and Macroeconomically Constrained</v>
      </c>
      <c r="G104" s="438" t="str">
        <f>IF($A104="","",INDEX($BI$2:$BI$87,MATCH(ROWS($A$29:A104),$BW$2:$BW$87,0)))</f>
        <v>Lower-Middle Income</v>
      </c>
      <c r="H104" s="438" t="str">
        <f>IF($A104="","",INDEX($BJ$2:$BJ$87,MATCH(ROWS($A$29:A104),$BW$2:$BW$87,0)))</f>
        <v>Stable</v>
      </c>
      <c r="I104" s="438" t="str">
        <f>IF($A104="","",INDEX($BK$2:$BK$87,MATCH(ROWS($A$29:A104),$BW$2:$BW$87,0)))</f>
        <v>job creation; income improvement; food security &amp; resilience</v>
      </c>
      <c r="J104" s="441" t="str">
        <f>IF($A104="","",
 _xlfn.LET(
   _xlpm.link,TRIM(INDEX($BL$2:$BL$87,MATCH(ROWS($A$29:A104),$BW$2:$BW$87,0))),
   IF(OR(_xlpm.link="",UPPER(_xlpm.link)="N/A"),"N/A",
      IF(OR(LEFT(_xlpm.link,7)="http://",LEFT(_xlpm.link,8)="https://"),
         HYPERLINK(_xlpm.link,_xlpm.link),
         _xlpm.link
      )
   )
 ))</f>
        <v>https://beamexchange.org/implement/programme-index/gems-4-growth-and-employment-in-states-wholesale-retail-sector/</v>
      </c>
      <c r="K104" s="490"/>
      <c r="L104" s="490"/>
      <c r="M104" s="490"/>
      <c r="N104" s="490"/>
    </row>
    <row r="105" spans="1:14" ht="24" customHeight="1" x14ac:dyDescent="0.25">
      <c r="A105" s="438" t="str">
        <f>IFERROR(INDEX($AZ$2:$AZ$87,MATCH(ROWS($A$29:A105),$BW$2:$BW$87,0)),"")</f>
        <v>Afghanistan Value Chains - High Value Crops</v>
      </c>
      <c r="B105" s="438">
        <f>IF($A105="","",IFERROR(INDEX($BX$2:$BX$87,MATCH(ROWS($A$29:A105),$BW$2:$BW$87,0)),""))</f>
        <v>0</v>
      </c>
      <c r="C105" s="438" t="str">
        <f>IF($A105="","",INDEX($BB$2:$BB$87,MATCH(ROWS($A$29:A105),$BW$2:$BW$87,0)))</f>
        <v>USAID</v>
      </c>
      <c r="D105" s="438" t="str">
        <f>IF($A105="","",INDEX($BD$2:$BD$87,MATCH(ROWS($A$29:A105),$BW$2:$BW$87,0)))</f>
        <v>Agriculture</v>
      </c>
      <c r="E105" s="438" t="str">
        <f>IF($A105="","",INDEX($BF$2:$BF$87,MATCH(ROWS($A$29:A105),$BW$2:$BW$87,0)))</f>
        <v>1-4 years</v>
      </c>
      <c r="F105" s="438" t="str">
        <f>IF($A105="","",INDEX($BH$2:$BH$87,MATCH(ROWS($A$29:A105),$BW$2:$BW$87,0)))</f>
        <v>Politically Constrained Only</v>
      </c>
      <c r="G105" s="438" t="str">
        <f>IF($A105="","",INDEX($BI$2:$BI$87,MATCH(ROWS($A$29:A105),$BW$2:$BW$87,0)))</f>
        <v>Low-Income</v>
      </c>
      <c r="H105" s="438" t="str">
        <f>IF($A105="","",INDEX($BJ$2:$BJ$87,MATCH(ROWS($A$29:A105),$BW$2:$BW$87,0)))</f>
        <v>FCAS</v>
      </c>
      <c r="I105" s="438" t="str">
        <f>IF($A105="","",INDEX($BK$2:$BK$87,MATCH(ROWS($A$29:A105),$BW$2:$BW$87,0)))</f>
        <v>job creation, food security &amp; resilience</v>
      </c>
      <c r="J105" s="441" t="str">
        <f>IF($A105="","",
 _xlfn.LET(
   _xlpm.link,TRIM(INDEX($BL$2:$BL$87,MATCH(ROWS($A$29:A105),$BW$2:$BW$87,0))),
   IF(OR(_xlpm.link="",UPPER(_xlpm.link)="N/A"),"N/A",
      IF(OR(LEFT(_xlpm.link,7)="http://",LEFT(_xlpm.link,8)="https://"),
         HYPERLINK(_xlpm.link,_xlpm.link),
         _xlpm.link
      )
   )
 ))</f>
        <v>https://beamexchange.org/implement/programme-index/avc-hvc-afghanistan-value-chains-high-value-crops/</v>
      </c>
      <c r="K105" s="490"/>
      <c r="L105" s="490"/>
      <c r="M105" s="490"/>
      <c r="N105" s="490"/>
    </row>
    <row r="106" spans="1:14" ht="24" customHeight="1" x14ac:dyDescent="0.25">
      <c r="A106" s="438" t="str">
        <f>IFERROR(INDEX($AZ$2:$AZ$87,MATCH(ROWS($A$29:A106),$BW$2:$BW$87,0)),"")</f>
        <v>Australia-Indonesia Partnership for Rural Economic Development</v>
      </c>
      <c r="B106" s="438">
        <f>IF($A106="","",IFERROR(INDEX($BX$2:$BX$87,MATCH(ROWS($A$29:A106),$BW$2:$BW$87,0)),""))</f>
        <v>0</v>
      </c>
      <c r="C106" s="438" t="str">
        <f>IF($A106="","",INDEX($BB$2:$BB$87,MATCH(ROWS($A$29:A106),$BW$2:$BW$87,0)))</f>
        <v>DFAT</v>
      </c>
      <c r="D106" s="438" t="str">
        <f>IF($A106="","",INDEX($BD$2:$BD$87,MATCH(ROWS($A$29:A106),$BW$2:$BW$87,0)))</f>
        <v>Agriculture</v>
      </c>
      <c r="E106" s="438" t="str">
        <f>IF($A106="","",INDEX($BF$2:$BF$87,MATCH(ROWS($A$29:A106),$BW$2:$BW$87,0)))</f>
        <v>5-8 years</v>
      </c>
      <c r="F106" s="438" t="str">
        <f>IF($A106="","",INDEX($BH$2:$BH$87,MATCH(ROWS($A$29:A106),$BW$2:$BW$87,0)))</f>
        <v>Macroeconomically Constrained Only</v>
      </c>
      <c r="G106" s="438" t="str">
        <f>IF($A106="","",INDEX($BI$2:$BI$87,MATCH(ROWS($A$29:A106),$BW$2:$BW$87,0)))</f>
        <v>Upper-Middle Income</v>
      </c>
      <c r="H106" s="438" t="str">
        <f>IF($A106="","",INDEX($BJ$2:$BJ$87,MATCH(ROWS($A$29:A106),$BW$2:$BW$87,0)))</f>
        <v>Stable</v>
      </c>
      <c r="I106" s="438" t="str">
        <f>IF($A106="","",INDEX($BK$2:$BK$87,MATCH(ROWS($A$29:A106),$BW$2:$BW$87,0)))</f>
        <v>job creation; income improvement</v>
      </c>
      <c r="J106" s="441" t="str">
        <f>IF($A106="","",
 _xlfn.LET(
   _xlpm.link,TRIM(INDEX($BL$2:$BL$87,MATCH(ROWS($A$29:A106),$BW$2:$BW$87,0))),
   IF(OR(_xlpm.link="",UPPER(_xlpm.link)="N/A"),"N/A",
      IF(OR(LEFT(_xlpm.link,7)="http://",LEFT(_xlpm.link,8)="https://"),
         HYPERLINK(_xlpm.link,_xlpm.link),
         _xlpm.link
      )
   )
 ))</f>
        <v>https://beamexchange.org/implement/programme-index/aip-rural-australia-indonesia-partnership-for-rural-economic-development/</v>
      </c>
      <c r="K106" s="490"/>
      <c r="L106" s="490"/>
      <c r="M106" s="490"/>
      <c r="N106" s="490"/>
    </row>
    <row r="107" spans="1:14" ht="36" customHeight="1" x14ac:dyDescent="0.25">
      <c r="A107" s="438" t="str">
        <f>IFERROR(INDEX($AZ$2:$AZ$87,MATCH(ROWS($A$29:A107),$BW$2:$BW$87,0)),"")</f>
        <v>Private Enterprise Programme Ethiopia</v>
      </c>
      <c r="B107" s="438">
        <f>IF($A107="","",IFERROR(INDEX($BX$2:$BX$87,MATCH(ROWS($A$29:A107),$BW$2:$BW$87,0)),""))</f>
        <v>0</v>
      </c>
      <c r="C107" s="438" t="str">
        <f>IF($A107="","",INDEX($BB$2:$BB$87,MATCH(ROWS($A$29:A107),$BW$2:$BW$87,0)))</f>
        <v>FCDO</v>
      </c>
      <c r="D107" s="438" t="str">
        <f>IF($A107="","",INDEX($BD$2:$BD$87,MATCH(ROWS($A$29:A107),$BW$2:$BW$87,0)))</f>
        <v>Non-Agriculture</v>
      </c>
      <c r="E107" s="438" t="str">
        <f>IF($A107="","",INDEX($BF$2:$BF$87,MATCH(ROWS($A$29:A107),$BW$2:$BW$87,0)))</f>
        <v>5-8 years</v>
      </c>
      <c r="F107" s="438" t="str">
        <f>IF($A107="","",INDEX($BH$2:$BH$87,MATCH(ROWS($A$29:A107),$BW$2:$BW$87,0)))</f>
        <v>Politically and Macroeconomically Constrained</v>
      </c>
      <c r="G107" s="438" t="str">
        <f>IF($A107="","",INDEX($BI$2:$BI$87,MATCH(ROWS($A$29:A107),$BW$2:$BW$87,0)))</f>
        <v>Low-Income</v>
      </c>
      <c r="H107" s="438" t="str">
        <f>IF($A107="","",INDEX($BJ$2:$BJ$87,MATCH(ROWS($A$29:A107),$BW$2:$BW$87,0)))</f>
        <v>Stable</v>
      </c>
      <c r="I107" s="438" t="str">
        <f>IF($A107="","",INDEX($BK$2:$BK$87,MATCH(ROWS($A$29:A107),$BW$2:$BW$87,0)))</f>
        <v>job creation; income improvement</v>
      </c>
      <c r="J107" s="441" t="str">
        <f>IF($A107="","",
 _xlfn.LET(
   _xlpm.link,TRIM(INDEX($BL$2:$BL$87,MATCH(ROWS($A$29:A107),$BW$2:$BW$87,0))),
   IF(OR(_xlpm.link="",UPPER(_xlpm.link)="N/A"),"N/A",
      IF(OR(LEFT(_xlpm.link,7)="http://",LEFT(_xlpm.link,8)="https://"),
         HYPERLINK(_xlpm.link,_xlpm.link),
         _xlpm.link
      )
   )
 ))</f>
        <v>https://beamexchange.org/implement/programme-index/enterprise-partners-part-of-private-enterprise-programme-ethiopia-pepe/</v>
      </c>
      <c r="K107" s="490"/>
      <c r="L107" s="490"/>
      <c r="M107" s="490"/>
      <c r="N107" s="490"/>
    </row>
    <row r="108" spans="1:14" ht="24" customHeight="1" x14ac:dyDescent="0.25">
      <c r="A108" s="438" t="str">
        <f>IFERROR(INDEX($AZ$2:$AZ$87,MATCH(ROWS($A$29:A108),$BW$2:$BW$87,0)),"")</f>
        <v>Making Agricultural Markets Work for Zambia</v>
      </c>
      <c r="B108" s="438">
        <f>IF($A108="","",IFERROR(INDEX($BX$2:$BX$87,MATCH(ROWS($A$29:A108),$BW$2:$BW$87,0)),""))</f>
        <v>0</v>
      </c>
      <c r="C108" s="438" t="str">
        <f>IF($A108="","",INDEX($BB$2:$BB$87,MATCH(ROWS($A$29:A108),$BW$2:$BW$87,0)))</f>
        <v>Sida; FCDO; IrishAid; NORAD</v>
      </c>
      <c r="D108" s="438" t="str">
        <f>IF($A108="","",INDEX($BD$2:$BD$87,MATCH(ROWS($A$29:A108),$BW$2:$BW$87,0)))</f>
        <v>Agriculture</v>
      </c>
      <c r="E108" s="438" t="str">
        <f>IF($A108="","",INDEX($BF$2:$BF$87,MATCH(ROWS($A$29:A108),$BW$2:$BW$87,0)))</f>
        <v>9+ years</v>
      </c>
      <c r="F108" s="438" t="str">
        <f>IF($A108="","",INDEX($BH$2:$BH$87,MATCH(ROWS($A$29:A108),$BW$2:$BW$87,0)))</f>
        <v>Macroeconomically Constrained Only</v>
      </c>
      <c r="G108" s="438" t="str">
        <f>IF($A108="","",INDEX($BI$2:$BI$87,MATCH(ROWS($A$29:A108),$BW$2:$BW$87,0)))</f>
        <v>Lower-Middle Income</v>
      </c>
      <c r="H108" s="438" t="str">
        <f>IF($A108="","",INDEX($BJ$2:$BJ$87,MATCH(ROWS($A$29:A108),$BW$2:$BW$87,0)))</f>
        <v>Stable</v>
      </c>
      <c r="I108" s="438" t="str">
        <f>IF($A108="","",INDEX($BK$2:$BK$87,MATCH(ROWS($A$29:A108),$BW$2:$BW$87,0)))</f>
        <v>job creation, income improvement; food security &amp; resilience</v>
      </c>
      <c r="J108" s="441" t="str">
        <f>IF($A108="","",
 _xlfn.LET(
   _xlpm.link,TRIM(INDEX($BL$2:$BL$87,MATCH(ROWS($A$29:A108),$BW$2:$BW$87,0))),
   IF(OR(_xlpm.link="",UPPER(_xlpm.link)="N/A"),"N/A",
      IF(OR(LEFT(_xlpm.link,7)="http://",LEFT(_xlpm.link,8)="https://"),
         HYPERLINK(_xlpm.link,_xlpm.link),
         _xlpm.link
      )
   )
 ))</f>
        <v>https://beamexchange.org/implement/programme-index/musika-making-agricultural-markets-work-for-zambia/</v>
      </c>
      <c r="K108" s="490"/>
      <c r="L108" s="490"/>
      <c r="M108" s="490"/>
      <c r="N108" s="490"/>
    </row>
    <row r="109" spans="1:14" ht="24" customHeight="1" x14ac:dyDescent="0.25">
      <c r="A109" s="438" t="str">
        <f>IFERROR(INDEX($AZ$2:$AZ$87,MATCH(ROWS($A$29:A109),$BW$2:$BW$87,0)),"")</f>
        <v>Pastoralist Areas Resilience Improvement through Market Expansion</v>
      </c>
      <c r="B109" s="438">
        <f>IF($A109="","",IFERROR(INDEX($BX$2:$BX$87,MATCH(ROWS($A$29:A109),$BW$2:$BW$87,0)),""))</f>
        <v>0</v>
      </c>
      <c r="C109" s="438" t="str">
        <f>IF($A109="","",INDEX($BB$2:$BB$87,MATCH(ROWS($A$29:A109),$BW$2:$BW$87,0)))</f>
        <v>USAID</v>
      </c>
      <c r="D109" s="438" t="str">
        <f>IF($A109="","",INDEX($BD$2:$BD$87,MATCH(ROWS($A$29:A109),$BW$2:$BW$87,0)))</f>
        <v>Agriculture</v>
      </c>
      <c r="E109" s="438" t="str">
        <f>IF($A109="","",INDEX($BF$2:$BF$87,MATCH(ROWS($A$29:A109),$BW$2:$BW$87,0)))</f>
        <v>5-8 years</v>
      </c>
      <c r="F109" s="438" t="str">
        <f>IF($A109="","",INDEX($BH$2:$BH$87,MATCH(ROWS($A$29:A109),$BW$2:$BW$87,0)))</f>
        <v>Politically and Macroeconomically Constrained</v>
      </c>
      <c r="G109" s="438" t="str">
        <f>IF($A109="","",INDEX($BI$2:$BI$87,MATCH(ROWS($A$29:A109),$BW$2:$BW$87,0)))</f>
        <v>Low-Income</v>
      </c>
      <c r="H109" s="438" t="str">
        <f>IF($A109="","",INDEX($BJ$2:$BJ$87,MATCH(ROWS($A$29:A109),$BW$2:$BW$87,0)))</f>
        <v>FCAS</v>
      </c>
      <c r="I109" s="438" t="str">
        <f>IF($A109="","",INDEX($BK$2:$BK$87,MATCH(ROWS($A$29:A109),$BW$2:$BW$87,0)))</f>
        <v>food security &amp; resilience; income improvement</v>
      </c>
      <c r="J109" s="441" t="str">
        <f>IF($A109="","",
 _xlfn.LET(
   _xlpm.link,TRIM(INDEX($BL$2:$BL$87,MATCH(ROWS($A$29:A109),$BW$2:$BW$87,0))),
   IF(OR(_xlpm.link="",UPPER(_xlpm.link)="N/A"),"N/A",
      IF(OR(LEFT(_xlpm.link,7)="http://",LEFT(_xlpm.link,8)="https://"),
         HYPERLINK(_xlpm.link,_xlpm.link),
         _xlpm.link
      )
   )
 ))</f>
        <v>https://beamexchange.org/implement/programme-index/prime-pastoralist-areas-resilience-improvement-through-market-expansion/</v>
      </c>
      <c r="K109" s="490"/>
      <c r="L109" s="490"/>
      <c r="M109" s="490"/>
      <c r="N109" s="490"/>
    </row>
    <row r="110" spans="1:14" ht="36" customHeight="1" x14ac:dyDescent="0.25">
      <c r="A110" s="438" t="str">
        <f>IFERROR(INDEX($AZ$2:$AZ$87,MATCH(ROWS($A$29:A110),$BW$2:$BW$87,0)),"")</f>
        <v>Market Development Facility (Phase 1-2)</v>
      </c>
      <c r="B110" s="438">
        <f>IF($A110="","",IFERROR(INDEX($BX$2:$BX$87,MATCH(ROWS($A$29:A110),$BW$2:$BW$87,0)),""))</f>
        <v>0</v>
      </c>
      <c r="C110" s="438" t="str">
        <f>IF($A110="","",INDEX($BB$2:$BB$87,MATCH(ROWS($A$29:A110),$BW$2:$BW$87,0)))</f>
        <v>DFAT</v>
      </c>
      <c r="D110" s="438" t="str">
        <f>IF($A110="","",INDEX($BD$2:$BD$87,MATCH(ROWS($A$29:A110),$BW$2:$BW$87,0)))</f>
        <v>Agriculture</v>
      </c>
      <c r="E110" s="438" t="str">
        <f>IF($A110="","",INDEX($BF$2:$BF$87,MATCH(ROWS($A$29:A110),$BW$2:$BW$87,0)))</f>
        <v>9+ years</v>
      </c>
      <c r="F110" s="438" t="str">
        <f>IF($A110="","",INDEX($BH$2:$BH$87,MATCH(ROWS($A$29:A110),$BW$2:$BW$87,0)))</f>
        <v>Macroeconomically Constrained Only</v>
      </c>
      <c r="G110" s="438" t="str">
        <f>IF($A110="","",INDEX($BI$2:$BI$87,MATCH(ROWS($A$29:A110),$BW$2:$BW$87,0)))</f>
        <v>Mixed</v>
      </c>
      <c r="H110" s="438" t="str">
        <f>IF($A110="","",INDEX($BJ$2:$BJ$87,MATCH(ROWS($A$29:A110),$BW$2:$BW$87,0)))</f>
        <v>Stable</v>
      </c>
      <c r="I110" s="438" t="str">
        <f>IF($A110="","",INDEX($BK$2:$BK$87,MATCH(ROWS($A$29:A110),$BW$2:$BW$87,0)))</f>
        <v>job creation; income improvement</v>
      </c>
      <c r="J110" s="441" t="str">
        <f>IF($A110="","",
 _xlfn.LET(
   _xlpm.link,TRIM(INDEX($BL$2:$BL$87,MATCH(ROWS($A$29:A110),$BW$2:$BW$87,0))),
   IF(OR(_xlpm.link="",UPPER(_xlpm.link)="N/A"),"N/A",
      IF(OR(LEFT(_xlpm.link,7)="http://",LEFT(_xlpm.link,8)="https://"),
         HYPERLINK(_xlpm.link,_xlpm.link),
         _xlpm.link
      )
   )
 ))</f>
        <v>N/A - merged programme</v>
      </c>
      <c r="K110" s="490"/>
      <c r="L110" s="490"/>
      <c r="M110" s="490"/>
      <c r="N110" s="490"/>
    </row>
    <row r="111" spans="1:14" ht="24" customHeight="1" x14ac:dyDescent="0.25">
      <c r="A111" s="438" t="str">
        <f>IFERROR(INDEX($AZ$2:$AZ$87,MATCH(ROWS($A$29:A111),$BW$2:$BW$87,0)),"")</f>
        <v>ÉLAN RDC</v>
      </c>
      <c r="B111" s="438">
        <f>IF($A111="","",IFERROR(INDEX($BX$2:$BX$87,MATCH(ROWS($A$29:A111),$BW$2:$BW$87,0)),""))</f>
        <v>0</v>
      </c>
      <c r="C111" s="438" t="str">
        <f>IF($A111="","",INDEX($BB$2:$BB$87,MATCH(ROWS($A$29:A111),$BW$2:$BW$87,0)))</f>
        <v>FCDO</v>
      </c>
      <c r="D111" s="438" t="str">
        <f>IF($A111="","",INDEX($BD$2:$BD$87,MATCH(ROWS($A$29:A111),$BW$2:$BW$87,0)))</f>
        <v>Agriculture</v>
      </c>
      <c r="E111" s="438" t="str">
        <f>IF($A111="","",INDEX($BF$2:$BF$87,MATCH(ROWS($A$29:A111),$BW$2:$BW$87,0)))</f>
        <v>5-8 years</v>
      </c>
      <c r="F111" s="438" t="str">
        <f>IF($A111="","",INDEX($BH$2:$BH$87,MATCH(ROWS($A$29:A111),$BW$2:$BW$87,0)))</f>
        <v>Politically Constrained Only</v>
      </c>
      <c r="G111" s="438" t="str">
        <f>IF($A111="","",INDEX($BI$2:$BI$87,MATCH(ROWS($A$29:A111),$BW$2:$BW$87,0)))</f>
        <v>Low-Income</v>
      </c>
      <c r="H111" s="438" t="str">
        <f>IF($A111="","",INDEX($BJ$2:$BJ$87,MATCH(ROWS($A$29:A111),$BW$2:$BW$87,0)))</f>
        <v>FCAS</v>
      </c>
      <c r="I111" s="438" t="str">
        <f>IF($A111="","",INDEX($BK$2:$BK$87,MATCH(ROWS($A$29:A111),$BW$2:$BW$87,0)))</f>
        <v>job creation; income improvement</v>
      </c>
      <c r="J111" s="441" t="str">
        <f>IF($A111="","",
 _xlfn.LET(
   _xlpm.link,TRIM(INDEX($BL$2:$BL$87,MATCH(ROWS($A$29:A111),$BW$2:$BW$87,0))),
   IF(OR(_xlpm.link="",UPPER(_xlpm.link)="N/A"),"N/A",
      IF(OR(LEFT(_xlpm.link,7)="http://",LEFT(_xlpm.link,8)="https://"),
         HYPERLINK(_xlpm.link,_xlpm.link),
         _xlpm.link
      )
   )
 ))</f>
        <v>https://beamexchange.org/implement/programme-index/%C3%A9lan-rdc/</v>
      </c>
      <c r="K111" s="490"/>
      <c r="L111" s="490"/>
      <c r="M111" s="490"/>
      <c r="N111" s="490"/>
    </row>
    <row r="112" spans="1:14" ht="24" customHeight="1" x14ac:dyDescent="0.25">
      <c r="A112" s="438" t="str">
        <f>IFERROR(INDEX($AZ$2:$AZ$87,MATCH(ROWS($A$29:A112),$BW$2:$BW$87,0)),"")</f>
        <v>Katalyst (Phase 1-2)</v>
      </c>
      <c r="B112" s="438">
        <f>IF($A112="","",IFERROR(INDEX($BX$2:$BX$87,MATCH(ROWS($A$29:A112),$BW$2:$BW$87,0)),""))</f>
        <v>0</v>
      </c>
      <c r="C112" s="438" t="str">
        <f>IF($A112="","",INDEX($BB$2:$BB$87,MATCH(ROWS($A$29:A112),$BW$2:$BW$87,0)))</f>
        <v>FCDO; SDC; Sida; EKN</v>
      </c>
      <c r="D112" s="438" t="str">
        <f>IF($A112="","",INDEX($BD$2:$BD$87,MATCH(ROWS($A$29:A112),$BW$2:$BW$87,0)))</f>
        <v>Agriculture</v>
      </c>
      <c r="E112" s="438" t="str">
        <f>IF($A112="","",INDEX($BF$2:$BF$87,MATCH(ROWS($A$29:A112),$BW$2:$BW$87,0)))</f>
        <v>9+ years</v>
      </c>
      <c r="F112" s="438" t="str">
        <f>IF($A112="","",INDEX($BH$2:$BH$87,MATCH(ROWS($A$29:A112),$BW$2:$BW$87,0)))</f>
        <v>Politically Constrained Only</v>
      </c>
      <c r="G112" s="438" t="str">
        <f>IF($A112="","",INDEX($BI$2:$BI$87,MATCH(ROWS($A$29:A112),$BW$2:$BW$87,0)))</f>
        <v>Lower-Middle Income</v>
      </c>
      <c r="H112" s="438" t="str">
        <f>IF($A112="","",INDEX($BJ$2:$BJ$87,MATCH(ROWS($A$29:A112),$BW$2:$BW$87,0)))</f>
        <v>Stable</v>
      </c>
      <c r="I112" s="438" t="str">
        <f>IF($A112="","",INDEX($BK$2:$BK$87,MATCH(ROWS($A$29:A112),$BW$2:$BW$87,0)))</f>
        <v>job creation; income improvement</v>
      </c>
      <c r="J112" s="441" t="str">
        <f>IF($A112="","",
 _xlfn.LET(
   _xlpm.link,TRIM(INDEX($BL$2:$BL$87,MATCH(ROWS($A$29:A112),$BW$2:$BW$87,0))),
   IF(OR(_xlpm.link="",UPPER(_xlpm.link)="N/A"),"N/A",
      IF(OR(LEFT(_xlpm.link,7)="http://",LEFT(_xlpm.link,8)="https://"),
         HYPERLINK(_xlpm.link,_xlpm.link),
         _xlpm.link
      )
   )
 ))</f>
        <v>N/A - merged programme</v>
      </c>
      <c r="K112" s="490"/>
      <c r="L112" s="490"/>
      <c r="M112" s="490"/>
      <c r="N112" s="490"/>
    </row>
    <row r="113" spans="1:14" ht="36" x14ac:dyDescent="0.25">
      <c r="A113" s="438" t="str">
        <f>IFERROR(INDEX($AZ$2:$AZ$87,MATCH(ROWS($A$29:A113),$BW$2:$BW$87,0)),"")</f>
        <v>Propcom Mai-karfi</v>
      </c>
      <c r="B113" s="438">
        <f>IF($A113="","",IFERROR(INDEX($BX$2:$BX$87,MATCH(ROWS($A$29:A113),$BW$2:$BW$87,0)),""))</f>
        <v>0</v>
      </c>
      <c r="C113" s="438" t="str">
        <f>IF($A113="","",INDEX($BB$2:$BB$87,MATCH(ROWS($A$29:A113),$BW$2:$BW$87,0)))</f>
        <v>FCDO</v>
      </c>
      <c r="D113" s="438" t="str">
        <f>IF($A113="","",INDEX($BD$2:$BD$87,MATCH(ROWS($A$29:A113),$BW$2:$BW$87,0)))</f>
        <v>Agriculture</v>
      </c>
      <c r="E113" s="438" t="str">
        <f>IF($A113="","",INDEX($BF$2:$BF$87,MATCH(ROWS($A$29:A113),$BW$2:$BW$87,0)))</f>
        <v>9+ years</v>
      </c>
      <c r="F113" s="438" t="str">
        <f>IF($A113="","",INDEX($BH$2:$BH$87,MATCH(ROWS($A$29:A113),$BW$2:$BW$87,0)))</f>
        <v>Politically and Macroeconomically Constrained</v>
      </c>
      <c r="G113" s="438" t="str">
        <f>IF($A113="","",INDEX($BI$2:$BI$87,MATCH(ROWS($A$29:A113),$BW$2:$BW$87,0)))</f>
        <v>Lower-Middle Income</v>
      </c>
      <c r="H113" s="438" t="str">
        <f>IF($A113="","",INDEX($BJ$2:$BJ$87,MATCH(ROWS($A$29:A113),$BW$2:$BW$87,0)))</f>
        <v>FCAS</v>
      </c>
      <c r="I113" s="438" t="str">
        <f>IF($A113="","",INDEX($BK$2:$BK$87,MATCH(ROWS($A$29:A113),$BW$2:$BW$87,0)))</f>
        <v>job creation; income improvement</v>
      </c>
      <c r="J113" s="441" t="str">
        <f>IF($A113="","",
 _xlfn.LET(
   _xlpm.link,TRIM(INDEX($BL$2:$BL$87,MATCH(ROWS($A$29:A113),$BW$2:$BW$87,0))),
   IF(OR(_xlpm.link="",UPPER(_xlpm.link)="N/A"),"N/A",
      IF(OR(LEFT(_xlpm.link,7)="http://",LEFT(_xlpm.link,8)="https://"),
         HYPERLINK(_xlpm.link,_xlpm.link),
         _xlpm.link
      )
   )
 ))</f>
        <v>https://beamexchange.org/implement/programme-index/propcom-mai-karfi/</v>
      </c>
      <c r="K113" s="490"/>
      <c r="L113" s="490"/>
      <c r="M113" s="490"/>
      <c r="N113" s="490"/>
    </row>
    <row r="114" spans="1:14" ht="36" customHeight="1" x14ac:dyDescent="0.25">
      <c r="A114" s="438" t="str">
        <f>IFERROR(INDEX($AZ$2:$AZ$87,MATCH(ROWS($A$29:A114),$BW$2:$BW$87,0)),"")</f>
        <v>Promoting Rural Incomes through Support for Markets in Agriculture (Continuation of AIP-Rural)</v>
      </c>
      <c r="B114" s="438">
        <f>IF($A114="","",IFERROR(INDEX($BX$2:$BX$87,MATCH(ROWS($A$29:A114),$BW$2:$BW$87,0)),""))</f>
        <v>0</v>
      </c>
      <c r="C114" s="438" t="str">
        <f>IF($A114="","",INDEX($BB$2:$BB$87,MATCH(ROWS($A$29:A114),$BW$2:$BW$87,0)))</f>
        <v>DFAT</v>
      </c>
      <c r="D114" s="438" t="str">
        <f>IF($A114="","",INDEX($BD$2:$BD$87,MATCH(ROWS($A$29:A114),$BW$2:$BW$87,0)))</f>
        <v>Agriculture</v>
      </c>
      <c r="E114" s="438" t="str">
        <f>IF($A114="","",INDEX($BF$2:$BF$87,MATCH(ROWS($A$29:A114),$BW$2:$BW$87,0)))</f>
        <v>1-4 years</v>
      </c>
      <c r="F114" s="438" t="str">
        <f>IF($A114="","",INDEX($BH$2:$BH$87,MATCH(ROWS($A$29:A114),$BW$2:$BW$87,0)))</f>
        <v>Macroeconomically Constrained Only</v>
      </c>
      <c r="G114" s="438" t="str">
        <f>IF($A114="","",INDEX($BI$2:$BI$87,MATCH(ROWS($A$29:A114),$BW$2:$BW$87,0)))</f>
        <v>Upper-Middle Income</v>
      </c>
      <c r="H114" s="438" t="str">
        <f>IF($A114="","",INDEX($BJ$2:$BJ$87,MATCH(ROWS($A$29:A114),$BW$2:$BW$87,0)))</f>
        <v>Stable</v>
      </c>
      <c r="I114" s="438" t="str">
        <f>IF($A114="","",INDEX($BK$2:$BK$87,MATCH(ROWS($A$29:A114),$BW$2:$BW$87,0)))</f>
        <v>income improvement; food security &amp; resilience</v>
      </c>
      <c r="J114" s="441" t="str">
        <f>IF($A114="","",
 _xlfn.LET(
   _xlpm.link,TRIM(INDEX($BL$2:$BL$87,MATCH(ROWS($A$29:A114),$BW$2:$BW$87,0))),
   IF(OR(_xlpm.link="",UPPER(_xlpm.link)="N/A"),"N/A",
      IF(OR(LEFT(_xlpm.link,7)="http://",LEFT(_xlpm.link,8)="https://"),
         HYPERLINK(_xlpm.link,_xlpm.link),
         _xlpm.link
      )
   )
 ))</f>
        <v>https://beamexchange.org/implement/programme-index/prisma-promoting-rural-incomes-through-support-for-markets-in-agriculture/</v>
      </c>
      <c r="K114" s="490"/>
      <c r="L114" s="490"/>
      <c r="M114" s="490"/>
      <c r="N114" s="490"/>
    </row>
    <row r="115" spans="1:14" x14ac:dyDescent="0.25">
      <c r="A115" s="490"/>
      <c r="B115" s="490"/>
      <c r="C115" s="490"/>
      <c r="D115" s="490"/>
      <c r="E115" s="490"/>
      <c r="F115" s="490"/>
      <c r="G115" s="490"/>
      <c r="H115" s="490"/>
      <c r="I115" s="490"/>
      <c r="J115" s="490"/>
      <c r="K115" s="490"/>
      <c r="L115" s="490"/>
      <c r="M115" s="490"/>
      <c r="N115" s="490"/>
    </row>
  </sheetData>
  <autoFilter ref="A28:I100" xr:uid="{00000000-0009-0000-0000-000008000000}"/>
  <mergeCells count="13">
    <mergeCell ref="C5:D5"/>
    <mergeCell ref="A27:J27"/>
    <mergeCell ref="A1:J1"/>
    <mergeCell ref="A2:J2"/>
    <mergeCell ref="A13:D13"/>
    <mergeCell ref="C9:D9"/>
    <mergeCell ref="A15:C15"/>
    <mergeCell ref="C8:D8"/>
    <mergeCell ref="C4:D4"/>
    <mergeCell ref="C10:D10"/>
    <mergeCell ref="C6:D6"/>
    <mergeCell ref="C7:D7"/>
    <mergeCell ref="A24:E25"/>
  </mergeCells>
  <dataValidations count="8">
    <dataValidation type="list" allowBlank="1" sqref="C4" xr:uid="{00000000-0002-0000-0800-000000000000}">
      <formula1>$AS$2:$AS$5</formula1>
    </dataValidation>
    <dataValidation type="list" allowBlank="1" sqref="C6" xr:uid="{00000000-0002-0000-0800-000001000000}">
      <formula1>$AT$2:$AT$5</formula1>
    </dataValidation>
    <dataValidation type="list" allowBlank="1" sqref="C8" xr:uid="{00000000-0002-0000-0800-000002000000}">
      <formula1>$AU$2:$AU$6</formula1>
    </dataValidation>
    <dataValidation type="list" allowBlank="1" sqref="C5" xr:uid="{00000000-0002-0000-0800-000003000000}">
      <formula1>$AV$2:$AV$6</formula1>
    </dataValidation>
    <dataValidation type="list" allowBlank="1" sqref="C7" xr:uid="{00000000-0002-0000-0800-000004000000}">
      <formula1>$AW$2:$AW$4</formula1>
    </dataValidation>
    <dataValidation type="list" allowBlank="1" sqref="C9" xr:uid="{00000000-0002-0000-0800-000005000000}">
      <formula1>$AX$2:$AX$5</formula1>
    </dataValidation>
    <dataValidation type="list" allowBlank="1" sqref="C11" xr:uid="{00000000-0002-0000-0800-000006000000}">
      <formula1>$BM$1:$BU$1</formula1>
    </dataValidation>
    <dataValidation type="list" allowBlank="1" sqref="C10" xr:uid="{00000000-0002-0000-0800-000007000000}">
      <formula1>$AY$2:$AY$27</formula1>
    </dataValidation>
  </dataValidations>
  <pageMargins left="0.75" right="0.75" top="1" bottom="1" header="0.5" footer="0.5"/>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verLinkFileType xmlns="6937fe7d-dbaa-4d8b-8dfb-55869c703af9" xsi:nil="true"/>
    <lcf76f155ced4ddcb4097134ff3c332f xmlns="6937fe7d-dbaa-4d8b-8dfb-55869c703af9">
      <Terms xmlns="http://schemas.microsoft.com/office/infopath/2007/PartnerControls"/>
    </lcf76f155ced4ddcb4097134ff3c332f>
    <TaxCatchAll xmlns="2118e9f4-83e0-430e-8618-3d02343c48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B88281810AD84484318F07D7D83D0A" ma:contentTypeVersion="18" ma:contentTypeDescription="Create a new document." ma:contentTypeScope="" ma:versionID="6bebad4a5331fed428ea6f3b4f70f0bf">
  <xsd:schema xmlns:xsd="http://www.w3.org/2001/XMLSchema" xmlns:xs="http://www.w3.org/2001/XMLSchema" xmlns:p="http://schemas.microsoft.com/office/2006/metadata/properties" xmlns:ns2="6937fe7d-dbaa-4d8b-8dfb-55869c703af9" xmlns:ns3="2118e9f4-83e0-430e-8618-3d02343c48a9" xmlns:ns4="d80bd96a-b2e9-437b-b6bf-4f4ba360650a" targetNamespace="http://schemas.microsoft.com/office/2006/metadata/properties" ma:root="true" ma:fieldsID="c97442ecc1020c1996b10271a45e06ab" ns2:_="" ns3:_="" ns4:_="">
    <xsd:import namespace="6937fe7d-dbaa-4d8b-8dfb-55869c703af9"/>
    <xsd:import namespace="2118e9f4-83e0-430e-8618-3d02343c48a9"/>
    <xsd:import namespace="d80bd96a-b2e9-437b-b6bf-4f4ba36065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SearchProperties" minOccurs="0"/>
                <xsd:element ref="ns2:MediaServiceLocation"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7fe7d-dbaa-4d8b-8dfb-55869c703a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932b82f-ee1f-4246-9d44-c1f8cdfbe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ArchiverLinkFileType" ma:index="25"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18e9f4-83e0-430e-8618-3d02343c48a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2e7ab1f-7c85-4d64-9df7-1d596f52d197}" ma:internalName="TaxCatchAll" ma:showField="CatchAllData" ma:web="d80bd96a-b2e9-437b-b6bf-4f4ba36065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0bd96a-b2e9-437b-b6bf-4f4ba360650a"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4BE426-3F0B-4164-BE79-B5D1AA6880D8}">
  <ds:schemaRefs>
    <ds:schemaRef ds:uri="http://schemas.microsoft.com/office/2006/metadata/properties"/>
    <ds:schemaRef ds:uri="http://schemas.microsoft.com/office/infopath/2007/PartnerControls"/>
    <ds:schemaRef ds:uri="6937fe7d-dbaa-4d8b-8dfb-55869c703af9"/>
    <ds:schemaRef ds:uri="2118e9f4-83e0-430e-8618-3d02343c48a9"/>
  </ds:schemaRefs>
</ds:datastoreItem>
</file>

<file path=customXml/itemProps2.xml><?xml version="1.0" encoding="utf-8"?>
<ds:datastoreItem xmlns:ds="http://schemas.openxmlformats.org/officeDocument/2006/customXml" ds:itemID="{B67F9D55-7E6C-4611-AA3F-C1595487D247}">
  <ds:schemaRefs>
    <ds:schemaRef ds:uri="http://schemas.microsoft.com/sharepoint/v3/contenttype/forms"/>
  </ds:schemaRefs>
</ds:datastoreItem>
</file>

<file path=customXml/itemProps3.xml><?xml version="1.0" encoding="utf-8"?>
<ds:datastoreItem xmlns:ds="http://schemas.openxmlformats.org/officeDocument/2006/customXml" ds:itemID="{ECC073EC-43BC-41CE-851E-7C66945C50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37fe7d-dbaa-4d8b-8dfb-55869c703af9"/>
    <ds:schemaRef ds:uri="2118e9f4-83e0-430e-8618-3d02343c48a9"/>
    <ds:schemaRef ds:uri="d80bd96a-b2e9-437b-b6bf-4f4ba36065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VfM MSD Mastersheet</vt:lpstr>
      <vt:lpstr>Programme Catalog</vt:lpstr>
      <vt:lpstr>MSD Group List - Quintiles</vt:lpstr>
      <vt:lpstr>Summary &amp; Analysis - Quintiles</vt:lpstr>
      <vt:lpstr>MSD Prog List - Analysis Use</vt:lpstr>
      <vt:lpstr>Summary &amp; Analysis - Quartiles</vt:lpstr>
      <vt:lpstr>Summary &amp; Analysis - Quart New</vt:lpstr>
      <vt:lpstr>VfM Analysis</vt:lpstr>
      <vt:lpstr>VfM Dashboard</vt:lpstr>
      <vt:lpstr>VfM Calculator</vt:lpstr>
      <vt:lpstr>Poli Stab</vt:lpstr>
      <vt:lpstr>Inflation</vt:lpstr>
      <vt:lpstr>GDP Per Capita - PPP</vt:lpstr>
      <vt:lpstr>GDP Per Capita</vt:lpstr>
      <vt:lpstr>Old - VfM MSD Mastersheet </vt:lpstr>
      <vt:lpstr>Old - MSD Prog Context Tags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Hartrich, Steve</dc:creator>
  <cp:keywords/>
  <dc:description/>
  <cp:lastModifiedBy>Pothula, Aishwarya</cp:lastModifiedBy>
  <cp:revision/>
  <dcterms:created xsi:type="dcterms:W3CDTF">2026-01-14T16:22:50Z</dcterms:created>
  <dcterms:modified xsi:type="dcterms:W3CDTF">2026-06-15T14:56:50Z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0x01010093B88281810AD84484318F07D7D83D0A</vt:lpwstr>
  </property>
  <property fmtid="{D5CDD505-2E9C-101B-9397-08002B2CF9AE}" pid="3" name="MediaServiceImageTags">
    <vt:lpwstr/>
  </property>
</Properties>
</file>